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3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8" sheetId="77" r:id="rId64"/>
    <sheet name="310" sheetId="21" r:id="rId65"/>
    <sheet name="309" sheetId="69" r:id="rId66"/>
    <sheet name="313" sheetId="72" r:id="rId67"/>
    <sheet name="321" sheetId="79" r:id="rId68"/>
    <sheet name="322" sheetId="80" r:id="rId69"/>
    <sheet name="325" sheetId="83" r:id="rId70"/>
    <sheet name="327" sheetId="85" r:id="rId71"/>
    <sheet name="Div 4" sheetId="36" r:id="rId72"/>
    <sheet name="310 &amp; 491" sheetId="39" r:id="rId73"/>
    <sheet name="491" sheetId="42" r:id="rId74"/>
    <sheet name="405" sheetId="87" r:id="rId75"/>
    <sheet name="406" sheetId="88" r:id="rId76"/>
    <sheet name="411" sheetId="91" r:id="rId77"/>
    <sheet name="412" sheetId="92" r:id="rId78"/>
    <sheet name="413" sheetId="93" r:id="rId79"/>
    <sheet name="414" sheetId="94" r:id="rId80"/>
    <sheet name="415" sheetId="95" r:id="rId81"/>
    <sheet name="418" sheetId="97" r:id="rId82"/>
    <sheet name="420" sheetId="98" r:id="rId83"/>
    <sheet name="423" sheetId="99" r:id="rId84"/>
    <sheet name="424" sheetId="100" r:id="rId85"/>
    <sheet name="425" sheetId="101" r:id="rId86"/>
    <sheet name="455" sheetId="108" r:id="rId87"/>
    <sheet name="492" sheetId="45" r:id="rId88"/>
    <sheet name="430" sheetId="102" r:id="rId89"/>
    <sheet name="433" sheetId="103" r:id="rId90"/>
    <sheet name="435" sheetId="104" r:id="rId91"/>
    <sheet name="444" sheetId="105" r:id="rId92"/>
    <sheet name="450" sheetId="107" r:id="rId93"/>
    <sheet name="Div 5" sheetId="48" r:id="rId94"/>
    <sheet name="501" sheetId="109" r:id="rId95"/>
    <sheet name="Dept" sheetId="110" state="hidden" r:id="rId96"/>
    <sheet name="OSR_Dept_Y0WUKY" sheetId="111" state="hidden" r:id="rId97"/>
    <sheet name="OSR_Summary (...56e5d78f_5JEYZH" sheetId="112" state="hidden" r:id="rId98"/>
  </sheets>
  <definedNames>
    <definedName name="OSRRefD13x_0" localSheetId="41">'201'!$D$13</definedName>
    <definedName name="OSRRefD13x_0" localSheetId="42">'202'!$D$13</definedName>
    <definedName name="OSRRefD13x_0" localSheetId="48">'300'!$D$13:$D$59</definedName>
    <definedName name="OSRRefD13x_0" localSheetId="49">'300 &amp; 317'!$D$13:$D$72</definedName>
    <definedName name="OSRRefD13x_0" localSheetId="52">'307'!$D$13</definedName>
    <definedName name="OSRRefD13x_0" localSheetId="53">'308'!$D$13:$D$26</definedName>
    <definedName name="OSRRefD13x_0" localSheetId="64">'310'!$D$13</definedName>
    <definedName name="OSRRefD13x_0" localSheetId="72">'310 &amp; 491'!$D$13:$D$15</definedName>
    <definedName name="OSRRefD13x_0" localSheetId="54">'311'!$D$13:$D$25</definedName>
    <definedName name="OSRRefD13x_0" localSheetId="66">'313'!$D$13</definedName>
    <definedName name="OSRRefD13x_0" localSheetId="57">'315'!$D$13:$D$45</definedName>
    <definedName name="OSRRefD13x_0" localSheetId="60">'316'!$D$13:$D$18</definedName>
    <definedName name="OSRRefD13x_0" localSheetId="62">'317'!$D$13:$D$27</definedName>
    <definedName name="OSRRefD13x_0" localSheetId="55">'324'!$D$13:$D$16</definedName>
    <definedName name="OSRRefD13x_0" localSheetId="58">'326'!$D$13:$D$28</definedName>
    <definedName name="OSRRefD13x_0" localSheetId="70">'327'!$D$13</definedName>
    <definedName name="OSRRefD13x_0" localSheetId="51">'330'!$D$13</definedName>
    <definedName name="OSRRefD13x_0" localSheetId="56">'331'!$D$13:$D$45</definedName>
    <definedName name="OSRRefD13x_0" localSheetId="59">'332'!$D$13:$D$18</definedName>
    <definedName name="OSRRefD13x_0" localSheetId="74">'405'!$D$13:$D$14</definedName>
    <definedName name="OSRRefD13x_0" localSheetId="77">'412'!$D$13</definedName>
    <definedName name="OSRRefD13x_0" localSheetId="79">'414'!$D$13:$D$15</definedName>
    <definedName name="OSRRefD13x_0" localSheetId="80">'415'!$D$13:$D$14</definedName>
    <definedName name="OSRRefD13x_0" localSheetId="81">'418'!$D$13</definedName>
    <definedName name="OSRRefD13x_0" localSheetId="89">'433'!$D$13:$D$15</definedName>
    <definedName name="OSRRefD13x_0" localSheetId="73">'491'!$D$13:$D$15</definedName>
    <definedName name="OSRRefD13x_0" localSheetId="87">'492'!$D$13:$D$15</definedName>
    <definedName name="OSRRefD13x_0" localSheetId="94">'501'!$D$13</definedName>
    <definedName name="OSRRefD13x_0" localSheetId="39">'Div 2'!$D$13</definedName>
    <definedName name="OSRRefD13x_0" localSheetId="47">'Div 3'!$D$13:$D$59</definedName>
    <definedName name="OSRRefD13x_0" localSheetId="71">'Div 4'!$D$13:$D$18</definedName>
    <definedName name="OSRRefD13x_0" localSheetId="93">'Div 5'!$D$13</definedName>
    <definedName name="OSRRefD13x_0" localSheetId="61">'Div 6'!$D$13:$D$27</definedName>
    <definedName name="OSRRefD13x_0" localSheetId="2">Summary!$D$13:$D$76</definedName>
    <definedName name="OSRRefD16x_0" localSheetId="48">'300'!$D$62:$D$83</definedName>
    <definedName name="OSRRefD16x_0" localSheetId="49">'300 &amp; 317'!$D$75:$D$102</definedName>
    <definedName name="OSRRefD16x_0" localSheetId="52">'307'!$D$16</definedName>
    <definedName name="OSRRefD16x_0" localSheetId="53">'308'!$D$29:$D$39</definedName>
    <definedName name="OSRRefD16x_0" localSheetId="64">'310'!$D$16:$D$17</definedName>
    <definedName name="OSRRefD16x_0" localSheetId="72">'310 &amp; 491'!$D$18:$D$19</definedName>
    <definedName name="OSRRefD16x_0" localSheetId="54">'311'!$D$28:$D$38</definedName>
    <definedName name="OSRRefD16x_0" localSheetId="66">'313'!$D$16</definedName>
    <definedName name="OSRRefD16x_0" localSheetId="57">'315'!$D$48:$D$60</definedName>
    <definedName name="OSRRefD16x_0" localSheetId="62">'317'!$D$30:$D$38</definedName>
    <definedName name="OSRRefD16x_0" localSheetId="68">'322'!$D$15</definedName>
    <definedName name="OSRRefD16x_0" localSheetId="55">'324'!$D$19:$D$21</definedName>
    <definedName name="OSRRefD16x_0" localSheetId="58">'326'!$D$31:$D$32</definedName>
    <definedName name="OSRRefD16x_0" localSheetId="70">'327'!$D$16</definedName>
    <definedName name="OSRRefD16x_0" localSheetId="51">'330'!$D$16</definedName>
    <definedName name="OSRRefD16x_0" localSheetId="56">'331'!$D$48:$D$60</definedName>
    <definedName name="OSRRefD16x_0" localSheetId="74">'405'!$D$17</definedName>
    <definedName name="OSRRefD16x_0" localSheetId="77">'412'!$D$16</definedName>
    <definedName name="OSRRefD16x_0" localSheetId="78">'413'!$D$15</definedName>
    <definedName name="OSRRefD16x_0" localSheetId="79">'414'!$D$18</definedName>
    <definedName name="OSRRefD16x_0" localSheetId="80">'415'!$D$17</definedName>
    <definedName name="OSRRefD16x_0" localSheetId="81">'418'!$D$16</definedName>
    <definedName name="OSRRefD16x_0" localSheetId="89">'433'!$D$18:$D$19</definedName>
    <definedName name="OSRRefD16x_0" localSheetId="73">'491'!$D$18</definedName>
    <definedName name="OSRRefD16x_0" localSheetId="87">'492'!$D$18:$D$19</definedName>
    <definedName name="OSRRefD16x_0" localSheetId="47">'Div 3'!$D$62:$D$84</definedName>
    <definedName name="OSRRefD16x_0" localSheetId="71">'Div 4'!$D$21:$D$23</definedName>
    <definedName name="OSRRefD16x_0" localSheetId="61">'Div 6'!$D$30:$D$38</definedName>
    <definedName name="OSRRefD16x_0" localSheetId="2">Summary!$D$79:$D$108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'300'!$D$89:$D$98</definedName>
    <definedName name="OSRRefD22_0x_0" localSheetId="49">'300 &amp; 317'!$D$108:$D$117</definedName>
    <definedName name="OSRRefD22_0x_0" localSheetId="50">'301'!$D$20:$D$28</definedName>
    <definedName name="OSRRefD22_0x_0" localSheetId="52">'307'!$D$22:$D$29</definedName>
    <definedName name="OSRRefD22_0x_0" localSheetId="53">'308'!$D$45:$D$54</definedName>
    <definedName name="OSRRefD22_0x_0" localSheetId="65">'309'!$D$20:$D$27</definedName>
    <definedName name="OSRRefD22_0x_0" localSheetId="64">'310'!$D$23:$D$31</definedName>
    <definedName name="OSRRefD22_0x_0" localSheetId="72">'310 &amp; 491'!$D$25:$D$33</definedName>
    <definedName name="OSRRefD22_0x_0" localSheetId="54">'311'!$D$44:$D$53</definedName>
    <definedName name="OSRRefD22_0x_0" localSheetId="66">'313'!$D$22:$D$30</definedName>
    <definedName name="OSRRefD22_0x_0" localSheetId="57">'315'!$D$66:$D$74</definedName>
    <definedName name="OSRRefD22_0x_0" localSheetId="60">'316'!$D$26:$D$34</definedName>
    <definedName name="OSRRefD22_0x_0" localSheetId="62">'317'!$D$44:$D$53</definedName>
    <definedName name="OSRRefD22_0x_0" localSheetId="67">'321'!$D$20:$D$27</definedName>
    <definedName name="OSRRefD22_0x_0" localSheetId="68">'322'!$D$21:$D$28</definedName>
    <definedName name="OSRRefD22_0x_0" localSheetId="55">'324'!$D$27:$D$34</definedName>
    <definedName name="OSRRefD22_0x_0" localSheetId="69">'325'!$D$20:$D$27</definedName>
    <definedName name="OSRRefD22_0x_0" localSheetId="58">'326'!$D$38:$D$46</definedName>
    <definedName name="OSRRefD22_0x_0" localSheetId="70">'327'!$D$22</definedName>
    <definedName name="OSRRefD22_0x_0" localSheetId="51">'330'!$D$22:$D$29</definedName>
    <definedName name="OSRRefD22_0x_0" localSheetId="56">'331'!$D$66:$D$74</definedName>
    <definedName name="OSRRefD22_0x_0" localSheetId="59">'332'!$D$26:$D$34</definedName>
    <definedName name="OSRRefD22_0x_0" localSheetId="74">'405'!$D$23:$D$30</definedName>
    <definedName name="OSRRefD22_0x_0" localSheetId="75">'406'!$D$20</definedName>
    <definedName name="OSRRefD22_0x_0" localSheetId="76">'411'!$D$20:$D$28</definedName>
    <definedName name="OSRRefD22_0x_0" localSheetId="77">'412'!$D$22:$D$29</definedName>
    <definedName name="OSRRefD22_0x_0" localSheetId="78">'413'!$D$21:$D$29</definedName>
    <definedName name="OSRRefD22_0x_0" localSheetId="79">'414'!$D$24:$D$32</definedName>
    <definedName name="OSRRefD22_0x_0" localSheetId="80">'415'!$D$23:$D$31</definedName>
    <definedName name="OSRRefD22_0x_0" localSheetId="81">'418'!$D$22:$D$29</definedName>
    <definedName name="OSRRefD22_0x_0" localSheetId="83">'423'!$D$20:$D$27</definedName>
    <definedName name="OSRRefD22_0x_0" localSheetId="84">'424'!$D$20</definedName>
    <definedName name="OSRRefD22_0x_0" localSheetId="85">'425'!$D$20:$D$24</definedName>
    <definedName name="OSRRefD22_0x_0" localSheetId="88">'430'!$D$20:$D$28</definedName>
    <definedName name="OSRRefD22_0x_0" localSheetId="89">'433'!$D$25:$D$34</definedName>
    <definedName name="OSRRefD22_0x_0" localSheetId="90">'435'!$D$20</definedName>
    <definedName name="OSRRefD22_0x_0" localSheetId="91">'444'!$D$20:$D$29</definedName>
    <definedName name="OSRRefD22_0x_0" localSheetId="92">'450'!$D$20:$D$29</definedName>
    <definedName name="OSRRefD22_0x_0" localSheetId="73">'491'!$D$24:$D$32</definedName>
    <definedName name="OSRRefD22_0x_0" localSheetId="87">'492'!$D$25:$D$34</definedName>
    <definedName name="OSRRefD22_0x_0" localSheetId="94">'501'!$D$21:$D$30</definedName>
    <definedName name="OSRRefD22_0x_0" localSheetId="39">'Div 2'!$D$21:$D$31</definedName>
    <definedName name="OSRRefD22_0x_0" localSheetId="47">'Div 3'!$D$90:$D$99</definedName>
    <definedName name="OSRRefD22_0x_0" localSheetId="71">'Div 4'!$D$29:$D$38</definedName>
    <definedName name="OSRRefD22_0x_0" localSheetId="93">'Div 5'!$D$21:$D$30</definedName>
    <definedName name="OSRRefD22_0x_0" localSheetId="61">'Div 6'!$D$44:$D$53</definedName>
    <definedName name="OSRRefD22_0x_0" localSheetId="2">Summary!$D$114:$D$123</definedName>
    <definedName name="OSRRefD22_10x_0" localSheetId="41">'201'!$D$58</definedName>
    <definedName name="OSRRefD22_10x_0" localSheetId="42">'202'!$D$61</definedName>
    <definedName name="OSRRefD22_10x_0" localSheetId="43">'203'!$D$61:$D$63</definedName>
    <definedName name="OSRRefD22_10x_0" localSheetId="44">'204'!$D$63</definedName>
    <definedName name="OSRRefD22_10x_0" localSheetId="48">'300'!$D$130:$D$131</definedName>
    <definedName name="OSRRefD22_10x_0" localSheetId="49">'300 &amp; 317'!$D$149:$D$150</definedName>
    <definedName name="OSRRefD22_10x_0" localSheetId="50">'301'!$D$59</definedName>
    <definedName name="OSRRefD22_10x_0" localSheetId="53">'308'!$D$84</definedName>
    <definedName name="OSRRefD22_10x_0" localSheetId="64">'310'!$D$61</definedName>
    <definedName name="OSRRefD22_10x_0" localSheetId="72">'310 &amp; 491'!$D$64</definedName>
    <definedName name="OSRRefD22_10x_0" localSheetId="54">'311'!$D$83</definedName>
    <definedName name="OSRRefD22_10x_0" localSheetId="57">'315'!$D$104</definedName>
    <definedName name="OSRRefD22_10x_0" localSheetId="60">'316'!$D$67</definedName>
    <definedName name="OSRRefD22_10x_0" localSheetId="62">'317'!$D$83:$D$85</definedName>
    <definedName name="OSRRefD22_10x_0" localSheetId="68">'322'!$D$58</definedName>
    <definedName name="OSRRefD22_10x_0" localSheetId="69">'325'!$D$59</definedName>
    <definedName name="OSRRefD22_10x_0" localSheetId="58">'326'!$D$76</definedName>
    <definedName name="OSRRefD22_10x_0" localSheetId="56">'331'!$D$105</definedName>
    <definedName name="OSRRefD22_10x_0" localSheetId="59">'332'!$D$67</definedName>
    <definedName name="OSRRefD22_10x_0" localSheetId="74">'405'!$D$64</definedName>
    <definedName name="OSRRefD22_10x_0" localSheetId="76">'411'!$D$68</definedName>
    <definedName name="OSRRefD22_10x_0" localSheetId="77">'412'!$D$59:$D$62</definedName>
    <definedName name="OSRRefD22_10x_0" localSheetId="79">'414'!$D$63</definedName>
    <definedName name="OSRRefD22_10x_0" localSheetId="80">'415'!$D$61:$D$62</definedName>
    <definedName name="OSRRefD22_10x_0" localSheetId="81">'418'!$D$68</definedName>
    <definedName name="OSRRefD22_10x_0" localSheetId="89">'433'!$D$63:$D$66</definedName>
    <definedName name="OSRRefD22_10x_0" localSheetId="92">'450'!$D$61</definedName>
    <definedName name="OSRRefD22_10x_0" localSheetId="73">'491'!$D$63</definedName>
    <definedName name="OSRRefD22_10x_0" localSheetId="87">'492'!$D$63</definedName>
    <definedName name="OSRRefD22_10x_0" localSheetId="94">'501'!$D$59:$D$60</definedName>
    <definedName name="OSRRefD22_10x_0" localSheetId="39">'Div 2'!$D$61</definedName>
    <definedName name="OSRRefD22_10x_0" localSheetId="47">'Div 3'!$D$131:$D$132</definedName>
    <definedName name="OSRRefD22_10x_0" localSheetId="71">'Div 4'!$D$69</definedName>
    <definedName name="OSRRefD22_10x_0" localSheetId="93">'Div 5'!$D$59:$D$60</definedName>
    <definedName name="OSRRefD22_10x_0" localSheetId="61">'Div 6'!$D$83:$D$85</definedName>
    <definedName name="OSRRefD22_10x_0" localSheetId="2">Summary!$D$156:$D$157</definedName>
    <definedName name="OSRRefD22_11x_0" localSheetId="41">'201'!$D$60:$D$62</definedName>
    <definedName name="OSRRefD22_11x_0" localSheetId="42">'202'!$D$63</definedName>
    <definedName name="OSRRefD22_11x_0" localSheetId="43">'203'!$D$65</definedName>
    <definedName name="OSRRefD22_11x_0" localSheetId="48">'300'!$D$133:$D$134</definedName>
    <definedName name="OSRRefD22_11x_0" localSheetId="49">'300 &amp; 317'!$D$152:$D$153</definedName>
    <definedName name="OSRRefD22_11x_0" localSheetId="50">'301'!$D$61</definedName>
    <definedName name="OSRRefD22_11x_0" localSheetId="53">'308'!$D$86:$D$88</definedName>
    <definedName name="OSRRefD22_11x_0" localSheetId="64">'310'!$D$63:$D$66</definedName>
    <definedName name="OSRRefD22_11x_0" localSheetId="72">'310 &amp; 491'!$D$66</definedName>
    <definedName name="OSRRefD22_11x_0" localSheetId="54">'311'!$D$85:$D$87</definedName>
    <definedName name="OSRRefD22_11x_0" localSheetId="57">'315'!$D$106</definedName>
    <definedName name="OSRRefD22_11x_0" localSheetId="62">'317'!$D$87</definedName>
    <definedName name="OSRRefD22_11x_0" localSheetId="68">'322'!$D$60</definedName>
    <definedName name="OSRRefD22_11x_0" localSheetId="69">'325'!$D$61:$D$62</definedName>
    <definedName name="OSRRefD22_11x_0" localSheetId="58">'326'!$D$78</definedName>
    <definedName name="OSRRefD22_11x_0" localSheetId="56">'331'!$D$107</definedName>
    <definedName name="OSRRefD22_11x_0" localSheetId="74">'405'!$D$66:$D$74</definedName>
    <definedName name="OSRRefD22_11x_0" localSheetId="76">'411'!$D$70</definedName>
    <definedName name="OSRRefD22_11x_0" localSheetId="77">'412'!$D$64:$D$65</definedName>
    <definedName name="OSRRefD22_11x_0" localSheetId="79">'414'!$D$65</definedName>
    <definedName name="OSRRefD22_11x_0" localSheetId="80">'415'!$D$64:$D$67</definedName>
    <definedName name="OSRRefD22_11x_0" localSheetId="89">'433'!$D$68:$D$75</definedName>
    <definedName name="OSRRefD22_11x_0" localSheetId="73">'491'!$D$65</definedName>
    <definedName name="OSRRefD22_11x_0" localSheetId="87">'492'!$D$65:$D$67</definedName>
    <definedName name="OSRRefD22_11x_0" localSheetId="94">'501'!$D$62</definedName>
    <definedName name="OSRRefD22_11x_0" localSheetId="39">'Div 2'!$D$63:$D$64</definedName>
    <definedName name="OSRRefD22_11x_0" localSheetId="47">'Div 3'!$D$134:$D$135</definedName>
    <definedName name="OSRRefD22_11x_0" localSheetId="71">'Div 4'!$D$71</definedName>
    <definedName name="OSRRefD22_11x_0" localSheetId="93">'Div 5'!$D$62</definedName>
    <definedName name="OSRRefD22_11x_0" localSheetId="61">'Div 6'!$D$87</definedName>
    <definedName name="OSRRefD22_11x_0" localSheetId="2">Summary!$D$159:$D$160</definedName>
    <definedName name="OSRRefD22_12x_0" localSheetId="41">'201'!$D$64</definedName>
    <definedName name="OSRRefD22_12x_0" localSheetId="42">'202'!$D$65</definedName>
    <definedName name="OSRRefD22_12x_0" localSheetId="43">'203'!$D$67</definedName>
    <definedName name="OSRRefD22_12x_0" localSheetId="48">'300'!$D$136</definedName>
    <definedName name="OSRRefD22_12x_0" localSheetId="49">'300 &amp; 317'!$D$155</definedName>
    <definedName name="OSRRefD22_12x_0" localSheetId="50">'301'!$D$63</definedName>
    <definedName name="OSRRefD22_12x_0" localSheetId="53">'308'!$D$90:$D$91</definedName>
    <definedName name="OSRRefD22_12x_0" localSheetId="64">'310'!$D$68</definedName>
    <definedName name="OSRRefD22_12x_0" localSheetId="72">'310 &amp; 491'!$D$68:$D$69</definedName>
    <definedName name="OSRRefD22_12x_0" localSheetId="54">'311'!$D$89:$D$90</definedName>
    <definedName name="OSRRefD22_12x_0" localSheetId="57">'315'!$D$108:$D$110</definedName>
    <definedName name="OSRRefD22_12x_0" localSheetId="69">'325'!$D$64:$D$65</definedName>
    <definedName name="OSRRefD22_12x_0" localSheetId="58">'326'!$D$80</definedName>
    <definedName name="OSRRefD22_12x_0" localSheetId="56">'331'!$D$109</definedName>
    <definedName name="OSRRefD22_12x_0" localSheetId="74">'405'!$D$76</definedName>
    <definedName name="OSRRefD22_12x_0" localSheetId="77">'412'!$D$67:$D$68</definedName>
    <definedName name="OSRRefD22_12x_0" localSheetId="79">'414'!$D$67</definedName>
    <definedName name="OSRRefD22_12x_0" localSheetId="80">'415'!$D$69</definedName>
    <definedName name="OSRRefD22_12x_0" localSheetId="89">'433'!$D$77</definedName>
    <definedName name="OSRRefD22_12x_0" localSheetId="73">'491'!$D$67:$D$68</definedName>
    <definedName name="OSRRefD22_12x_0" localSheetId="87">'492'!$D$69:$D$72</definedName>
    <definedName name="OSRRefD22_12x_0" localSheetId="39">'Div 2'!$D$66:$D$69</definedName>
    <definedName name="OSRRefD22_12x_0" localSheetId="47">'Div 3'!$D$137</definedName>
    <definedName name="OSRRefD22_12x_0" localSheetId="71">'Div 4'!$D$73</definedName>
    <definedName name="OSRRefD22_12x_0" localSheetId="2">Summary!$D$162</definedName>
    <definedName name="OSRRefD22_13x_0" localSheetId="48">'300'!$D$138</definedName>
    <definedName name="OSRRefD22_13x_0" localSheetId="49">'300 &amp; 317'!$D$157</definedName>
    <definedName name="OSRRefD22_13x_0" localSheetId="50">'301'!$D$65:$D$67</definedName>
    <definedName name="OSRRefD22_13x_0" localSheetId="53">'308'!$D$93</definedName>
    <definedName name="OSRRefD22_13x_0" localSheetId="64">'310'!$D$70:$D$72</definedName>
    <definedName name="OSRRefD22_13x_0" localSheetId="72">'310 &amp; 491'!$D$71:$D$72</definedName>
    <definedName name="OSRRefD22_13x_0" localSheetId="54">'311'!$D$92</definedName>
    <definedName name="OSRRefD22_13x_0" localSheetId="57">'315'!$D$112</definedName>
    <definedName name="OSRRefD22_13x_0" localSheetId="69">'325'!$D$67</definedName>
    <definedName name="OSRRefD22_13x_0" localSheetId="58">'326'!$D$82</definedName>
    <definedName name="OSRRefD22_13x_0" localSheetId="56">'331'!$D$111</definedName>
    <definedName name="OSRRefD22_13x_0" localSheetId="74">'405'!$D$78</definedName>
    <definedName name="OSRRefD22_13x_0" localSheetId="77">'412'!$D$70</definedName>
    <definedName name="OSRRefD22_13x_0" localSheetId="80">'415'!$D$71:$D$75</definedName>
    <definedName name="OSRRefD22_13x_0" localSheetId="73">'491'!$D$70:$D$71</definedName>
    <definedName name="OSRRefD22_13x_0" localSheetId="87">'492'!$D$74:$D$82</definedName>
    <definedName name="OSRRefD22_13x_0" localSheetId="39">'Div 2'!$D$71:$D$74</definedName>
    <definedName name="OSRRefD22_13x_0" localSheetId="47">'Div 3'!$D$139</definedName>
    <definedName name="OSRRefD22_13x_0" localSheetId="71">'Div 4'!$D$75:$D$77</definedName>
    <definedName name="OSRRefD22_13x_0" localSheetId="2">Summary!$D$164</definedName>
    <definedName name="OSRRefD22_14x_0" localSheetId="48">'300'!$D$140</definedName>
    <definedName name="OSRRefD22_14x_0" localSheetId="49">'300 &amp; 317'!$D$159</definedName>
    <definedName name="OSRRefD22_14x_0" localSheetId="50">'301'!$D$69:$D$71</definedName>
    <definedName name="OSRRefD22_14x_0" localSheetId="64">'310'!$D$74:$D$75</definedName>
    <definedName name="OSRRefD22_14x_0" localSheetId="72">'310 &amp; 491'!$D$74:$D$78</definedName>
    <definedName name="OSRRefD22_14x_0" localSheetId="57">'315'!$D$114:$D$120</definedName>
    <definedName name="OSRRefD22_14x_0" localSheetId="58">'326'!$D$84:$D$86</definedName>
    <definedName name="OSRRefD22_14x_0" localSheetId="56">'331'!$D$113</definedName>
    <definedName name="OSRRefD22_14x_0" localSheetId="74">'405'!$D$80</definedName>
    <definedName name="OSRRefD22_14x_0" localSheetId="80">'415'!$D$77:$D$78</definedName>
    <definedName name="OSRRefD22_14x_0" localSheetId="73">'491'!$D$73:$D$77</definedName>
    <definedName name="OSRRefD22_14x_0" localSheetId="87">'492'!$D$84:$D$85</definedName>
    <definedName name="OSRRefD22_14x_0" localSheetId="39">'Div 2'!$D$76:$D$77</definedName>
    <definedName name="OSRRefD22_14x_0" localSheetId="47">'Div 3'!$D$141</definedName>
    <definedName name="OSRRefD22_14x_0" localSheetId="71">'Div 4'!$D$79:$D$80</definedName>
    <definedName name="OSRRefD22_14x_0" localSheetId="2">Summary!$D$166</definedName>
    <definedName name="OSRRefD22_15x_0" localSheetId="48">'300'!$D$142</definedName>
    <definedName name="OSRRefD22_15x_0" localSheetId="49">'300 &amp; 317'!$D$161</definedName>
    <definedName name="OSRRefD22_15x_0" localSheetId="50">'301'!$D$73</definedName>
    <definedName name="OSRRefD22_15x_0" localSheetId="64">'310'!$D$77</definedName>
    <definedName name="OSRRefD22_15x_0" localSheetId="72">'310 &amp; 491'!$D$80</definedName>
    <definedName name="OSRRefD22_15x_0" localSheetId="57">'315'!$D$122</definedName>
    <definedName name="OSRRefD22_15x_0" localSheetId="58">'326'!$D$88:$D$89</definedName>
    <definedName name="OSRRefD22_15x_0" localSheetId="56">'331'!$D$115:$D$117</definedName>
    <definedName name="OSRRefD22_15x_0" localSheetId="80">'415'!$D$80</definedName>
    <definedName name="OSRRefD22_15x_0" localSheetId="73">'491'!$D$79</definedName>
    <definedName name="OSRRefD22_15x_0" localSheetId="87">'492'!$D$87</definedName>
    <definedName name="OSRRefD22_15x_0" localSheetId="39">'Div 2'!$D$79:$D$80</definedName>
    <definedName name="OSRRefD22_15x_0" localSheetId="47">'Div 3'!$D$143</definedName>
    <definedName name="OSRRefD22_15x_0" localSheetId="71">'Div 4'!$D$82:$D$86</definedName>
    <definedName name="OSRRefD22_15x_0" localSheetId="2">Summary!$D$168</definedName>
    <definedName name="OSRRefD22_16x_0" localSheetId="48">'300'!$D$144:$D$146</definedName>
    <definedName name="OSRRefD22_16x_0" localSheetId="49">'300 &amp; 317'!$D$163:$D$165</definedName>
    <definedName name="OSRRefD22_16x_0" localSheetId="50">'301'!$D$75:$D$80</definedName>
    <definedName name="OSRRefD22_16x_0" localSheetId="72">'310 &amp; 491'!$D$82:$D$92</definedName>
    <definedName name="OSRRefD22_16x_0" localSheetId="57">'315'!$D$124:$D$125</definedName>
    <definedName name="OSRRefD22_16x_0" localSheetId="58">'326'!$D$91:$D$96</definedName>
    <definedName name="OSRRefD22_16x_0" localSheetId="56">'331'!$D$119:$D$121</definedName>
    <definedName name="OSRRefD22_16x_0" localSheetId="73">'491'!$D$81:$D$91</definedName>
    <definedName name="OSRRefD22_16x_0" localSheetId="87">'492'!$D$89</definedName>
    <definedName name="OSRRefD22_16x_0" localSheetId="39">'Div 2'!$D$82:$D$86</definedName>
    <definedName name="OSRRefD22_16x_0" localSheetId="47">'Div 3'!$D$145</definedName>
    <definedName name="OSRRefD22_16x_0" localSheetId="71">'Div 4'!$D$88</definedName>
    <definedName name="OSRRefD22_16x_0" localSheetId="2">Summary!$D$170</definedName>
    <definedName name="OSRRefD22_17x_0" localSheetId="48">'300'!$D$148:$D$151</definedName>
    <definedName name="OSRRefD22_17x_0" localSheetId="49">'300 &amp; 317'!$D$167:$D$170</definedName>
    <definedName name="OSRRefD22_17x_0" localSheetId="50">'301'!$D$82</definedName>
    <definedName name="OSRRefD22_17x_0" localSheetId="72">'310 &amp; 491'!$D$94:$D$95</definedName>
    <definedName name="OSRRefD22_17x_0" localSheetId="58">'326'!$D$98:$D$99</definedName>
    <definedName name="OSRRefD22_17x_0" localSheetId="56">'331'!$D$123:$D$124</definedName>
    <definedName name="OSRRefD22_17x_0" localSheetId="73">'491'!$D$93:$D$94</definedName>
    <definedName name="OSRRefD22_17x_0" localSheetId="39">'Div 2'!$D$88:$D$89</definedName>
    <definedName name="OSRRefD22_17x_0" localSheetId="47">'Div 3'!$D$147:$D$149</definedName>
    <definedName name="OSRRefD22_17x_0" localSheetId="71">'Div 4'!$D$90:$D$100</definedName>
    <definedName name="OSRRefD22_17x_0" localSheetId="2">Summary!$D$172</definedName>
    <definedName name="OSRRefD22_18x_0" localSheetId="48">'300'!$D$153:$D$156</definedName>
    <definedName name="OSRRefD22_18x_0" localSheetId="49">'300 &amp; 317'!$D$172:$D$175</definedName>
    <definedName name="OSRRefD22_18x_0" localSheetId="50">'301'!$D$84</definedName>
    <definedName name="OSRRefD22_18x_0" localSheetId="72">'310 &amp; 491'!$D$97</definedName>
    <definedName name="OSRRefD22_18x_0" localSheetId="58">'326'!$D$101</definedName>
    <definedName name="OSRRefD22_18x_0" localSheetId="56">'331'!$D$126:$D$133</definedName>
    <definedName name="OSRRefD22_18x_0" localSheetId="73">'491'!$D$96</definedName>
    <definedName name="OSRRefD22_18x_0" localSheetId="39">'Div 2'!$D$91</definedName>
    <definedName name="OSRRefD22_18x_0" localSheetId="47">'Div 3'!$D$151:$D$154</definedName>
    <definedName name="OSRRefD22_18x_0" localSheetId="71">'Div 4'!$D$102:$D$103</definedName>
    <definedName name="OSRRefD22_18x_0" localSheetId="2">Summary!$D$174:$D$177</definedName>
    <definedName name="OSRRefD22_19x_0" localSheetId="48">'300'!$D$158:$D$159</definedName>
    <definedName name="OSRRefD22_19x_0" localSheetId="49">'300 &amp; 317'!$D$177:$D$178</definedName>
    <definedName name="OSRRefD22_19x_0" localSheetId="50">'301'!$D$86</definedName>
    <definedName name="OSRRefD22_19x_0" localSheetId="72">'310 &amp; 491'!$D$99:$D$100</definedName>
    <definedName name="OSRRefD22_19x_0" localSheetId="58">'326'!$D$103:$D$104</definedName>
    <definedName name="OSRRefD22_19x_0" localSheetId="56">'331'!$D$135:$D$136</definedName>
    <definedName name="OSRRefD22_19x_0" localSheetId="73">'491'!$D$98:$D$99</definedName>
    <definedName name="OSRRefD22_19x_0" localSheetId="39">'Div 2'!$D$93:$D$94</definedName>
    <definedName name="OSRRefD22_19x_0" localSheetId="47">'Div 3'!$D$156:$D$160</definedName>
    <definedName name="OSRRefD22_19x_0" localSheetId="71">'Div 4'!$D$105</definedName>
    <definedName name="OSRRefD22_19x_0" localSheetId="2">Summary!$D$179:$D$182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'300'!$D$100:$D$109</definedName>
    <definedName name="OSRRefD22_1x_0" localSheetId="49">'300 &amp; 317'!$D$119:$D$128</definedName>
    <definedName name="OSRRefD22_1x_0" localSheetId="50">'301'!$D$30:$D$39</definedName>
    <definedName name="OSRRefD22_1x_0" localSheetId="52">'307'!$D$31:$D$40</definedName>
    <definedName name="OSRRefD22_1x_0" localSheetId="53">'308'!$D$56:$D$65</definedName>
    <definedName name="OSRRefD22_1x_0" localSheetId="65">'309'!$D$29:$D$38</definedName>
    <definedName name="OSRRefD22_1x_0" localSheetId="64">'310'!$D$33:$D$42</definedName>
    <definedName name="OSRRefD22_1x_0" localSheetId="72">'310 &amp; 491'!$D$35:$D$44</definedName>
    <definedName name="OSRRefD22_1x_0" localSheetId="54">'311'!$D$55:$D$64</definedName>
    <definedName name="OSRRefD22_1x_0" localSheetId="66">'313'!$D$32:$D$41</definedName>
    <definedName name="OSRRefD22_1x_0" localSheetId="57">'315'!$D$76:$D$85</definedName>
    <definedName name="OSRRefD22_1x_0" localSheetId="60">'316'!$D$36:$D$45</definedName>
    <definedName name="OSRRefD22_1x_0" localSheetId="62">'317'!$D$55:$D$64</definedName>
    <definedName name="OSRRefD22_1x_0" localSheetId="67">'321'!$D$29:$D$38</definedName>
    <definedName name="OSRRefD22_1x_0" localSheetId="68">'322'!$D$30:$D$39</definedName>
    <definedName name="OSRRefD22_1x_0" localSheetId="55">'324'!$D$36:$D$45</definedName>
    <definedName name="OSRRefD22_1x_0" localSheetId="69">'325'!$D$29:$D$38</definedName>
    <definedName name="OSRRefD22_1x_0" localSheetId="58">'326'!$D$48:$D$57</definedName>
    <definedName name="OSRRefD22_1x_0" localSheetId="51">'330'!$D$31:$D$40</definedName>
    <definedName name="OSRRefD22_1x_0" localSheetId="56">'331'!$D$76:$D$85</definedName>
    <definedName name="OSRRefD22_1x_0" localSheetId="59">'332'!$D$36:$D$45</definedName>
    <definedName name="OSRRefD22_1x_0" localSheetId="74">'405'!$D$32:$D$41</definedName>
    <definedName name="OSRRefD22_1x_0" localSheetId="75">'406'!$D$22</definedName>
    <definedName name="OSRRefD22_1x_0" localSheetId="76">'411'!$D$30:$D$39</definedName>
    <definedName name="OSRRefD22_1x_0" localSheetId="77">'412'!$D$31:$D$40</definedName>
    <definedName name="OSRRefD22_1x_0" localSheetId="78">'413'!$D$31:$D$40</definedName>
    <definedName name="OSRRefD22_1x_0" localSheetId="79">'414'!$D$34:$D$43</definedName>
    <definedName name="OSRRefD22_1x_0" localSheetId="80">'415'!$D$33:$D$42</definedName>
    <definedName name="OSRRefD22_1x_0" localSheetId="81">'418'!$D$31:$D$40</definedName>
    <definedName name="OSRRefD22_1x_0" localSheetId="83">'423'!$D$29:$D$38</definedName>
    <definedName name="OSRRefD22_1x_0" localSheetId="84">'424'!$D$22</definedName>
    <definedName name="OSRRefD22_1x_0" localSheetId="85">'425'!$D$26</definedName>
    <definedName name="OSRRefD22_1x_0" localSheetId="88">'430'!$D$30:$D$39</definedName>
    <definedName name="OSRRefD22_1x_0" localSheetId="89">'433'!$D$36:$D$45</definedName>
    <definedName name="OSRRefD22_1x_0" localSheetId="91">'444'!$D$31:$D$40</definedName>
    <definedName name="OSRRefD22_1x_0" localSheetId="92">'450'!$D$31:$D$40</definedName>
    <definedName name="OSRRefD22_1x_0" localSheetId="73">'491'!$D$34:$D$43</definedName>
    <definedName name="OSRRefD22_1x_0" localSheetId="87">'492'!$D$36:$D$45</definedName>
    <definedName name="OSRRefD22_1x_0" localSheetId="94">'501'!$D$32:$D$41</definedName>
    <definedName name="OSRRefD22_1x_0" localSheetId="39">'Div 2'!$D$33:$D$42</definedName>
    <definedName name="OSRRefD22_1x_0" localSheetId="47">'Div 3'!$D$101:$D$110</definedName>
    <definedName name="OSRRefD22_1x_0" localSheetId="71">'Div 4'!$D$40:$D$49</definedName>
    <definedName name="OSRRefD22_1x_0" localSheetId="93">'Div 5'!$D$32:$D$41</definedName>
    <definedName name="OSRRefD22_1x_0" localSheetId="61">'Div 6'!$D$55:$D$64</definedName>
    <definedName name="OSRRefD22_1x_0" localSheetId="2">Summary!$D$125:$D$134</definedName>
    <definedName name="OSRRefD22_20x_0" localSheetId="48">'300'!$D$161:$D$169</definedName>
    <definedName name="OSRRefD22_20x_0" localSheetId="49">'300 &amp; 317'!$D$180:$D$188</definedName>
    <definedName name="OSRRefD22_20x_0" localSheetId="50">'301'!$D$88</definedName>
    <definedName name="OSRRefD22_20x_0" localSheetId="72">'310 &amp; 491'!$D$102</definedName>
    <definedName name="OSRRefD22_20x_0" localSheetId="58">'326'!$D$106</definedName>
    <definedName name="OSRRefD22_20x_0" localSheetId="56">'331'!$D$138</definedName>
    <definedName name="OSRRefD22_20x_0" localSheetId="73">'491'!$D$101</definedName>
    <definedName name="OSRRefD22_20x_0" localSheetId="47">'Div 3'!$D$162:$D$163</definedName>
    <definedName name="OSRRefD22_20x_0" localSheetId="71">'Div 4'!$D$107:$D$108</definedName>
    <definedName name="OSRRefD22_20x_0" localSheetId="2">Summary!$D$184:$D$188</definedName>
    <definedName name="OSRRefD22_21x_0" localSheetId="48">'300'!$D$171:$D$172</definedName>
    <definedName name="OSRRefD22_21x_0" localSheetId="49">'300 &amp; 317'!$D$190:$D$191</definedName>
    <definedName name="OSRRefD22_21x_0" localSheetId="56">'331'!$D$140:$D$141</definedName>
    <definedName name="OSRRefD22_21x_0" localSheetId="47">'Div 3'!$D$165:$D$173</definedName>
    <definedName name="OSRRefD22_21x_0" localSheetId="71">'Div 4'!$D$110</definedName>
    <definedName name="OSRRefD22_21x_0" localSheetId="2">Summary!$D$190:$D$191</definedName>
    <definedName name="OSRRefD22_22x_0" localSheetId="48">'300'!$D$174</definedName>
    <definedName name="OSRRefD22_22x_0" localSheetId="49">'300 &amp; 317'!$D$193</definedName>
    <definedName name="OSRRefD22_22x_0" localSheetId="56">'331'!$D$143</definedName>
    <definedName name="OSRRefD22_22x_0" localSheetId="47">'Div 3'!$D$175:$D$176</definedName>
    <definedName name="OSRRefD22_22x_0" localSheetId="2">Summary!$D$193:$D$203</definedName>
    <definedName name="OSRRefD22_23x_0" localSheetId="48">'300'!$D$176:$D$178</definedName>
    <definedName name="OSRRefD22_23x_0" localSheetId="49">'300 &amp; 317'!$D$195:$D$197</definedName>
    <definedName name="OSRRefD22_23x_0" localSheetId="47">'Div 3'!$D$178</definedName>
    <definedName name="OSRRefD22_23x_0" localSheetId="2">Summary!$D$205:$D$206</definedName>
    <definedName name="OSRRefD22_24x_0" localSheetId="48">'300'!$D$180</definedName>
    <definedName name="OSRRefD22_24x_0" localSheetId="49">'300 &amp; 317'!$D$199</definedName>
    <definedName name="OSRRefD22_24x_0" localSheetId="47">'Div 3'!$D$180:$D$182</definedName>
    <definedName name="OSRRefD22_24x_0" localSheetId="2">Summary!$D$208</definedName>
    <definedName name="OSRRefD22_25x_0" localSheetId="47">'Div 3'!$D$184</definedName>
    <definedName name="OSRRefD22_25x_0" localSheetId="2">Summary!$D$210:$D$212</definedName>
    <definedName name="OSRRefD22_26x_0" localSheetId="2">Summary!$D$214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'300'!$D$111</definedName>
    <definedName name="OSRRefD22_2x_0" localSheetId="49">'300 &amp; 317'!$D$130</definedName>
    <definedName name="OSRRefD22_2x_0" localSheetId="50">'301'!$D$41:$D$42</definedName>
    <definedName name="OSRRefD22_2x_0" localSheetId="52">'307'!$D$42</definedName>
    <definedName name="OSRRefD22_2x_0" localSheetId="53">'308'!$D$67</definedName>
    <definedName name="OSRRefD22_2x_0" localSheetId="65">'309'!$D$40</definedName>
    <definedName name="OSRRefD22_2x_0" localSheetId="64">'310'!$D$44</definedName>
    <definedName name="OSRRefD22_2x_0" localSheetId="72">'310 &amp; 491'!$D$46</definedName>
    <definedName name="OSRRefD22_2x_0" localSheetId="54">'311'!$D$66</definedName>
    <definedName name="OSRRefD22_2x_0" localSheetId="66">'313'!$D$43</definedName>
    <definedName name="OSRRefD22_2x_0" localSheetId="57">'315'!$D$87</definedName>
    <definedName name="OSRRefD22_2x_0" localSheetId="60">'316'!$D$47</definedName>
    <definedName name="OSRRefD22_2x_0" localSheetId="62">'317'!$D$66</definedName>
    <definedName name="OSRRefD22_2x_0" localSheetId="67">'321'!$D$40</definedName>
    <definedName name="OSRRefD22_2x_0" localSheetId="68">'322'!$D$41</definedName>
    <definedName name="OSRRefD22_2x_0" localSheetId="69">'325'!$D$40</definedName>
    <definedName name="OSRRefD22_2x_0" localSheetId="58">'326'!$D$59</definedName>
    <definedName name="OSRRefD22_2x_0" localSheetId="51">'330'!$D$42</definedName>
    <definedName name="OSRRefD22_2x_0" localSheetId="56">'331'!$D$87</definedName>
    <definedName name="OSRRefD22_2x_0" localSheetId="59">'332'!$D$47</definedName>
    <definedName name="OSRRefD22_2x_0" localSheetId="74">'405'!$D$43</definedName>
    <definedName name="OSRRefD22_2x_0" localSheetId="75">'406'!$D$24</definedName>
    <definedName name="OSRRefD22_2x_0" localSheetId="76">'411'!$D$41</definedName>
    <definedName name="OSRRefD22_2x_0" localSheetId="77">'412'!$D$42</definedName>
    <definedName name="OSRRefD22_2x_0" localSheetId="78">'413'!$D$42</definedName>
    <definedName name="OSRRefD22_2x_0" localSheetId="79">'414'!$D$45</definedName>
    <definedName name="OSRRefD22_2x_0" localSheetId="80">'415'!$D$44</definedName>
    <definedName name="OSRRefD22_2x_0" localSheetId="81">'418'!$D$42</definedName>
    <definedName name="OSRRefD22_2x_0" localSheetId="83">'423'!$D$40</definedName>
    <definedName name="OSRRefD22_2x_0" localSheetId="84">'424'!$D$24</definedName>
    <definedName name="OSRRefD22_2x_0" localSheetId="85">'425'!$D$28</definedName>
    <definedName name="OSRRefD22_2x_0" localSheetId="88">'430'!$D$41:$D$43</definedName>
    <definedName name="OSRRefD22_2x_0" localSheetId="89">'433'!$D$47</definedName>
    <definedName name="OSRRefD22_2x_0" localSheetId="91">'444'!$D$42</definedName>
    <definedName name="OSRRefD22_2x_0" localSheetId="92">'450'!$D$42</definedName>
    <definedName name="OSRRefD22_2x_0" localSheetId="73">'491'!$D$45</definedName>
    <definedName name="OSRRefD22_2x_0" localSheetId="87">'492'!$D$47</definedName>
    <definedName name="OSRRefD22_2x_0" localSheetId="94">'501'!$D$43</definedName>
    <definedName name="OSRRefD22_2x_0" localSheetId="39">'Div 2'!$D$44</definedName>
    <definedName name="OSRRefD22_2x_0" localSheetId="47">'Div 3'!$D$112</definedName>
    <definedName name="OSRRefD22_2x_0" localSheetId="71">'Div 4'!$D$51</definedName>
    <definedName name="OSRRefD22_2x_0" localSheetId="93">'Div 5'!$D$43</definedName>
    <definedName name="OSRRefD22_2x_0" localSheetId="61">'Div 6'!$D$66</definedName>
    <definedName name="OSRRefD22_2x_0" localSheetId="2">Summary!$D$136</definedName>
    <definedName name="OSRRefD22_3x_0" localSheetId="40">'200'!$D$26:$D$27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'205'!$D$43:$D$44</definedName>
    <definedName name="OSRRefD22_3x_0" localSheetId="46">'206'!$D$43</definedName>
    <definedName name="OSRRefD22_3x_0" localSheetId="48">'300'!$D$113:$D$114</definedName>
    <definedName name="OSRRefD22_3x_0" localSheetId="49">'300 &amp; 317'!$D$132:$D$133</definedName>
    <definedName name="OSRRefD22_3x_0" localSheetId="50">'301'!$D$44</definedName>
    <definedName name="OSRRefD22_3x_0" localSheetId="52">'307'!$D$44</definedName>
    <definedName name="OSRRefD22_3x_0" localSheetId="53">'308'!$D$69</definedName>
    <definedName name="OSRRefD22_3x_0" localSheetId="65">'309'!$D$42</definedName>
    <definedName name="OSRRefD22_3x_0" localSheetId="64">'310'!$D$46</definedName>
    <definedName name="OSRRefD22_3x_0" localSheetId="72">'310 &amp; 491'!$D$48</definedName>
    <definedName name="OSRRefD22_3x_0" localSheetId="54">'311'!$D$68</definedName>
    <definedName name="OSRRefD22_3x_0" localSheetId="66">'313'!$D$45</definedName>
    <definedName name="OSRRefD22_3x_0" localSheetId="57">'315'!$D$89</definedName>
    <definedName name="OSRRefD22_3x_0" localSheetId="60">'316'!$D$49</definedName>
    <definedName name="OSRRefD22_3x_0" localSheetId="62">'317'!$D$68</definedName>
    <definedName name="OSRRefD22_3x_0" localSheetId="67">'321'!$D$42</definedName>
    <definedName name="OSRRefD22_3x_0" localSheetId="68">'322'!$D$43</definedName>
    <definedName name="OSRRefD22_3x_0" localSheetId="69">'325'!$D$42</definedName>
    <definedName name="OSRRefD22_3x_0" localSheetId="58">'326'!$D$61</definedName>
    <definedName name="OSRRefD22_3x_0" localSheetId="51">'330'!$D$44</definedName>
    <definedName name="OSRRefD22_3x_0" localSheetId="56">'331'!$D$89</definedName>
    <definedName name="OSRRefD22_3x_0" localSheetId="59">'332'!$D$49</definedName>
    <definedName name="OSRRefD22_3x_0" localSheetId="74">'405'!$D$45</definedName>
    <definedName name="OSRRefD22_3x_0" localSheetId="75">'406'!$D$26</definedName>
    <definedName name="OSRRefD22_3x_0" localSheetId="76">'411'!$D$43:$D$44</definedName>
    <definedName name="OSRRefD22_3x_0" localSheetId="77">'412'!$D$44</definedName>
    <definedName name="OSRRefD22_3x_0" localSheetId="78">'413'!$D$44</definedName>
    <definedName name="OSRRefD22_3x_0" localSheetId="79">'414'!$D$47</definedName>
    <definedName name="OSRRefD22_3x_0" localSheetId="80">'415'!$D$46</definedName>
    <definedName name="OSRRefD22_3x_0" localSheetId="81">'418'!$D$44:$D$45</definedName>
    <definedName name="OSRRefD22_3x_0" localSheetId="83">'423'!$D$42:$D$43</definedName>
    <definedName name="OSRRefD22_3x_0" localSheetId="85">'425'!$D$30</definedName>
    <definedName name="OSRRefD22_3x_0" localSheetId="88">'430'!$D$45:$D$46</definedName>
    <definedName name="OSRRefD22_3x_0" localSheetId="89">'433'!$D$49</definedName>
    <definedName name="OSRRefD22_3x_0" localSheetId="91">'444'!$D$44</definedName>
    <definedName name="OSRRefD22_3x_0" localSheetId="92">'450'!$D$44</definedName>
    <definedName name="OSRRefD22_3x_0" localSheetId="73">'491'!$D$47</definedName>
    <definedName name="OSRRefD22_3x_0" localSheetId="87">'492'!$D$49</definedName>
    <definedName name="OSRRefD22_3x_0" localSheetId="94">'501'!$D$45</definedName>
    <definedName name="OSRRefD22_3x_0" localSheetId="39">'Div 2'!$D$46</definedName>
    <definedName name="OSRRefD22_3x_0" localSheetId="47">'Div 3'!$D$114:$D$115</definedName>
    <definedName name="OSRRefD22_3x_0" localSheetId="71">'Div 4'!$D$53</definedName>
    <definedName name="OSRRefD22_3x_0" localSheetId="93">'Div 5'!$D$45</definedName>
    <definedName name="OSRRefD22_3x_0" localSheetId="61">'Div 6'!$D$68</definedName>
    <definedName name="OSRRefD22_3x_0" localSheetId="2">Summary!$D$138:$D$139</definedName>
    <definedName name="OSRRefD22_4x_0" localSheetId="41">'201'!$D$46</definedName>
    <definedName name="OSRRefD22_4x_0" localSheetId="42">'202'!$D$46</definedName>
    <definedName name="OSRRefD22_4x_0" localSheetId="43">'203'!$D$46</definedName>
    <definedName name="OSRRefD22_4x_0" localSheetId="44">'204'!$D$47</definedName>
    <definedName name="OSRRefD22_4x_0" localSheetId="45">'205'!$D$46</definedName>
    <definedName name="OSRRefD22_4x_0" localSheetId="46">'206'!$D$45</definedName>
    <definedName name="OSRRefD22_4x_0" localSheetId="48">'300'!$D$116</definedName>
    <definedName name="OSRRefD22_4x_0" localSheetId="49">'300 &amp; 317'!$D$135</definedName>
    <definedName name="OSRRefD22_4x_0" localSheetId="50">'301'!$D$46:$D$47</definedName>
    <definedName name="OSRRefD22_4x_0" localSheetId="52">'307'!$D$46</definedName>
    <definedName name="OSRRefD22_4x_0" localSheetId="53">'308'!$D$71</definedName>
    <definedName name="OSRRefD22_4x_0" localSheetId="65">'309'!$D$44</definedName>
    <definedName name="OSRRefD22_4x_0" localSheetId="64">'310'!$D$48</definedName>
    <definedName name="OSRRefD22_4x_0" localSheetId="72">'310 &amp; 491'!$D$50</definedName>
    <definedName name="OSRRefD22_4x_0" localSheetId="54">'311'!$D$70</definedName>
    <definedName name="OSRRefD22_4x_0" localSheetId="66">'313'!$D$47</definedName>
    <definedName name="OSRRefD22_4x_0" localSheetId="57">'315'!$D$91</definedName>
    <definedName name="OSRRefD22_4x_0" localSheetId="60">'316'!$D$51</definedName>
    <definedName name="OSRRefD22_4x_0" localSheetId="62">'317'!$D$70</definedName>
    <definedName name="OSRRefD22_4x_0" localSheetId="67">'321'!$D$44</definedName>
    <definedName name="OSRRefD22_4x_0" localSheetId="68">'322'!$D$45</definedName>
    <definedName name="OSRRefD22_4x_0" localSheetId="69">'325'!$D$44:$D$45</definedName>
    <definedName name="OSRRefD22_4x_0" localSheetId="58">'326'!$D$63</definedName>
    <definedName name="OSRRefD22_4x_0" localSheetId="51">'330'!$D$46</definedName>
    <definedName name="OSRRefD22_4x_0" localSheetId="56">'331'!$D$91</definedName>
    <definedName name="OSRRefD22_4x_0" localSheetId="59">'332'!$D$51</definedName>
    <definedName name="OSRRefD22_4x_0" localSheetId="74">'405'!$D$47:$D$48</definedName>
    <definedName name="OSRRefD22_4x_0" localSheetId="76">'411'!$D$46</definedName>
    <definedName name="OSRRefD22_4x_0" localSheetId="77">'412'!$D$46:$D$47</definedName>
    <definedName name="OSRRefD22_4x_0" localSheetId="78">'413'!$D$46</definedName>
    <definedName name="OSRRefD22_4x_0" localSheetId="79">'414'!$D$49</definedName>
    <definedName name="OSRRefD22_4x_0" localSheetId="80">'415'!$D$48</definedName>
    <definedName name="OSRRefD22_4x_0" localSheetId="81">'418'!$D$47</definedName>
    <definedName name="OSRRefD22_4x_0" localSheetId="83">'423'!$D$45</definedName>
    <definedName name="OSRRefD22_4x_0" localSheetId="88">'430'!$D$48</definedName>
    <definedName name="OSRRefD22_4x_0" localSheetId="89">'433'!$D$51</definedName>
    <definedName name="OSRRefD22_4x_0" localSheetId="91">'444'!$D$46</definedName>
    <definedName name="OSRRefD22_4x_0" localSheetId="92">'450'!$D$46</definedName>
    <definedName name="OSRRefD22_4x_0" localSheetId="73">'491'!$D$49</definedName>
    <definedName name="OSRRefD22_4x_0" localSheetId="87">'492'!$D$51</definedName>
    <definedName name="OSRRefD22_4x_0" localSheetId="94">'501'!$D$47</definedName>
    <definedName name="OSRRefD22_4x_0" localSheetId="39">'Div 2'!$D$48</definedName>
    <definedName name="OSRRefD22_4x_0" localSheetId="47">'Div 3'!$D$117</definedName>
    <definedName name="OSRRefD22_4x_0" localSheetId="71">'Div 4'!$D$55</definedName>
    <definedName name="OSRRefD22_4x_0" localSheetId="93">'Div 5'!$D$47</definedName>
    <definedName name="OSRRefD22_4x_0" localSheetId="61">'Div 6'!$D$70</definedName>
    <definedName name="OSRRefD22_4x_0" localSheetId="2">Summary!$D$141</definedName>
    <definedName name="OSRRefD22_5x_0" localSheetId="41">'201'!$D$48</definedName>
    <definedName name="OSRRefD22_5x_0" localSheetId="42">'202'!$D$48</definedName>
    <definedName name="OSRRefD22_5x_0" localSheetId="43">'203'!$D$48</definedName>
    <definedName name="OSRRefD22_5x_0" localSheetId="44">'204'!$D$49</definedName>
    <definedName name="OSRRefD22_5x_0" localSheetId="45">'205'!$D$48</definedName>
    <definedName name="OSRRefD22_5x_0" localSheetId="46">'206'!$D$47</definedName>
    <definedName name="OSRRefD22_5x_0" localSheetId="48">'300'!$D$118:$D$119</definedName>
    <definedName name="OSRRefD22_5x_0" localSheetId="49">'300 &amp; 317'!$D$137:$D$138</definedName>
    <definedName name="OSRRefD22_5x_0" localSheetId="50">'301'!$D$49</definedName>
    <definedName name="OSRRefD22_5x_0" localSheetId="52">'307'!$D$48</definedName>
    <definedName name="OSRRefD22_5x_0" localSheetId="53">'308'!$D$73</definedName>
    <definedName name="OSRRefD22_5x_0" localSheetId="65">'309'!$D$46</definedName>
    <definedName name="OSRRefD22_5x_0" localSheetId="64">'310'!$D$50:$D$51</definedName>
    <definedName name="OSRRefD22_5x_0" localSheetId="72">'310 &amp; 491'!$D$52:$D$54</definedName>
    <definedName name="OSRRefD22_5x_0" localSheetId="54">'311'!$D$72</definedName>
    <definedName name="OSRRefD22_5x_0" localSheetId="66">'313'!$D$49</definedName>
    <definedName name="OSRRefD22_5x_0" localSheetId="57">'315'!$D$93</definedName>
    <definedName name="OSRRefD22_5x_0" localSheetId="60">'316'!$D$53</definedName>
    <definedName name="OSRRefD22_5x_0" localSheetId="62">'317'!$D$72</definedName>
    <definedName name="OSRRefD22_5x_0" localSheetId="67">'321'!$D$46</definedName>
    <definedName name="OSRRefD22_5x_0" localSheetId="68">'322'!$D$47</definedName>
    <definedName name="OSRRefD22_5x_0" localSheetId="69">'325'!$D$47</definedName>
    <definedName name="OSRRefD22_5x_0" localSheetId="58">'326'!$D$65</definedName>
    <definedName name="OSRRefD22_5x_0" localSheetId="51">'330'!$D$48</definedName>
    <definedName name="OSRRefD22_5x_0" localSheetId="56">'331'!$D$93</definedName>
    <definedName name="OSRRefD22_5x_0" localSheetId="59">'332'!$D$53</definedName>
    <definedName name="OSRRefD22_5x_0" localSheetId="74">'405'!$D$50</definedName>
    <definedName name="OSRRefD22_5x_0" localSheetId="76">'411'!$D$48</definedName>
    <definedName name="OSRRefD22_5x_0" localSheetId="77">'412'!$D$49</definedName>
    <definedName name="OSRRefD22_5x_0" localSheetId="78">'413'!$D$48:$D$49</definedName>
    <definedName name="OSRRefD22_5x_0" localSheetId="79">'414'!$D$51</definedName>
    <definedName name="OSRRefD22_5x_0" localSheetId="80">'415'!$D$50:$D$51</definedName>
    <definedName name="OSRRefD22_5x_0" localSheetId="81">'418'!$D$49</definedName>
    <definedName name="OSRRefD22_5x_0" localSheetId="83">'423'!$D$47</definedName>
    <definedName name="OSRRefD22_5x_0" localSheetId="88">'430'!$D$50</definedName>
    <definedName name="OSRRefD22_5x_0" localSheetId="89">'433'!$D$53</definedName>
    <definedName name="OSRRefD22_5x_0" localSheetId="91">'444'!$D$48:$D$50</definedName>
    <definedName name="OSRRefD22_5x_0" localSheetId="92">'450'!$D$48</definedName>
    <definedName name="OSRRefD22_5x_0" localSheetId="73">'491'!$D$51:$D$53</definedName>
    <definedName name="OSRRefD22_5x_0" localSheetId="87">'492'!$D$53</definedName>
    <definedName name="OSRRefD22_5x_0" localSheetId="94">'501'!$D$49</definedName>
    <definedName name="OSRRefD22_5x_0" localSheetId="39">'Div 2'!$D$50:$D$51</definedName>
    <definedName name="OSRRefD22_5x_0" localSheetId="47">'Div 3'!$D$119:$D$120</definedName>
    <definedName name="OSRRefD22_5x_0" localSheetId="71">'Div 4'!$D$57:$D$59</definedName>
    <definedName name="OSRRefD22_5x_0" localSheetId="93">'Div 5'!$D$49</definedName>
    <definedName name="OSRRefD22_5x_0" localSheetId="61">'Div 6'!$D$72</definedName>
    <definedName name="OSRRefD22_5x_0" localSheetId="2">Summary!$D$143:$D$145</definedName>
    <definedName name="OSRRefD22_6x_0" localSheetId="41">'201'!$D$50</definedName>
    <definedName name="OSRRefD22_6x_0" localSheetId="42">'202'!$D$50</definedName>
    <definedName name="OSRRefD22_6x_0" localSheetId="43">'203'!$D$50:$D$51</definedName>
    <definedName name="OSRRefD22_6x_0" localSheetId="44">'204'!$D$51:$D$53</definedName>
    <definedName name="OSRRefD22_6x_0" localSheetId="45">'205'!$D$50</definedName>
    <definedName name="OSRRefD22_6x_0" localSheetId="46">'206'!$D$49</definedName>
    <definedName name="OSRRefD22_6x_0" localSheetId="48">'300'!$D$121</definedName>
    <definedName name="OSRRefD22_6x_0" localSheetId="49">'300 &amp; 317'!$D$140</definedName>
    <definedName name="OSRRefD22_6x_0" localSheetId="50">'301'!$D$51</definedName>
    <definedName name="OSRRefD22_6x_0" localSheetId="52">'307'!$D$50</definedName>
    <definedName name="OSRRefD22_6x_0" localSheetId="53">'308'!$D$75</definedName>
    <definedName name="OSRRefD22_6x_0" localSheetId="65">'309'!$D$48</definedName>
    <definedName name="OSRRefD22_6x_0" localSheetId="64">'310'!$D$53</definedName>
    <definedName name="OSRRefD22_6x_0" localSheetId="72">'310 &amp; 491'!$D$56</definedName>
    <definedName name="OSRRefD22_6x_0" localSheetId="54">'311'!$D$74</definedName>
    <definedName name="OSRRefD22_6x_0" localSheetId="66">'313'!$D$51:$D$53</definedName>
    <definedName name="OSRRefD22_6x_0" localSheetId="57">'315'!$D$95</definedName>
    <definedName name="OSRRefD22_6x_0" localSheetId="60">'316'!$D$55:$D$56</definedName>
    <definedName name="OSRRefD22_6x_0" localSheetId="62">'317'!$D$74:$D$75</definedName>
    <definedName name="OSRRefD22_6x_0" localSheetId="67">'321'!$D$48:$D$49</definedName>
    <definedName name="OSRRefD22_6x_0" localSheetId="68">'322'!$D$49</definedName>
    <definedName name="OSRRefD22_6x_0" localSheetId="69">'325'!$D$49</definedName>
    <definedName name="OSRRefD22_6x_0" localSheetId="58">'326'!$D$67</definedName>
    <definedName name="OSRRefD22_6x_0" localSheetId="51">'330'!$D$50</definedName>
    <definedName name="OSRRefD22_6x_0" localSheetId="56">'331'!$D$95</definedName>
    <definedName name="OSRRefD22_6x_0" localSheetId="59">'332'!$D$55:$D$56</definedName>
    <definedName name="OSRRefD22_6x_0" localSheetId="74">'405'!$D$52</definedName>
    <definedName name="OSRRefD22_6x_0" localSheetId="76">'411'!$D$50:$D$51</definedName>
    <definedName name="OSRRefD22_6x_0" localSheetId="77">'412'!$D$51</definedName>
    <definedName name="OSRRefD22_6x_0" localSheetId="78">'413'!$D$51</definedName>
    <definedName name="OSRRefD22_6x_0" localSheetId="79">'414'!$D$53</definedName>
    <definedName name="OSRRefD22_6x_0" localSheetId="80">'415'!$D$53</definedName>
    <definedName name="OSRRefD22_6x_0" localSheetId="81">'418'!$D$51</definedName>
    <definedName name="OSRRefD22_6x_0" localSheetId="83">'423'!$D$49</definedName>
    <definedName name="OSRRefD22_6x_0" localSheetId="89">'433'!$D$55</definedName>
    <definedName name="OSRRefD22_6x_0" localSheetId="91">'444'!$D$52:$D$54</definedName>
    <definedName name="OSRRefD22_6x_0" localSheetId="92">'450'!$D$50</definedName>
    <definedName name="OSRRefD22_6x_0" localSheetId="73">'491'!$D$55</definedName>
    <definedName name="OSRRefD22_6x_0" localSheetId="87">'492'!$D$55</definedName>
    <definedName name="OSRRefD22_6x_0" localSheetId="94">'501'!$D$51</definedName>
    <definedName name="OSRRefD22_6x_0" localSheetId="39">'Div 2'!$D$53</definedName>
    <definedName name="OSRRefD22_6x_0" localSheetId="47">'Div 3'!$D$122</definedName>
    <definedName name="OSRRefD22_6x_0" localSheetId="71">'Div 4'!$D$61</definedName>
    <definedName name="OSRRefD22_6x_0" localSheetId="93">'Div 5'!$D$51</definedName>
    <definedName name="OSRRefD22_6x_0" localSheetId="61">'Div 6'!$D$74:$D$75</definedName>
    <definedName name="OSRRefD22_6x_0" localSheetId="2">Summary!$D$147</definedName>
    <definedName name="OSRRefD22_7x_0" localSheetId="41">'201'!$D$52</definedName>
    <definedName name="OSRRefD22_7x_0" localSheetId="42">'202'!$D$52:$D$53</definedName>
    <definedName name="OSRRefD22_7x_0" localSheetId="43">'203'!$D$53:$D$55</definedName>
    <definedName name="OSRRefD22_7x_0" localSheetId="44">'204'!$D$55:$D$56</definedName>
    <definedName name="OSRRefD22_7x_0" localSheetId="46">'206'!$D$51</definedName>
    <definedName name="OSRRefD22_7x_0" localSheetId="48">'300'!$D$123:$D$124</definedName>
    <definedName name="OSRRefD22_7x_0" localSheetId="49">'300 &amp; 317'!$D$142:$D$143</definedName>
    <definedName name="OSRRefD22_7x_0" localSheetId="50">'301'!$D$53</definedName>
    <definedName name="OSRRefD22_7x_0" localSheetId="52">'307'!$D$52:$D$53</definedName>
    <definedName name="OSRRefD22_7x_0" localSheetId="53">'308'!$D$77</definedName>
    <definedName name="OSRRefD22_7x_0" localSheetId="64">'310'!$D$55</definedName>
    <definedName name="OSRRefD22_7x_0" localSheetId="72">'310 &amp; 491'!$D$58</definedName>
    <definedName name="OSRRefD22_7x_0" localSheetId="54">'311'!$D$76</definedName>
    <definedName name="OSRRefD22_7x_0" localSheetId="66">'313'!$D$55:$D$56</definedName>
    <definedName name="OSRRefD22_7x_0" localSheetId="57">'315'!$D$97:$D$98</definedName>
    <definedName name="OSRRefD22_7x_0" localSheetId="60">'316'!$D$58</definedName>
    <definedName name="OSRRefD22_7x_0" localSheetId="62">'317'!$D$77</definedName>
    <definedName name="OSRRefD22_7x_0" localSheetId="67">'321'!$D$51</definedName>
    <definedName name="OSRRefD22_7x_0" localSheetId="68">'322'!$D$51</definedName>
    <definedName name="OSRRefD22_7x_0" localSheetId="69">'325'!$D$51</definedName>
    <definedName name="OSRRefD22_7x_0" localSheetId="58">'326'!$D$69</definedName>
    <definedName name="OSRRefD22_7x_0" localSheetId="51">'330'!$D$52:$D$53</definedName>
    <definedName name="OSRRefD22_7x_0" localSheetId="56">'331'!$D$97</definedName>
    <definedName name="OSRRefD22_7x_0" localSheetId="59">'332'!$D$58</definedName>
    <definedName name="OSRRefD22_7x_0" localSheetId="74">'405'!$D$54</definedName>
    <definedName name="OSRRefD22_7x_0" localSheetId="76">'411'!$D$53:$D$56</definedName>
    <definedName name="OSRRefD22_7x_0" localSheetId="77">'412'!$D$53</definedName>
    <definedName name="OSRRefD22_7x_0" localSheetId="78">'413'!$D$53:$D$54</definedName>
    <definedName name="OSRRefD22_7x_0" localSheetId="79">'414'!$D$55</definedName>
    <definedName name="OSRRefD22_7x_0" localSheetId="80">'415'!$D$55</definedName>
    <definedName name="OSRRefD22_7x_0" localSheetId="81">'418'!$D$53:$D$54</definedName>
    <definedName name="OSRRefD22_7x_0" localSheetId="89">'433'!$D$57</definedName>
    <definedName name="OSRRefD22_7x_0" localSheetId="91">'444'!$D$56:$D$58</definedName>
    <definedName name="OSRRefD22_7x_0" localSheetId="92">'450'!$D$52:$D$54</definedName>
    <definedName name="OSRRefD22_7x_0" localSheetId="73">'491'!$D$57</definedName>
    <definedName name="OSRRefD22_7x_0" localSheetId="87">'492'!$D$57</definedName>
    <definedName name="OSRRefD22_7x_0" localSheetId="94">'501'!$D$53</definedName>
    <definedName name="OSRRefD22_7x_0" localSheetId="39">'Div 2'!$D$55</definedName>
    <definedName name="OSRRefD22_7x_0" localSheetId="47">'Div 3'!$D$124:$D$125</definedName>
    <definedName name="OSRRefD22_7x_0" localSheetId="71">'Div 4'!$D$63</definedName>
    <definedName name="OSRRefD22_7x_0" localSheetId="93">'Div 5'!$D$53</definedName>
    <definedName name="OSRRefD22_7x_0" localSheetId="61">'Div 6'!$D$77</definedName>
    <definedName name="OSRRefD22_7x_0" localSheetId="2">Summary!$D$149:$D$150</definedName>
    <definedName name="OSRRefD22_8x_0" localSheetId="41">'201'!$D$54</definedName>
    <definedName name="OSRRefD22_8x_0" localSheetId="42">'202'!$D$55</definedName>
    <definedName name="OSRRefD22_8x_0" localSheetId="43">'203'!$D$57</definedName>
    <definedName name="OSRRefD22_8x_0" localSheetId="44">'204'!$D$58</definedName>
    <definedName name="OSRRefD22_8x_0" localSheetId="46">'206'!$D$53:$D$54</definedName>
    <definedName name="OSRRefD22_8x_0" localSheetId="48">'300'!$D$126</definedName>
    <definedName name="OSRRefD22_8x_0" localSheetId="49">'300 &amp; 317'!$D$145</definedName>
    <definedName name="OSRRefD22_8x_0" localSheetId="50">'301'!$D$55</definedName>
    <definedName name="OSRRefD22_8x_0" localSheetId="52">'307'!$D$55</definedName>
    <definedName name="OSRRefD22_8x_0" localSheetId="53">'308'!$D$79</definedName>
    <definedName name="OSRRefD22_8x_0" localSheetId="64">'310'!$D$57</definedName>
    <definedName name="OSRRefD22_8x_0" localSheetId="72">'310 &amp; 491'!$D$60</definedName>
    <definedName name="OSRRefD22_8x_0" localSheetId="54">'311'!$D$78</definedName>
    <definedName name="OSRRefD22_8x_0" localSheetId="57">'315'!$D$100</definedName>
    <definedName name="OSRRefD22_8x_0" localSheetId="60">'316'!$D$60</definedName>
    <definedName name="OSRRefD22_8x_0" localSheetId="62">'317'!$D$79</definedName>
    <definedName name="OSRRefD22_8x_0" localSheetId="68">'322'!$D$53</definedName>
    <definedName name="OSRRefD22_8x_0" localSheetId="69">'325'!$D$53</definedName>
    <definedName name="OSRRefD22_8x_0" localSheetId="58">'326'!$D$71:$D$72</definedName>
    <definedName name="OSRRefD22_8x_0" localSheetId="51">'330'!$D$55</definedName>
    <definedName name="OSRRefD22_8x_0" localSheetId="56">'331'!$D$99:$D$100</definedName>
    <definedName name="OSRRefD22_8x_0" localSheetId="59">'332'!$D$60</definedName>
    <definedName name="OSRRefD22_8x_0" localSheetId="74">'405'!$D$56:$D$57</definedName>
    <definedName name="OSRRefD22_8x_0" localSheetId="76">'411'!$D$58:$D$64</definedName>
    <definedName name="OSRRefD22_8x_0" localSheetId="77">'412'!$D$55</definedName>
    <definedName name="OSRRefD22_8x_0" localSheetId="78">'413'!$D$56:$D$57</definedName>
    <definedName name="OSRRefD22_8x_0" localSheetId="79">'414'!$D$57</definedName>
    <definedName name="OSRRefD22_8x_0" localSheetId="80">'415'!$D$57</definedName>
    <definedName name="OSRRefD22_8x_0" localSheetId="81">'418'!$D$56:$D$63</definedName>
    <definedName name="OSRRefD22_8x_0" localSheetId="89">'433'!$D$59</definedName>
    <definedName name="OSRRefD22_8x_0" localSheetId="91">'444'!$D$60:$D$61</definedName>
    <definedName name="OSRRefD22_8x_0" localSheetId="92">'450'!$D$56</definedName>
    <definedName name="OSRRefD22_8x_0" localSheetId="73">'491'!$D$59</definedName>
    <definedName name="OSRRefD22_8x_0" localSheetId="87">'492'!$D$59</definedName>
    <definedName name="OSRRefD22_8x_0" localSheetId="94">'501'!$D$55</definedName>
    <definedName name="OSRRefD22_8x_0" localSheetId="39">'Div 2'!$D$57</definedName>
    <definedName name="OSRRefD22_8x_0" localSheetId="47">'Div 3'!$D$127</definedName>
    <definedName name="OSRRefD22_8x_0" localSheetId="71">'Div 4'!$D$65</definedName>
    <definedName name="OSRRefD22_8x_0" localSheetId="93">'Div 5'!$D$55</definedName>
    <definedName name="OSRRefD22_8x_0" localSheetId="61">'Div 6'!$D$79</definedName>
    <definedName name="OSRRefD22_8x_0" localSheetId="2">Summary!$D$152</definedName>
    <definedName name="OSRRefD22_9x_0" localSheetId="41">'201'!$D$56</definedName>
    <definedName name="OSRRefD22_9x_0" localSheetId="42">'202'!$D$57:$D$59</definedName>
    <definedName name="OSRRefD22_9x_0" localSheetId="43">'203'!$D$59</definedName>
    <definedName name="OSRRefD22_9x_0" localSheetId="44">'204'!$D$60:$D$61</definedName>
    <definedName name="OSRRefD22_9x_0" localSheetId="46">'206'!$D$56</definedName>
    <definedName name="OSRRefD22_9x_0" localSheetId="48">'300'!$D$128</definedName>
    <definedName name="OSRRefD22_9x_0" localSheetId="49">'300 &amp; 317'!$D$147</definedName>
    <definedName name="OSRRefD22_9x_0" localSheetId="50">'301'!$D$57</definedName>
    <definedName name="OSRRefD22_9x_0" localSheetId="52">'307'!$D$57:$D$58</definedName>
    <definedName name="OSRRefD22_9x_0" localSheetId="53">'308'!$D$81:$D$82</definedName>
    <definedName name="OSRRefD22_9x_0" localSheetId="64">'310'!$D$59</definedName>
    <definedName name="OSRRefD22_9x_0" localSheetId="72">'310 &amp; 491'!$D$62</definedName>
    <definedName name="OSRRefD22_9x_0" localSheetId="54">'311'!$D$80:$D$81</definedName>
    <definedName name="OSRRefD22_9x_0" localSheetId="57">'315'!$D$102</definedName>
    <definedName name="OSRRefD22_9x_0" localSheetId="60">'316'!$D$62:$D$65</definedName>
    <definedName name="OSRRefD22_9x_0" localSheetId="62">'317'!$D$81</definedName>
    <definedName name="OSRRefD22_9x_0" localSheetId="68">'322'!$D$55:$D$56</definedName>
    <definedName name="OSRRefD22_9x_0" localSheetId="69">'325'!$D$55:$D$57</definedName>
    <definedName name="OSRRefD22_9x_0" localSheetId="58">'326'!$D$74</definedName>
    <definedName name="OSRRefD22_9x_0" localSheetId="51">'330'!$D$57:$D$58</definedName>
    <definedName name="OSRRefD22_9x_0" localSheetId="56">'331'!$D$102:$D$103</definedName>
    <definedName name="OSRRefD22_9x_0" localSheetId="59">'332'!$D$62:$D$65</definedName>
    <definedName name="OSRRefD22_9x_0" localSheetId="74">'405'!$D$59:$D$62</definedName>
    <definedName name="OSRRefD22_9x_0" localSheetId="76">'411'!$D$66</definedName>
    <definedName name="OSRRefD22_9x_0" localSheetId="77">'412'!$D$57</definedName>
    <definedName name="OSRRefD22_9x_0" localSheetId="79">'414'!$D$59:$D$61</definedName>
    <definedName name="OSRRefD22_9x_0" localSheetId="80">'415'!$D$59</definedName>
    <definedName name="OSRRefD22_9x_0" localSheetId="81">'418'!$D$65:$D$66</definedName>
    <definedName name="OSRRefD22_9x_0" localSheetId="89">'433'!$D$61</definedName>
    <definedName name="OSRRefD22_9x_0" localSheetId="92">'450'!$D$58:$D$59</definedName>
    <definedName name="OSRRefD22_9x_0" localSheetId="73">'491'!$D$61</definedName>
    <definedName name="OSRRefD22_9x_0" localSheetId="87">'492'!$D$61</definedName>
    <definedName name="OSRRefD22_9x_0" localSheetId="94">'501'!$D$57</definedName>
    <definedName name="OSRRefD22_9x_0" localSheetId="39">'Div 2'!$D$59</definedName>
    <definedName name="OSRRefD22_9x_0" localSheetId="47">'Div 3'!$D$129</definedName>
    <definedName name="OSRRefD22_9x_0" localSheetId="71">'Div 4'!$D$67</definedName>
    <definedName name="OSRRefD22_9x_0" localSheetId="93">'Div 5'!$D$57</definedName>
    <definedName name="OSRRefD22_9x_0" localSheetId="61">'Div 6'!$D$81</definedName>
    <definedName name="OSRRefD22_9x_0" localSheetId="2">Summary!$D$154</definedName>
    <definedName name="OSRRefD22x_0" localSheetId="40">'200'!$D$20,'200'!$D$22,'200'!$D$24,'200'!$D$26:$D$27</definedName>
    <definedName name="OSRRefD22x_0" localSheetId="41">'201'!$D$21:$D$29,'201'!$D$31:$D$40,'201'!$D$42,'201'!$D$44,'201'!$D$46,'201'!$D$48,'201'!$D$50,'201'!$D$52,'201'!$D$54,'201'!$D$56,'201'!$D$58,'201'!$D$60:$D$62,'201'!$D$64</definedName>
    <definedName name="OSRRefD22x_0" localSheetId="42">'202'!$D$21:$D$29,'202'!$D$31:$D$40,'202'!$D$42,'202'!$D$44,'202'!$D$46,'202'!$D$48,'202'!$D$50,'202'!$D$52:$D$53,'202'!$D$55,'202'!$D$57:$D$59,'202'!$D$61,'202'!$D$63,'202'!$D$65</definedName>
    <definedName name="OSRRefD22x_0" localSheetId="43">'203'!$D$20:$D$29,'203'!$D$31:$D$40,'203'!$D$42,'203'!$D$44,'203'!$D$46,'203'!$D$48,'203'!$D$50:$D$51,'203'!$D$53:$D$55,'203'!$D$57,'203'!$D$59,'203'!$D$61:$D$63,'203'!$D$65,'203'!$D$67</definedName>
    <definedName name="OSRRefD22x_0" localSheetId="44">'204'!$D$20:$D$29,'204'!$D$31:$D$40,'204'!$D$42,'204'!$D$44:$D$45,'204'!$D$47,'204'!$D$49,'204'!$D$51:$D$53,'204'!$D$55:$D$56,'204'!$D$58,'204'!$D$60:$D$61,'204'!$D$63</definedName>
    <definedName name="OSRRefD22x_0" localSheetId="45">'205'!$D$20:$D$28,'205'!$D$30:$D$39,'205'!$D$41,'205'!$D$43:$D$44,'205'!$D$46,'205'!$D$48,'205'!$D$50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$89:$D$98,'300'!$D$100:$D$109,'300'!$D$111,'300'!$D$113:$D$114,'300'!$D$116,'300'!$D$118:$D$119,'300'!$D$121,'300'!$D$123:$D$124,'300'!$D$126,'300'!$D$128,'300'!$D$130:$D$131,'300'!$D$133:$D$134,'300'!$D$136,'300'!$D$138,'300'!$D$140,'300'!$D$142,'300'!$D$144:$D$146,'300'!$D$148:$D$151,'300'!$D$153:$D$156,'300'!$D$158:$D$159,'300'!$D$161:$D$169,'300'!$D$171:$D$172,'300'!$D$174,'300'!$D$176:$D$178,'300'!$D$180</definedName>
    <definedName name="OSRRefD22x_0" localSheetId="49">'300 &amp; 317'!$D$108:$D$117,'300 &amp; 317'!$D$119:$D$128,'300 &amp; 317'!$D$130,'300 &amp; 317'!$D$132:$D$133,'300 &amp; 317'!$D$135,'300 &amp; 317'!$D$137:$D$138,'300 &amp; 317'!$D$140,'300 &amp; 317'!$D$142:$D$143,'300 &amp; 317'!$D$145,'300 &amp; 317'!$D$147,'300 &amp; 317'!$D$149:$D$150,'300 &amp; 317'!$D$152:$D$153,'300 &amp; 317'!$D$155,'300 &amp; 317'!$D$157,'300 &amp; 317'!$D$159,'300 &amp; 317'!$D$161,'300 &amp; 317'!$D$163:$D$165,'300 &amp; 317'!$D$167:$D$170,'300 &amp; 317'!$D$172:$D$175,'300 &amp; 317'!$D$177:$D$178,'300 &amp; 317'!$D$180:$D$188,'300 &amp; 317'!$D$190:$D$191,'300 &amp; 317'!$D$193,'300 &amp; 317'!$D$195:$D$197,'300 &amp; 317'!$D$199</definedName>
    <definedName name="OSRRefD22x_0" localSheetId="50">'301'!$D$20:$D$28,'301'!$D$30:$D$39,'301'!$D$41:$D$42,'301'!$D$44,'301'!$D$46:$D$47,'301'!$D$49,'301'!$D$51,'301'!$D$53,'301'!$D$55,'301'!$D$57,'301'!$D$59,'301'!$D$61,'301'!$D$63,'301'!$D$65:$D$67,'301'!$D$69:$D$71,'301'!$D$73,'301'!$D$75:$D$80,'301'!$D$82,'301'!$D$84,'301'!$D$86,'301'!$D$88</definedName>
    <definedName name="OSRRefD22x_0" localSheetId="52">'307'!$D$22:$D$29,'307'!$D$31:$D$40,'307'!$D$42,'307'!$D$44,'307'!$D$46,'307'!$D$48,'307'!$D$50,'307'!$D$52:$D$53,'307'!$D$55,'307'!$D$57:$D$58</definedName>
    <definedName name="OSRRefD22x_0" localSheetId="53">'308'!$D$45:$D$54,'308'!$D$56:$D$65,'308'!$D$67,'308'!$D$69,'308'!$D$71,'308'!$D$73,'308'!$D$75,'308'!$D$77,'308'!$D$79,'308'!$D$81:$D$82,'308'!$D$84,'308'!$D$86:$D$88,'308'!$D$90:$D$91,'308'!$D$93</definedName>
    <definedName name="OSRRefD22x_0" localSheetId="65">'309'!$D$20:$D$27,'309'!$D$29:$D$38,'309'!$D$40,'309'!$D$42,'309'!$D$44,'309'!$D$46,'309'!$D$48</definedName>
    <definedName name="OSRRefD22x_0" localSheetId="64">'310'!$D$23:$D$31,'310'!$D$33:$D$42,'310'!$D$44,'310'!$D$46,'310'!$D$48,'310'!$D$50:$D$51,'310'!$D$53,'310'!$D$55,'310'!$D$57,'310'!$D$59,'310'!$D$61,'310'!$D$63:$D$66,'310'!$D$68,'310'!$D$70:$D$72,'310'!$D$74:$D$75,'310'!$D$77</definedName>
    <definedName name="OSRRefD22x_0" localSheetId="72">'310 &amp; 491'!$D$25:$D$33,'310 &amp; 491'!$D$35:$D$44,'310 &amp; 491'!$D$46,'310 &amp; 491'!$D$48,'310 &amp; 491'!$D$50,'310 &amp; 491'!$D$52:$D$54,'310 &amp; 491'!$D$56,'310 &amp; 491'!$D$58,'310 &amp; 491'!$D$60,'310 &amp; 491'!$D$62,'310 &amp; 491'!$D$64,'310 &amp; 491'!$D$66,'310 &amp; 491'!$D$68:$D$69,'310 &amp; 491'!$D$71:$D$72,'310 &amp; 491'!$D$74:$D$78,'310 &amp; 491'!$D$80,'310 &amp; 491'!$D$82:$D$92,'310 &amp; 491'!$D$94:$D$95,'310 &amp; 491'!$D$97,'310 &amp; 491'!$D$99:$D$100,'310 &amp; 491'!$D$102</definedName>
    <definedName name="OSRRefD22x_0" localSheetId="54">'311'!$D$44:$D$53,'311'!$D$55:$D$64,'311'!$D$66,'311'!$D$68,'311'!$D$70,'311'!$D$72,'311'!$D$74,'311'!$D$76,'311'!$D$78,'311'!$D$80:$D$81,'311'!$D$83,'311'!$D$85:$D$87,'311'!$D$89:$D$90,'311'!$D$92</definedName>
    <definedName name="OSRRefD22x_0" localSheetId="66">'313'!$D$22:$D$30,'313'!$D$32:$D$41,'313'!$D$43,'313'!$D$45,'313'!$D$47,'313'!$D$49,'313'!$D$51:$D$53,'313'!$D$55:$D$56</definedName>
    <definedName name="OSRRefD22x_0" localSheetId="57">'315'!$D$66:$D$74,'315'!$D$76:$D$85,'315'!$D$87,'315'!$D$89,'315'!$D$91,'315'!$D$93,'315'!$D$95,'315'!$D$97:$D$98,'315'!$D$100,'315'!$D$102,'315'!$D$104,'315'!$D$106,'315'!$D$108:$D$110,'315'!$D$112,'315'!$D$114:$D$120,'315'!$D$122,'315'!$D$124:$D$125</definedName>
    <definedName name="OSRRefD22x_0" localSheetId="60">'316'!$D$26:$D$34,'316'!$D$36:$D$45,'316'!$D$47,'316'!$D$49,'316'!$D$51,'316'!$D$53,'316'!$D$55:$D$56,'316'!$D$58,'316'!$D$60,'316'!$D$62:$D$65,'316'!$D$67</definedName>
    <definedName name="OSRRefD22x_0" localSheetId="62">'317'!$D$44:$D$53,'317'!$D$55:$D$64,'317'!$D$66,'317'!$D$68,'317'!$D$70,'317'!$D$72,'317'!$D$74:$D$75,'317'!$D$77,'317'!$D$79,'317'!$D$81,'317'!$D$83:$D$85,'317'!$D$87</definedName>
    <definedName name="OSRRefD22x_0" localSheetId="67">'321'!$D$20:$D$27,'321'!$D$29:$D$38,'321'!$D$40,'321'!$D$42,'321'!$D$44,'321'!$D$46,'321'!$D$48:$D$49,'321'!$D$51</definedName>
    <definedName name="OSRRefD22x_0" localSheetId="68">'322'!$D$21:$D$28,'322'!$D$30:$D$39,'322'!$D$41,'322'!$D$43,'322'!$D$45,'322'!$D$47,'322'!$D$49,'322'!$D$51,'322'!$D$53,'322'!$D$55:$D$56,'322'!$D$58,'322'!$D$60</definedName>
    <definedName name="OSRRefD22x_0" localSheetId="55">'324'!$D$27:$D$34,'324'!$D$36:$D$45</definedName>
    <definedName name="OSRRefD22x_0" localSheetId="69">'325'!$D$20:$D$27,'325'!$D$29:$D$38,'325'!$D$40,'325'!$D$42,'325'!$D$44:$D$45,'325'!$D$47,'325'!$D$49,'325'!$D$51,'325'!$D$53,'325'!$D$55:$D$57,'325'!$D$59,'325'!$D$61:$D$62,'325'!$D$64:$D$65,'325'!$D$67</definedName>
    <definedName name="OSRRefD22x_0" localSheetId="58">'326'!$D$38:$D$46,'326'!$D$48:$D$57,'326'!$D$59,'326'!$D$61,'326'!$D$63,'326'!$D$65,'326'!$D$67,'326'!$D$69,'326'!$D$71:$D$72,'326'!$D$74,'326'!$D$76,'326'!$D$78,'326'!$D$80,'326'!$D$82,'326'!$D$84:$D$86,'326'!$D$88:$D$89,'326'!$D$91:$D$96,'326'!$D$98:$D$99,'326'!$D$101,'326'!$D$103:$D$104,'326'!$D$106</definedName>
    <definedName name="OSRRefD22x_0" localSheetId="70">'327'!$D$22</definedName>
    <definedName name="OSRRefD22x_0" localSheetId="51">'330'!$D$22:$D$29,'330'!$D$31:$D$40,'330'!$D$42,'330'!$D$44,'330'!$D$46,'330'!$D$48,'330'!$D$50,'330'!$D$52:$D$53,'330'!$D$55,'330'!$D$57:$D$58</definedName>
    <definedName name="OSRRefD22x_0" localSheetId="56">'331'!$D$66:$D$74,'331'!$D$76:$D$85,'331'!$D$87,'331'!$D$89,'331'!$D$91,'331'!$D$93,'331'!$D$95,'331'!$D$97,'331'!$D$99:$D$100,'331'!$D$102:$D$103,'331'!$D$105,'331'!$D$107,'331'!$D$109,'331'!$D$111,'331'!$D$113,'331'!$D$115:$D$117,'331'!$D$119:$D$121,'331'!$D$123:$D$124,'331'!$D$126:$D$133,'331'!$D$135:$D$136,'331'!$D$138,'331'!$D$140:$D$141,'331'!$D$143</definedName>
    <definedName name="OSRRefD22x_0" localSheetId="59">'332'!$D$26:$D$34,'332'!$D$36:$D$45,'332'!$D$47,'332'!$D$49,'332'!$D$51,'332'!$D$53,'332'!$D$55:$D$56,'332'!$D$58,'332'!$D$60,'332'!$D$62:$D$65,'332'!$D$67</definedName>
    <definedName name="OSRRefD22x_0" localSheetId="74">'405'!$D$23:$D$30,'405'!$D$32:$D$41,'405'!$D$43,'405'!$D$45,'405'!$D$47:$D$48,'405'!$D$50,'405'!$D$52,'405'!$D$54,'405'!$D$56:$D$57,'405'!$D$59:$D$62,'405'!$D$64,'405'!$D$66:$D$74,'405'!$D$76,'405'!$D$78,'405'!$D$80</definedName>
    <definedName name="OSRRefD22x_0" localSheetId="75">'406'!$D$20,'406'!$D$22,'406'!$D$24,'406'!$D$26</definedName>
    <definedName name="OSRRefD22x_0" localSheetId="76">'411'!$D$20:$D$28,'411'!$D$30:$D$39,'411'!$D$41,'411'!$D$43:$D$44,'411'!$D$46,'411'!$D$48,'411'!$D$50:$D$51,'411'!$D$53:$D$56,'411'!$D$58:$D$64,'411'!$D$66,'411'!$D$68,'411'!$D$70</definedName>
    <definedName name="OSRRefD22x_0" localSheetId="77">'412'!$D$22:$D$29,'412'!$D$31:$D$40,'412'!$D$42,'412'!$D$44,'412'!$D$46:$D$47,'412'!$D$49,'412'!$D$51,'412'!$D$53,'412'!$D$55,'412'!$D$57,'412'!$D$59:$D$62,'412'!$D$64:$D$65,'412'!$D$67:$D$68,'412'!$D$70</definedName>
    <definedName name="OSRRefD22x_0" localSheetId="78">'413'!$D$21:$D$29,'413'!$D$31:$D$40,'413'!$D$42,'413'!$D$44,'413'!$D$46,'413'!$D$48:$D$49,'413'!$D$51,'413'!$D$53:$D$54,'413'!$D$56:$D$57</definedName>
    <definedName name="OSRRefD22x_0" localSheetId="79">'414'!$D$24:$D$32,'414'!$D$34:$D$43,'414'!$D$45,'414'!$D$47,'414'!$D$49,'414'!$D$51,'414'!$D$53,'414'!$D$55,'414'!$D$57,'414'!$D$59:$D$61,'414'!$D$63,'414'!$D$65,'414'!$D$67</definedName>
    <definedName name="OSRRefD22x_0" localSheetId="80">'415'!$D$23:$D$31,'415'!$D$33:$D$42,'415'!$D$44,'415'!$D$46,'415'!$D$48,'415'!$D$50:$D$51,'415'!$D$53,'415'!$D$55,'415'!$D$57,'415'!$D$59,'415'!$D$61:$D$62,'415'!$D$64:$D$67,'415'!$D$69,'415'!$D$71:$D$75,'415'!$D$77:$D$78,'415'!$D$80</definedName>
    <definedName name="OSRRefD22x_0" localSheetId="81">'418'!$D$22:$D$29,'418'!$D$31:$D$40,'418'!$D$42,'418'!$D$44:$D$45,'418'!$D$47,'418'!$D$49,'418'!$D$51,'418'!$D$53:$D$54,'418'!$D$56:$D$63,'418'!$D$65:$D$66,'418'!$D$68</definedName>
    <definedName name="OSRRefD22x_0" localSheetId="83">'423'!$D$20:$D$27,'423'!$D$29:$D$38,'423'!$D$40,'423'!$D$42:$D$43,'423'!$D$45,'423'!$D$47,'423'!$D$49</definedName>
    <definedName name="OSRRefD22x_0" localSheetId="84">'424'!$D$20,'424'!$D$22,'424'!$D$24</definedName>
    <definedName name="OSRRefD22x_0" localSheetId="85">'425'!$D$20:$D$24,'425'!$D$26,'425'!$D$28,'425'!$D$30</definedName>
    <definedName name="OSRRefD22x_0" localSheetId="88">'430'!$D$20:$D$28,'430'!$D$30:$D$39,'430'!$D$41:$D$43,'430'!$D$45:$D$46,'430'!$D$48,'430'!$D$50</definedName>
    <definedName name="OSRRefD22x_0" localSheetId="89">'433'!$D$25:$D$34,'433'!$D$36:$D$45,'433'!$D$47,'433'!$D$49,'433'!$D$51,'433'!$D$53,'433'!$D$55,'433'!$D$57,'433'!$D$59,'433'!$D$61,'433'!$D$63:$D$66,'433'!$D$68:$D$75,'433'!$D$77</definedName>
    <definedName name="OSRRefD22x_0" localSheetId="90">'435'!$D$20</definedName>
    <definedName name="OSRRefD22x_0" localSheetId="91">'444'!$D$20:$D$29,'444'!$D$31:$D$40,'444'!$D$42,'444'!$D$44,'444'!$D$46,'444'!$D$48:$D$50,'444'!$D$52:$D$54,'444'!$D$56:$D$58,'444'!$D$60:$D$61</definedName>
    <definedName name="OSRRefD22x_0" localSheetId="92">'450'!$D$20:$D$29,'450'!$D$31:$D$40,'450'!$D$42,'450'!$D$44,'450'!$D$46,'450'!$D$48,'450'!$D$50,'450'!$D$52:$D$54,'450'!$D$56,'450'!$D$58:$D$59,'450'!$D$61</definedName>
    <definedName name="OSRRefD22x_0" localSheetId="73">'491'!$D$24:$D$32,'491'!$D$34:$D$43,'491'!$D$45,'491'!$D$47,'491'!$D$49,'491'!$D$51:$D$53,'491'!$D$55,'491'!$D$57,'491'!$D$59,'491'!$D$61,'491'!$D$63,'491'!$D$65,'491'!$D$67:$D$68,'491'!$D$70:$D$71,'491'!$D$73:$D$77,'491'!$D$79,'491'!$D$81:$D$91,'491'!$D$93:$D$94,'491'!$D$96,'491'!$D$98:$D$99,'491'!$D$101</definedName>
    <definedName name="OSRRefD22x_0" localSheetId="87">'492'!$D$25:$D$34,'492'!$D$36:$D$45,'492'!$D$47,'492'!$D$49,'492'!$D$51,'492'!$D$53,'492'!$D$55,'492'!$D$57,'492'!$D$59,'492'!$D$61,'492'!$D$63,'492'!$D$65:$D$67,'492'!$D$69:$D$72,'492'!$D$74:$D$82,'492'!$D$84:$D$85,'492'!$D$87,'492'!$D$89</definedName>
    <definedName name="OSRRefD22x_0" localSheetId="94">'501'!$D$21:$D$30,'501'!$D$32:$D$41,'501'!$D$43,'501'!$D$45,'501'!$D$47,'501'!$D$49,'501'!$D$51,'501'!$D$53,'501'!$D$55,'501'!$D$57,'501'!$D$59:$D$60,'501'!$D$62</definedName>
    <definedName name="OSRRefD22x_0" localSheetId="39">'Div 2'!$D$21:$D$31,'Div 2'!$D$33:$D$42,'Div 2'!$D$44,'Div 2'!$D$46,'Div 2'!$D$48,'Div 2'!$D$50:$D$51,'Div 2'!$D$53,'Div 2'!$D$55,'Div 2'!$D$57,'Div 2'!$D$59,'Div 2'!$D$61,'Div 2'!$D$63:$D$64,'Div 2'!$D$66:$D$69,'Div 2'!$D$71:$D$74,'Div 2'!$D$76:$D$77,'Div 2'!$D$79:$D$80,'Div 2'!$D$82:$D$86,'Div 2'!$D$88:$D$89,'Div 2'!$D$91,'Div 2'!$D$93:$D$94</definedName>
    <definedName name="OSRRefD22x_0" localSheetId="47">'Div 3'!$D$90:$D$99,'Div 3'!$D$101:$D$110,'Div 3'!$D$112,'Div 3'!$D$114:$D$115,'Div 3'!$D$117,'Div 3'!$D$119:$D$120,'Div 3'!$D$122,'Div 3'!$D$124:$D$125,'Div 3'!$D$127,'Div 3'!$D$129,'Div 3'!$D$131:$D$132,'Div 3'!$D$134:$D$135,'Div 3'!$D$137,'Div 3'!$D$139,'Div 3'!$D$141,'Div 3'!$D$143,'Div 3'!$D$145,'Div 3'!$D$147:$D$149,'Div 3'!$D$151:$D$154,'Div 3'!$D$156:$D$160,'Div 3'!$D$162:$D$163,'Div 3'!$D$165:$D$173,'Div 3'!$D$175:$D$176,'Div 3'!$D$178,'Div 3'!$D$180:$D$182,'Div 3'!$D$184</definedName>
    <definedName name="OSRRefD22x_0" localSheetId="71">'Div 4'!$D$29:$D$38,'Div 4'!$D$40:$D$49,'Div 4'!$D$51,'Div 4'!$D$53,'Div 4'!$D$55,'Div 4'!$D$57:$D$59,'Div 4'!$D$61,'Div 4'!$D$63,'Div 4'!$D$65,'Div 4'!$D$67,'Div 4'!$D$69,'Div 4'!$D$71,'Div 4'!$D$73,'Div 4'!$D$75:$D$77,'Div 4'!$D$79:$D$80,'Div 4'!$D$82:$D$86,'Div 4'!$D$88,'Div 4'!$D$90:$D$100,'Div 4'!$D$102:$D$103,'Div 4'!$D$105,'Div 4'!$D$107:$D$108,'Div 4'!$D$110</definedName>
    <definedName name="OSRRefD22x_0" localSheetId="93">'Div 5'!$D$21:$D$30,'Div 5'!$D$32:$D$41,'Div 5'!$D$43,'Div 5'!$D$45,'Div 5'!$D$47,'Div 5'!$D$49,'Div 5'!$D$51,'Div 5'!$D$53,'Div 5'!$D$55,'Div 5'!$D$57,'Div 5'!$D$59:$D$60,'Div 5'!$D$62</definedName>
    <definedName name="OSRRefD22x_0" localSheetId="61">'Div 6'!$D$44:$D$53,'Div 6'!$D$55:$D$64,'Div 6'!$D$66,'Div 6'!$D$68,'Div 6'!$D$70,'Div 6'!$D$72,'Div 6'!$D$74:$D$75,'Div 6'!$D$77,'Div 6'!$D$79,'Div 6'!$D$81,'Div 6'!$D$83:$D$85,'Div 6'!$D$87</definedName>
    <definedName name="OSRRefD22x_0" localSheetId="2">Summary!$D$114:$D$123,Summary!$D$125:$D$134,Summary!$D$136,Summary!$D$138:$D$139,Summary!$D$141,Summary!$D$143:$D$145,Summary!$D$147,Summary!$D$149:$D$150,Summary!$D$152,Summary!$D$154,Summary!$D$156:$D$157,Summary!$D$159:$D$160,Summary!$D$162,Summary!$D$164,Summary!$D$166,Summary!$D$168,Summary!$D$170,Summary!$D$172,Summary!$D$174:$D$177,Summary!$D$179:$D$182,Summary!$D$184:$D$188,Summary!$D$190:$D$191,Summary!$D$193:$D$203,Summary!$D$205:$D$206,Summary!$D$208,Summary!$D$210:$D$212,Summary!$D$214</definedName>
    <definedName name="OSRRefD25x_0" localSheetId="42">'202'!$D$68:$D$70</definedName>
    <definedName name="OSRRefD25x_0" localSheetId="44">'204'!$D$66</definedName>
    <definedName name="OSRRefD25x_0" localSheetId="48">'300'!$D$183:$D$186</definedName>
    <definedName name="OSRRefD25x_0" localSheetId="49">'300 &amp; 317'!$D$202:$D$206</definedName>
    <definedName name="OSRRefD25x_0" localSheetId="50">'301'!$D$91:$D$92</definedName>
    <definedName name="OSRRefD25x_0" localSheetId="53">'308'!$D$96:$D$98</definedName>
    <definedName name="OSRRefD25x_0" localSheetId="72">'310 &amp; 491'!$D$105:$D$107</definedName>
    <definedName name="OSRRefD25x_0" localSheetId="54">'311'!$D$95:$D$97</definedName>
    <definedName name="OSRRefD25x_0" localSheetId="57">'315'!$D$128:$D$130</definedName>
    <definedName name="OSRRefD25x_0" localSheetId="60">'316'!$D$70</definedName>
    <definedName name="OSRRefD25x_0" localSheetId="62">'317'!$D$90:$D$91</definedName>
    <definedName name="OSRRefD25x_0" localSheetId="56">'331'!$D$146:$D$148</definedName>
    <definedName name="OSRRefD25x_0" localSheetId="59">'332'!$D$70</definedName>
    <definedName name="OSRRefD25x_0" localSheetId="76">'411'!$D$73</definedName>
    <definedName name="OSRRefD25x_0" localSheetId="83">'423'!$D$52</definedName>
    <definedName name="OSRRefD25x_0" localSheetId="86">'455'!$D$21:$D$22</definedName>
    <definedName name="OSRRefD25x_0" localSheetId="73">'491'!$D$104:$D$106</definedName>
    <definedName name="OSRRefD25x_0" localSheetId="94">'501'!$D$65</definedName>
    <definedName name="OSRRefD25x_0" localSheetId="39">'Div 2'!$D$97:$D$99</definedName>
    <definedName name="OSRRefD25x_0" localSheetId="47">'Div 3'!$D$187:$D$190</definedName>
    <definedName name="OSRRefD25x_0" localSheetId="71">'Div 4'!$D$113:$D$115</definedName>
    <definedName name="OSRRefD25x_0" localSheetId="93">'Div 5'!$D$65</definedName>
    <definedName name="OSRRefD25x_0" localSheetId="61">'Div 6'!$D$90:$D$91</definedName>
    <definedName name="OSRRefD25x_0" localSheetId="2">Summary!$D$217:$D$223</definedName>
    <definedName name="OSRRefH13x_0" localSheetId="41">'201'!$H$13</definedName>
    <definedName name="OSRRefH13x_0" localSheetId="42">'202'!$H$13</definedName>
    <definedName name="OSRRefH13x_0" localSheetId="48">'300'!$H$13:$H$59</definedName>
    <definedName name="OSRRefH13x_0" localSheetId="49">'300 &amp; 317'!$H$13:$H$72</definedName>
    <definedName name="OSRRefH13x_0" localSheetId="52">'307'!$H$13</definedName>
    <definedName name="OSRRefH13x_0" localSheetId="53">'308'!$H$13:$H$26</definedName>
    <definedName name="OSRRefH13x_0" localSheetId="64">'310'!$H$13</definedName>
    <definedName name="OSRRefH13x_0" localSheetId="72">'310 &amp; 491'!$H$13:$H$15</definedName>
    <definedName name="OSRRefH13x_0" localSheetId="54">'311'!$H$13:$H$25</definedName>
    <definedName name="OSRRefH13x_0" localSheetId="66">'313'!$H$13</definedName>
    <definedName name="OSRRefH13x_0" localSheetId="57">'315'!$H$13:$H$45</definedName>
    <definedName name="OSRRefH13x_0" localSheetId="60">'316'!$H$13:$H$18</definedName>
    <definedName name="OSRRefH13x_0" localSheetId="62">'317'!$H$13:$H$27</definedName>
    <definedName name="OSRRefH13x_0" localSheetId="55">'324'!$H$13:$H$16</definedName>
    <definedName name="OSRRefH13x_0" localSheetId="58">'326'!$H$13:$H$28</definedName>
    <definedName name="OSRRefH13x_0" localSheetId="70">'327'!$H$13</definedName>
    <definedName name="OSRRefH13x_0" localSheetId="51">'330'!$H$13</definedName>
    <definedName name="OSRRefH13x_0" localSheetId="56">'331'!$H$13:$H$45</definedName>
    <definedName name="OSRRefH13x_0" localSheetId="59">'332'!$H$13:$H$18</definedName>
    <definedName name="OSRRefH13x_0" localSheetId="74">'405'!$H$13:$H$14</definedName>
    <definedName name="OSRRefH13x_0" localSheetId="77">'412'!$H$13</definedName>
    <definedName name="OSRRefH13x_0" localSheetId="79">'414'!$H$13:$H$15</definedName>
    <definedName name="OSRRefH13x_0" localSheetId="80">'415'!$H$13:$H$14</definedName>
    <definedName name="OSRRefH13x_0" localSheetId="81">'418'!$H$13</definedName>
    <definedName name="OSRRefH13x_0" localSheetId="89">'433'!$H$13:$H$15</definedName>
    <definedName name="OSRRefH13x_0" localSheetId="73">'491'!$H$13:$H$15</definedName>
    <definedName name="OSRRefH13x_0" localSheetId="87">'492'!$H$13:$H$15</definedName>
    <definedName name="OSRRefH13x_0" localSheetId="94">'501'!$H$13</definedName>
    <definedName name="OSRRefH13x_0" localSheetId="39">'Div 2'!$H$13</definedName>
    <definedName name="OSRRefH13x_0" localSheetId="47">'Div 3'!$H$13:$H$59</definedName>
    <definedName name="OSRRefH13x_0" localSheetId="71">'Div 4'!$H$13:$H$18</definedName>
    <definedName name="OSRRefH13x_0" localSheetId="93">'Div 5'!$H$13</definedName>
    <definedName name="OSRRefH13x_0" localSheetId="61">'Div 6'!$H$13:$H$27</definedName>
    <definedName name="OSRRefH13x_0" localSheetId="2">Summary!$H$13:$H$76</definedName>
    <definedName name="OSRRefH16x_0" localSheetId="48">'300'!$H$62:$H$83</definedName>
    <definedName name="OSRRefH16x_0" localSheetId="49">'300 &amp; 317'!$H$75:$H$102</definedName>
    <definedName name="OSRRefH16x_0" localSheetId="52">'307'!$H$16</definedName>
    <definedName name="OSRRefH16x_0" localSheetId="53">'308'!$H$29:$H$39</definedName>
    <definedName name="OSRRefH16x_0" localSheetId="64">'310'!$H$16:$H$17</definedName>
    <definedName name="OSRRefH16x_0" localSheetId="72">'310 &amp; 491'!$H$18:$H$19</definedName>
    <definedName name="OSRRefH16x_0" localSheetId="54">'311'!$H$28:$H$38</definedName>
    <definedName name="OSRRefH16x_0" localSheetId="66">'313'!$H$16</definedName>
    <definedName name="OSRRefH16x_0" localSheetId="57">'315'!$H$48:$H$60</definedName>
    <definedName name="OSRRefH16x_0" localSheetId="62">'317'!$H$30:$H$38</definedName>
    <definedName name="OSRRefH16x_0" localSheetId="68">'322'!$H$15</definedName>
    <definedName name="OSRRefH16x_0" localSheetId="55">'324'!$H$19:$H$21</definedName>
    <definedName name="OSRRefH16x_0" localSheetId="58">'326'!$H$31:$H$32</definedName>
    <definedName name="OSRRefH16x_0" localSheetId="70">'327'!$H$16</definedName>
    <definedName name="OSRRefH16x_0" localSheetId="51">'330'!$H$16</definedName>
    <definedName name="OSRRefH16x_0" localSheetId="56">'331'!$H$48:$H$60</definedName>
    <definedName name="OSRRefH16x_0" localSheetId="74">'405'!$H$17</definedName>
    <definedName name="OSRRefH16x_0" localSheetId="77">'412'!$H$16</definedName>
    <definedName name="OSRRefH16x_0" localSheetId="78">'413'!$H$15</definedName>
    <definedName name="OSRRefH16x_0" localSheetId="79">'414'!$H$18</definedName>
    <definedName name="OSRRefH16x_0" localSheetId="80">'415'!$H$17</definedName>
    <definedName name="OSRRefH16x_0" localSheetId="81">'418'!$H$16</definedName>
    <definedName name="OSRRefH16x_0" localSheetId="89">'433'!$H$18:$H$19</definedName>
    <definedName name="OSRRefH16x_0" localSheetId="73">'491'!$H$18</definedName>
    <definedName name="OSRRefH16x_0" localSheetId="87">'492'!$H$18:$H$19</definedName>
    <definedName name="OSRRefH16x_0" localSheetId="47">'Div 3'!$H$62:$H$84</definedName>
    <definedName name="OSRRefH16x_0" localSheetId="71">'Div 4'!$H$21:$H$23</definedName>
    <definedName name="OSRRefH16x_0" localSheetId="61">'Div 6'!$H$30:$H$38</definedName>
    <definedName name="OSRRefH16x_0" localSheetId="2">Summary!$H$79:$H$108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'300'!$H$89:$H$98</definedName>
    <definedName name="OSRRefH22_0x_0" localSheetId="49">'300 &amp; 317'!$H$108:$H$117</definedName>
    <definedName name="OSRRefH22_0x_0" localSheetId="50">'301'!$H$20:$H$28</definedName>
    <definedName name="OSRRefH22_0x_0" localSheetId="52">'307'!$H$22:$H$29</definedName>
    <definedName name="OSRRefH22_0x_0" localSheetId="53">'308'!$H$45:$H$54</definedName>
    <definedName name="OSRRefH22_0x_0" localSheetId="65">'309'!$H$20:$H$27</definedName>
    <definedName name="OSRRefH22_0x_0" localSheetId="64">'310'!$H$23:$H$31</definedName>
    <definedName name="OSRRefH22_0x_0" localSheetId="72">'310 &amp; 491'!$H$25:$H$33</definedName>
    <definedName name="OSRRefH22_0x_0" localSheetId="54">'311'!$H$44:$H$53</definedName>
    <definedName name="OSRRefH22_0x_0" localSheetId="66">'313'!$H$22:$H$30</definedName>
    <definedName name="OSRRefH22_0x_0" localSheetId="57">'315'!$H$66:$H$74</definedName>
    <definedName name="OSRRefH22_0x_0" localSheetId="60">'316'!$H$26:$H$34</definedName>
    <definedName name="OSRRefH22_0x_0" localSheetId="62">'317'!$H$44:$H$53</definedName>
    <definedName name="OSRRefH22_0x_0" localSheetId="67">'321'!$H$20:$H$27</definedName>
    <definedName name="OSRRefH22_0x_0" localSheetId="68">'322'!$H$21:$H$28</definedName>
    <definedName name="OSRRefH22_0x_0" localSheetId="55">'324'!$H$27:$H$34</definedName>
    <definedName name="OSRRefH22_0x_0" localSheetId="69">'325'!$H$20:$H$27</definedName>
    <definedName name="OSRRefH22_0x_0" localSheetId="58">'326'!$H$38:$H$46</definedName>
    <definedName name="OSRRefH22_0x_0" localSheetId="70">'327'!$H$22</definedName>
    <definedName name="OSRRefH22_0x_0" localSheetId="51">'330'!$H$22:$H$29</definedName>
    <definedName name="OSRRefH22_0x_0" localSheetId="56">'331'!$H$66:$H$74</definedName>
    <definedName name="OSRRefH22_0x_0" localSheetId="59">'332'!$H$26:$H$34</definedName>
    <definedName name="OSRRefH22_0x_0" localSheetId="74">'405'!$H$23:$H$30</definedName>
    <definedName name="OSRRefH22_0x_0" localSheetId="75">'406'!$H$20</definedName>
    <definedName name="OSRRefH22_0x_0" localSheetId="76">'411'!$H$20:$H$28</definedName>
    <definedName name="OSRRefH22_0x_0" localSheetId="77">'412'!$H$22:$H$29</definedName>
    <definedName name="OSRRefH22_0x_0" localSheetId="78">'413'!$H$21:$H$29</definedName>
    <definedName name="OSRRefH22_0x_0" localSheetId="79">'414'!$H$24:$H$32</definedName>
    <definedName name="OSRRefH22_0x_0" localSheetId="80">'415'!$H$23:$H$31</definedName>
    <definedName name="OSRRefH22_0x_0" localSheetId="81">'418'!$H$22:$H$29</definedName>
    <definedName name="OSRRefH22_0x_0" localSheetId="83">'423'!$H$20:$H$27</definedName>
    <definedName name="OSRRefH22_0x_0" localSheetId="84">'424'!$H$20</definedName>
    <definedName name="OSRRefH22_0x_0" localSheetId="85">'425'!$H$20:$H$24</definedName>
    <definedName name="OSRRefH22_0x_0" localSheetId="88">'430'!$H$20:$H$28</definedName>
    <definedName name="OSRRefH22_0x_0" localSheetId="89">'433'!$H$25:$H$34</definedName>
    <definedName name="OSRRefH22_0x_0" localSheetId="90">'435'!$H$20</definedName>
    <definedName name="OSRRefH22_0x_0" localSheetId="91">'444'!$H$20:$H$29</definedName>
    <definedName name="OSRRefH22_0x_0" localSheetId="92">'450'!$H$20:$H$29</definedName>
    <definedName name="OSRRefH22_0x_0" localSheetId="73">'491'!$H$24:$H$32</definedName>
    <definedName name="OSRRefH22_0x_0" localSheetId="87">'492'!$H$25:$H$34</definedName>
    <definedName name="OSRRefH22_0x_0" localSheetId="94">'501'!$H$21:$H$30</definedName>
    <definedName name="OSRRefH22_0x_0" localSheetId="39">'Div 2'!$H$21:$H$31</definedName>
    <definedName name="OSRRefH22_0x_0" localSheetId="47">'Div 3'!$H$90:$H$99</definedName>
    <definedName name="OSRRefH22_0x_0" localSheetId="71">'Div 4'!$H$29:$H$38</definedName>
    <definedName name="OSRRefH22_0x_0" localSheetId="93">'Div 5'!$H$21:$H$30</definedName>
    <definedName name="OSRRefH22_0x_0" localSheetId="61">'Div 6'!$H$44:$H$53</definedName>
    <definedName name="OSRRefH22_0x_0" localSheetId="2">Summary!$H$114:$H$123</definedName>
    <definedName name="OSRRefH22_10x_0" localSheetId="41">'201'!$H$58</definedName>
    <definedName name="OSRRefH22_10x_0" localSheetId="42">'202'!$H$61</definedName>
    <definedName name="OSRRefH22_10x_0" localSheetId="43">'203'!$H$61:$H$63</definedName>
    <definedName name="OSRRefH22_10x_0" localSheetId="44">'204'!$H$63</definedName>
    <definedName name="OSRRefH22_10x_0" localSheetId="48">'300'!$H$130:$H$131</definedName>
    <definedName name="OSRRefH22_10x_0" localSheetId="49">'300 &amp; 317'!$H$149:$H$150</definedName>
    <definedName name="OSRRefH22_10x_0" localSheetId="50">'301'!$H$59</definedName>
    <definedName name="OSRRefH22_10x_0" localSheetId="53">'308'!$H$84</definedName>
    <definedName name="OSRRefH22_10x_0" localSheetId="64">'310'!$H$61</definedName>
    <definedName name="OSRRefH22_10x_0" localSheetId="72">'310 &amp; 491'!$H$64</definedName>
    <definedName name="OSRRefH22_10x_0" localSheetId="54">'311'!$H$83</definedName>
    <definedName name="OSRRefH22_10x_0" localSheetId="57">'315'!$H$104</definedName>
    <definedName name="OSRRefH22_10x_0" localSheetId="60">'316'!$H$67</definedName>
    <definedName name="OSRRefH22_10x_0" localSheetId="62">'317'!$H$83:$H$85</definedName>
    <definedName name="OSRRefH22_10x_0" localSheetId="68">'322'!$H$58</definedName>
    <definedName name="OSRRefH22_10x_0" localSheetId="69">'325'!$H$59</definedName>
    <definedName name="OSRRefH22_10x_0" localSheetId="58">'326'!$H$76</definedName>
    <definedName name="OSRRefH22_10x_0" localSheetId="56">'331'!$H$105</definedName>
    <definedName name="OSRRefH22_10x_0" localSheetId="59">'332'!$H$67</definedName>
    <definedName name="OSRRefH22_10x_0" localSheetId="74">'405'!$H$64</definedName>
    <definedName name="OSRRefH22_10x_0" localSheetId="76">'411'!$H$68</definedName>
    <definedName name="OSRRefH22_10x_0" localSheetId="77">'412'!$H$59:$H$62</definedName>
    <definedName name="OSRRefH22_10x_0" localSheetId="79">'414'!$H$63</definedName>
    <definedName name="OSRRefH22_10x_0" localSheetId="80">'415'!$H$61:$H$62</definedName>
    <definedName name="OSRRefH22_10x_0" localSheetId="81">'418'!$H$68</definedName>
    <definedName name="OSRRefH22_10x_0" localSheetId="89">'433'!$H$63:$H$66</definedName>
    <definedName name="OSRRefH22_10x_0" localSheetId="92">'450'!$H$61</definedName>
    <definedName name="OSRRefH22_10x_0" localSheetId="73">'491'!$H$63</definedName>
    <definedName name="OSRRefH22_10x_0" localSheetId="87">'492'!$H$63</definedName>
    <definedName name="OSRRefH22_10x_0" localSheetId="94">'501'!$H$59:$H$60</definedName>
    <definedName name="OSRRefH22_10x_0" localSheetId="39">'Div 2'!$H$61</definedName>
    <definedName name="OSRRefH22_10x_0" localSheetId="47">'Div 3'!$H$131:$H$132</definedName>
    <definedName name="OSRRefH22_10x_0" localSheetId="71">'Div 4'!$H$69</definedName>
    <definedName name="OSRRefH22_10x_0" localSheetId="93">'Div 5'!$H$59:$H$60</definedName>
    <definedName name="OSRRefH22_10x_0" localSheetId="61">'Div 6'!$H$83:$H$85</definedName>
    <definedName name="OSRRefH22_10x_0" localSheetId="2">Summary!$H$156:$H$157</definedName>
    <definedName name="OSRRefH22_11x_0" localSheetId="41">'201'!$H$60:$H$62</definedName>
    <definedName name="OSRRefH22_11x_0" localSheetId="42">'202'!$H$63</definedName>
    <definedName name="OSRRefH22_11x_0" localSheetId="43">'203'!$H$65</definedName>
    <definedName name="OSRRefH22_11x_0" localSheetId="48">'300'!$H$133:$H$134</definedName>
    <definedName name="OSRRefH22_11x_0" localSheetId="49">'300 &amp; 317'!$H$152:$H$153</definedName>
    <definedName name="OSRRefH22_11x_0" localSheetId="50">'301'!$H$61</definedName>
    <definedName name="OSRRefH22_11x_0" localSheetId="53">'308'!$H$86:$H$88</definedName>
    <definedName name="OSRRefH22_11x_0" localSheetId="64">'310'!$H$63:$H$66</definedName>
    <definedName name="OSRRefH22_11x_0" localSheetId="72">'310 &amp; 491'!$H$66</definedName>
    <definedName name="OSRRefH22_11x_0" localSheetId="54">'311'!$H$85:$H$87</definedName>
    <definedName name="OSRRefH22_11x_0" localSheetId="57">'315'!$H$106</definedName>
    <definedName name="OSRRefH22_11x_0" localSheetId="62">'317'!$H$87</definedName>
    <definedName name="OSRRefH22_11x_0" localSheetId="68">'322'!$H$60</definedName>
    <definedName name="OSRRefH22_11x_0" localSheetId="69">'325'!$H$61:$H$62</definedName>
    <definedName name="OSRRefH22_11x_0" localSheetId="58">'326'!$H$78</definedName>
    <definedName name="OSRRefH22_11x_0" localSheetId="56">'331'!$H$107</definedName>
    <definedName name="OSRRefH22_11x_0" localSheetId="74">'405'!$H$66:$H$74</definedName>
    <definedName name="OSRRefH22_11x_0" localSheetId="76">'411'!$H$70</definedName>
    <definedName name="OSRRefH22_11x_0" localSheetId="77">'412'!$H$64:$H$65</definedName>
    <definedName name="OSRRefH22_11x_0" localSheetId="79">'414'!$H$65</definedName>
    <definedName name="OSRRefH22_11x_0" localSheetId="80">'415'!$H$64:$H$67</definedName>
    <definedName name="OSRRefH22_11x_0" localSheetId="89">'433'!$H$68:$H$75</definedName>
    <definedName name="OSRRefH22_11x_0" localSheetId="73">'491'!$H$65</definedName>
    <definedName name="OSRRefH22_11x_0" localSheetId="87">'492'!$H$65:$H$67</definedName>
    <definedName name="OSRRefH22_11x_0" localSheetId="94">'501'!$H$62</definedName>
    <definedName name="OSRRefH22_11x_0" localSheetId="39">'Div 2'!$H$63:$H$64</definedName>
    <definedName name="OSRRefH22_11x_0" localSheetId="47">'Div 3'!$H$134:$H$135</definedName>
    <definedName name="OSRRefH22_11x_0" localSheetId="71">'Div 4'!$H$71</definedName>
    <definedName name="OSRRefH22_11x_0" localSheetId="93">'Div 5'!$H$62</definedName>
    <definedName name="OSRRefH22_11x_0" localSheetId="61">'Div 6'!$H$87</definedName>
    <definedName name="OSRRefH22_11x_0" localSheetId="2">Summary!$H$159:$H$160</definedName>
    <definedName name="OSRRefH22_12x_0" localSheetId="41">'201'!$H$64</definedName>
    <definedName name="OSRRefH22_12x_0" localSheetId="42">'202'!$H$65</definedName>
    <definedName name="OSRRefH22_12x_0" localSheetId="43">'203'!$H$67</definedName>
    <definedName name="OSRRefH22_12x_0" localSheetId="48">'300'!$H$136</definedName>
    <definedName name="OSRRefH22_12x_0" localSheetId="49">'300 &amp; 317'!$H$155</definedName>
    <definedName name="OSRRefH22_12x_0" localSheetId="50">'301'!$H$63</definedName>
    <definedName name="OSRRefH22_12x_0" localSheetId="53">'308'!$H$90:$H$91</definedName>
    <definedName name="OSRRefH22_12x_0" localSheetId="64">'310'!$H$68</definedName>
    <definedName name="OSRRefH22_12x_0" localSheetId="72">'310 &amp; 491'!$H$68:$H$69</definedName>
    <definedName name="OSRRefH22_12x_0" localSheetId="54">'311'!$H$89:$H$90</definedName>
    <definedName name="OSRRefH22_12x_0" localSheetId="57">'315'!$H$108:$H$110</definedName>
    <definedName name="OSRRefH22_12x_0" localSheetId="69">'325'!$H$64:$H$65</definedName>
    <definedName name="OSRRefH22_12x_0" localSheetId="58">'326'!$H$80</definedName>
    <definedName name="OSRRefH22_12x_0" localSheetId="56">'331'!$H$109</definedName>
    <definedName name="OSRRefH22_12x_0" localSheetId="74">'405'!$H$76</definedName>
    <definedName name="OSRRefH22_12x_0" localSheetId="77">'412'!$H$67:$H$68</definedName>
    <definedName name="OSRRefH22_12x_0" localSheetId="79">'414'!$H$67</definedName>
    <definedName name="OSRRefH22_12x_0" localSheetId="80">'415'!$H$69</definedName>
    <definedName name="OSRRefH22_12x_0" localSheetId="89">'433'!$H$77</definedName>
    <definedName name="OSRRefH22_12x_0" localSheetId="73">'491'!$H$67:$H$68</definedName>
    <definedName name="OSRRefH22_12x_0" localSheetId="87">'492'!$H$69:$H$72</definedName>
    <definedName name="OSRRefH22_12x_0" localSheetId="39">'Div 2'!$H$66:$H$69</definedName>
    <definedName name="OSRRefH22_12x_0" localSheetId="47">'Div 3'!$H$137</definedName>
    <definedName name="OSRRefH22_12x_0" localSheetId="71">'Div 4'!$H$73</definedName>
    <definedName name="OSRRefH22_12x_0" localSheetId="2">Summary!$H$162</definedName>
    <definedName name="OSRRefH22_13x_0" localSheetId="48">'300'!$H$138</definedName>
    <definedName name="OSRRefH22_13x_0" localSheetId="49">'300 &amp; 317'!$H$157</definedName>
    <definedName name="OSRRefH22_13x_0" localSheetId="50">'301'!$H$65:$H$67</definedName>
    <definedName name="OSRRefH22_13x_0" localSheetId="53">'308'!$H$93</definedName>
    <definedName name="OSRRefH22_13x_0" localSheetId="64">'310'!$H$70:$H$72</definedName>
    <definedName name="OSRRefH22_13x_0" localSheetId="72">'310 &amp; 491'!$H$71:$H$72</definedName>
    <definedName name="OSRRefH22_13x_0" localSheetId="54">'311'!$H$92</definedName>
    <definedName name="OSRRefH22_13x_0" localSheetId="57">'315'!$H$112</definedName>
    <definedName name="OSRRefH22_13x_0" localSheetId="69">'325'!$H$67</definedName>
    <definedName name="OSRRefH22_13x_0" localSheetId="58">'326'!$H$82</definedName>
    <definedName name="OSRRefH22_13x_0" localSheetId="56">'331'!$H$111</definedName>
    <definedName name="OSRRefH22_13x_0" localSheetId="74">'405'!$H$78</definedName>
    <definedName name="OSRRefH22_13x_0" localSheetId="77">'412'!$H$70</definedName>
    <definedName name="OSRRefH22_13x_0" localSheetId="80">'415'!$H$71:$H$75</definedName>
    <definedName name="OSRRefH22_13x_0" localSheetId="73">'491'!$H$70:$H$71</definedName>
    <definedName name="OSRRefH22_13x_0" localSheetId="87">'492'!$H$74:$H$82</definedName>
    <definedName name="OSRRefH22_13x_0" localSheetId="39">'Div 2'!$H$71:$H$74</definedName>
    <definedName name="OSRRefH22_13x_0" localSheetId="47">'Div 3'!$H$139</definedName>
    <definedName name="OSRRefH22_13x_0" localSheetId="71">'Div 4'!$H$75:$H$77</definedName>
    <definedName name="OSRRefH22_13x_0" localSheetId="2">Summary!$H$164</definedName>
    <definedName name="OSRRefH22_14x_0" localSheetId="48">'300'!$H$140</definedName>
    <definedName name="OSRRefH22_14x_0" localSheetId="49">'300 &amp; 317'!$H$159</definedName>
    <definedName name="OSRRefH22_14x_0" localSheetId="50">'301'!$H$69:$H$71</definedName>
    <definedName name="OSRRefH22_14x_0" localSheetId="64">'310'!$H$74:$H$75</definedName>
    <definedName name="OSRRefH22_14x_0" localSheetId="72">'310 &amp; 491'!$H$74:$H$78</definedName>
    <definedName name="OSRRefH22_14x_0" localSheetId="57">'315'!$H$114:$H$120</definedName>
    <definedName name="OSRRefH22_14x_0" localSheetId="58">'326'!$H$84:$H$86</definedName>
    <definedName name="OSRRefH22_14x_0" localSheetId="56">'331'!$H$113</definedName>
    <definedName name="OSRRefH22_14x_0" localSheetId="74">'405'!$H$80</definedName>
    <definedName name="OSRRefH22_14x_0" localSheetId="80">'415'!$H$77:$H$78</definedName>
    <definedName name="OSRRefH22_14x_0" localSheetId="73">'491'!$H$73:$H$77</definedName>
    <definedName name="OSRRefH22_14x_0" localSheetId="87">'492'!$H$84:$H$85</definedName>
    <definedName name="OSRRefH22_14x_0" localSheetId="39">'Div 2'!$H$76:$H$77</definedName>
    <definedName name="OSRRefH22_14x_0" localSheetId="47">'Div 3'!$H$141</definedName>
    <definedName name="OSRRefH22_14x_0" localSheetId="71">'Div 4'!$H$79:$H$80</definedName>
    <definedName name="OSRRefH22_14x_0" localSheetId="2">Summary!$H$166</definedName>
    <definedName name="OSRRefH22_15x_0" localSheetId="48">'300'!$H$142</definedName>
    <definedName name="OSRRefH22_15x_0" localSheetId="49">'300 &amp; 317'!$H$161</definedName>
    <definedName name="OSRRefH22_15x_0" localSheetId="50">'301'!$H$73</definedName>
    <definedName name="OSRRefH22_15x_0" localSheetId="64">'310'!$H$77</definedName>
    <definedName name="OSRRefH22_15x_0" localSheetId="72">'310 &amp; 491'!$H$80</definedName>
    <definedName name="OSRRefH22_15x_0" localSheetId="57">'315'!$H$122</definedName>
    <definedName name="OSRRefH22_15x_0" localSheetId="58">'326'!$H$88:$H$89</definedName>
    <definedName name="OSRRefH22_15x_0" localSheetId="56">'331'!$H$115:$H$117</definedName>
    <definedName name="OSRRefH22_15x_0" localSheetId="80">'415'!$H$80</definedName>
    <definedName name="OSRRefH22_15x_0" localSheetId="73">'491'!$H$79</definedName>
    <definedName name="OSRRefH22_15x_0" localSheetId="87">'492'!$H$87</definedName>
    <definedName name="OSRRefH22_15x_0" localSheetId="39">'Div 2'!$H$79:$H$80</definedName>
    <definedName name="OSRRefH22_15x_0" localSheetId="47">'Div 3'!$H$143</definedName>
    <definedName name="OSRRefH22_15x_0" localSheetId="71">'Div 4'!$H$82:$H$86</definedName>
    <definedName name="OSRRefH22_15x_0" localSheetId="2">Summary!$H$168</definedName>
    <definedName name="OSRRefH22_16x_0" localSheetId="48">'300'!$H$144:$H$146</definedName>
    <definedName name="OSRRefH22_16x_0" localSheetId="49">'300 &amp; 317'!$H$163:$H$165</definedName>
    <definedName name="OSRRefH22_16x_0" localSheetId="50">'301'!$H$75:$H$80</definedName>
    <definedName name="OSRRefH22_16x_0" localSheetId="72">'310 &amp; 491'!$H$82:$H$92</definedName>
    <definedName name="OSRRefH22_16x_0" localSheetId="57">'315'!$H$124:$H$125</definedName>
    <definedName name="OSRRefH22_16x_0" localSheetId="58">'326'!$H$91:$H$96</definedName>
    <definedName name="OSRRefH22_16x_0" localSheetId="56">'331'!$H$119:$H$121</definedName>
    <definedName name="OSRRefH22_16x_0" localSheetId="73">'491'!$H$81:$H$91</definedName>
    <definedName name="OSRRefH22_16x_0" localSheetId="87">'492'!$H$89</definedName>
    <definedName name="OSRRefH22_16x_0" localSheetId="39">'Div 2'!$H$82:$H$86</definedName>
    <definedName name="OSRRefH22_16x_0" localSheetId="47">'Div 3'!$H$145</definedName>
    <definedName name="OSRRefH22_16x_0" localSheetId="71">'Div 4'!$H$88</definedName>
    <definedName name="OSRRefH22_16x_0" localSheetId="2">Summary!$H$170</definedName>
    <definedName name="OSRRefH22_17x_0" localSheetId="48">'300'!$H$148:$H$151</definedName>
    <definedName name="OSRRefH22_17x_0" localSheetId="49">'300 &amp; 317'!$H$167:$H$170</definedName>
    <definedName name="OSRRefH22_17x_0" localSheetId="50">'301'!$H$82</definedName>
    <definedName name="OSRRefH22_17x_0" localSheetId="72">'310 &amp; 491'!$H$94:$H$95</definedName>
    <definedName name="OSRRefH22_17x_0" localSheetId="58">'326'!$H$98:$H$99</definedName>
    <definedName name="OSRRefH22_17x_0" localSheetId="56">'331'!$H$123:$H$124</definedName>
    <definedName name="OSRRefH22_17x_0" localSheetId="73">'491'!$H$93:$H$94</definedName>
    <definedName name="OSRRefH22_17x_0" localSheetId="39">'Div 2'!$H$88:$H$89</definedName>
    <definedName name="OSRRefH22_17x_0" localSheetId="47">'Div 3'!$H$147:$H$149</definedName>
    <definedName name="OSRRefH22_17x_0" localSheetId="71">'Div 4'!$H$90:$H$100</definedName>
    <definedName name="OSRRefH22_17x_0" localSheetId="2">Summary!$H$172</definedName>
    <definedName name="OSRRefH22_18x_0" localSheetId="48">'300'!$H$153:$H$156</definedName>
    <definedName name="OSRRefH22_18x_0" localSheetId="49">'300 &amp; 317'!$H$172:$H$175</definedName>
    <definedName name="OSRRefH22_18x_0" localSheetId="50">'301'!$H$84</definedName>
    <definedName name="OSRRefH22_18x_0" localSheetId="72">'310 &amp; 491'!$H$97</definedName>
    <definedName name="OSRRefH22_18x_0" localSheetId="58">'326'!$H$101</definedName>
    <definedName name="OSRRefH22_18x_0" localSheetId="56">'331'!$H$126:$H$133</definedName>
    <definedName name="OSRRefH22_18x_0" localSheetId="73">'491'!$H$96</definedName>
    <definedName name="OSRRefH22_18x_0" localSheetId="39">'Div 2'!$H$91</definedName>
    <definedName name="OSRRefH22_18x_0" localSheetId="47">'Div 3'!$H$151:$H$154</definedName>
    <definedName name="OSRRefH22_18x_0" localSheetId="71">'Div 4'!$H$102:$H$103</definedName>
    <definedName name="OSRRefH22_18x_0" localSheetId="2">Summary!$H$174:$H$177</definedName>
    <definedName name="OSRRefH22_19x_0" localSheetId="48">'300'!$H$158:$H$159</definedName>
    <definedName name="OSRRefH22_19x_0" localSheetId="49">'300 &amp; 317'!$H$177:$H$178</definedName>
    <definedName name="OSRRefH22_19x_0" localSheetId="50">'301'!$H$86</definedName>
    <definedName name="OSRRefH22_19x_0" localSheetId="72">'310 &amp; 491'!$H$99:$H$100</definedName>
    <definedName name="OSRRefH22_19x_0" localSheetId="58">'326'!$H$103:$H$104</definedName>
    <definedName name="OSRRefH22_19x_0" localSheetId="56">'331'!$H$135:$H$136</definedName>
    <definedName name="OSRRefH22_19x_0" localSheetId="73">'491'!$H$98:$H$99</definedName>
    <definedName name="OSRRefH22_19x_0" localSheetId="39">'Div 2'!$H$93:$H$94</definedName>
    <definedName name="OSRRefH22_19x_0" localSheetId="47">'Div 3'!$H$156:$H$160</definedName>
    <definedName name="OSRRefH22_19x_0" localSheetId="71">'Div 4'!$H$105</definedName>
    <definedName name="OSRRefH22_19x_0" localSheetId="2">Summary!$H$179:$H$182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'300'!$H$100:$H$109</definedName>
    <definedName name="OSRRefH22_1x_0" localSheetId="49">'300 &amp; 317'!$H$119:$H$128</definedName>
    <definedName name="OSRRefH22_1x_0" localSheetId="50">'301'!$H$30:$H$39</definedName>
    <definedName name="OSRRefH22_1x_0" localSheetId="52">'307'!$H$31:$H$40</definedName>
    <definedName name="OSRRefH22_1x_0" localSheetId="53">'308'!$H$56:$H$65</definedName>
    <definedName name="OSRRefH22_1x_0" localSheetId="65">'309'!$H$29:$H$38</definedName>
    <definedName name="OSRRefH22_1x_0" localSheetId="64">'310'!$H$33:$H$42</definedName>
    <definedName name="OSRRefH22_1x_0" localSheetId="72">'310 &amp; 491'!$H$35:$H$44</definedName>
    <definedName name="OSRRefH22_1x_0" localSheetId="54">'311'!$H$55:$H$64</definedName>
    <definedName name="OSRRefH22_1x_0" localSheetId="66">'313'!$H$32:$H$41</definedName>
    <definedName name="OSRRefH22_1x_0" localSheetId="57">'315'!$H$76:$H$85</definedName>
    <definedName name="OSRRefH22_1x_0" localSheetId="60">'316'!$H$36:$H$45</definedName>
    <definedName name="OSRRefH22_1x_0" localSheetId="62">'317'!$H$55:$H$64</definedName>
    <definedName name="OSRRefH22_1x_0" localSheetId="67">'321'!$H$29:$H$38</definedName>
    <definedName name="OSRRefH22_1x_0" localSheetId="68">'322'!$H$30:$H$39</definedName>
    <definedName name="OSRRefH22_1x_0" localSheetId="55">'324'!$H$36:$H$45</definedName>
    <definedName name="OSRRefH22_1x_0" localSheetId="69">'325'!$H$29:$H$38</definedName>
    <definedName name="OSRRefH22_1x_0" localSheetId="58">'326'!$H$48:$H$57</definedName>
    <definedName name="OSRRefH22_1x_0" localSheetId="51">'330'!$H$31:$H$40</definedName>
    <definedName name="OSRRefH22_1x_0" localSheetId="56">'331'!$H$76:$H$85</definedName>
    <definedName name="OSRRefH22_1x_0" localSheetId="59">'332'!$H$36:$H$45</definedName>
    <definedName name="OSRRefH22_1x_0" localSheetId="74">'405'!$H$32:$H$41</definedName>
    <definedName name="OSRRefH22_1x_0" localSheetId="75">'406'!$H$22</definedName>
    <definedName name="OSRRefH22_1x_0" localSheetId="76">'411'!$H$30:$H$39</definedName>
    <definedName name="OSRRefH22_1x_0" localSheetId="77">'412'!$H$31:$H$40</definedName>
    <definedName name="OSRRefH22_1x_0" localSheetId="78">'413'!$H$31:$H$40</definedName>
    <definedName name="OSRRefH22_1x_0" localSheetId="79">'414'!$H$34:$H$43</definedName>
    <definedName name="OSRRefH22_1x_0" localSheetId="80">'415'!$H$33:$H$42</definedName>
    <definedName name="OSRRefH22_1x_0" localSheetId="81">'418'!$H$31:$H$40</definedName>
    <definedName name="OSRRefH22_1x_0" localSheetId="83">'423'!$H$29:$H$38</definedName>
    <definedName name="OSRRefH22_1x_0" localSheetId="84">'424'!$H$22</definedName>
    <definedName name="OSRRefH22_1x_0" localSheetId="85">'425'!$H$26</definedName>
    <definedName name="OSRRefH22_1x_0" localSheetId="88">'430'!$H$30:$H$39</definedName>
    <definedName name="OSRRefH22_1x_0" localSheetId="89">'433'!$H$36:$H$45</definedName>
    <definedName name="OSRRefH22_1x_0" localSheetId="91">'444'!$H$31:$H$40</definedName>
    <definedName name="OSRRefH22_1x_0" localSheetId="92">'450'!$H$31:$H$40</definedName>
    <definedName name="OSRRefH22_1x_0" localSheetId="73">'491'!$H$34:$H$43</definedName>
    <definedName name="OSRRefH22_1x_0" localSheetId="87">'492'!$H$36:$H$45</definedName>
    <definedName name="OSRRefH22_1x_0" localSheetId="94">'501'!$H$32:$H$41</definedName>
    <definedName name="OSRRefH22_1x_0" localSheetId="39">'Div 2'!$H$33:$H$42</definedName>
    <definedName name="OSRRefH22_1x_0" localSheetId="47">'Div 3'!$H$101:$H$110</definedName>
    <definedName name="OSRRefH22_1x_0" localSheetId="71">'Div 4'!$H$40:$H$49</definedName>
    <definedName name="OSRRefH22_1x_0" localSheetId="93">'Div 5'!$H$32:$H$41</definedName>
    <definedName name="OSRRefH22_1x_0" localSheetId="61">'Div 6'!$H$55:$H$64</definedName>
    <definedName name="OSRRefH22_1x_0" localSheetId="2">Summary!$H$125:$H$134</definedName>
    <definedName name="OSRRefH22_20x_0" localSheetId="48">'300'!$H$161:$H$169</definedName>
    <definedName name="OSRRefH22_20x_0" localSheetId="49">'300 &amp; 317'!$H$180:$H$188</definedName>
    <definedName name="OSRRefH22_20x_0" localSheetId="50">'301'!$H$88</definedName>
    <definedName name="OSRRefH22_20x_0" localSheetId="72">'310 &amp; 491'!$H$102</definedName>
    <definedName name="OSRRefH22_20x_0" localSheetId="58">'326'!$H$106</definedName>
    <definedName name="OSRRefH22_20x_0" localSheetId="56">'331'!$H$138</definedName>
    <definedName name="OSRRefH22_20x_0" localSheetId="73">'491'!$H$101</definedName>
    <definedName name="OSRRefH22_20x_0" localSheetId="47">'Div 3'!$H$162:$H$163</definedName>
    <definedName name="OSRRefH22_20x_0" localSheetId="71">'Div 4'!$H$107:$H$108</definedName>
    <definedName name="OSRRefH22_20x_0" localSheetId="2">Summary!$H$184:$H$188</definedName>
    <definedName name="OSRRefH22_21x_0" localSheetId="48">'300'!$H$171:$H$172</definedName>
    <definedName name="OSRRefH22_21x_0" localSheetId="49">'300 &amp; 317'!$H$190:$H$191</definedName>
    <definedName name="OSRRefH22_21x_0" localSheetId="56">'331'!$H$140:$H$141</definedName>
    <definedName name="OSRRefH22_21x_0" localSheetId="47">'Div 3'!$H$165:$H$173</definedName>
    <definedName name="OSRRefH22_21x_0" localSheetId="71">'Div 4'!$H$110</definedName>
    <definedName name="OSRRefH22_21x_0" localSheetId="2">Summary!$H$190:$H$191</definedName>
    <definedName name="OSRRefH22_22x_0" localSheetId="48">'300'!$H$174</definedName>
    <definedName name="OSRRefH22_22x_0" localSheetId="49">'300 &amp; 317'!$H$193</definedName>
    <definedName name="OSRRefH22_22x_0" localSheetId="56">'331'!$H$143</definedName>
    <definedName name="OSRRefH22_22x_0" localSheetId="47">'Div 3'!$H$175:$H$176</definedName>
    <definedName name="OSRRefH22_22x_0" localSheetId="2">Summary!$H$193:$H$203</definedName>
    <definedName name="OSRRefH22_23x_0" localSheetId="48">'300'!$H$176:$H$178</definedName>
    <definedName name="OSRRefH22_23x_0" localSheetId="49">'300 &amp; 317'!$H$195:$H$197</definedName>
    <definedName name="OSRRefH22_23x_0" localSheetId="47">'Div 3'!$H$178</definedName>
    <definedName name="OSRRefH22_23x_0" localSheetId="2">Summary!$H$205:$H$206</definedName>
    <definedName name="OSRRefH22_24x_0" localSheetId="48">'300'!$H$180</definedName>
    <definedName name="OSRRefH22_24x_0" localSheetId="49">'300 &amp; 317'!$H$199</definedName>
    <definedName name="OSRRefH22_24x_0" localSheetId="47">'Div 3'!$H$180:$H$182</definedName>
    <definedName name="OSRRefH22_24x_0" localSheetId="2">Summary!$H$208</definedName>
    <definedName name="OSRRefH22_25x_0" localSheetId="47">'Div 3'!$H$184</definedName>
    <definedName name="OSRRefH22_25x_0" localSheetId="2">Summary!$H$210:$H$212</definedName>
    <definedName name="OSRRefH22_26x_0" localSheetId="2">Summary!$H$214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'300'!$H$111</definedName>
    <definedName name="OSRRefH22_2x_0" localSheetId="49">'300 &amp; 317'!$H$130</definedName>
    <definedName name="OSRRefH22_2x_0" localSheetId="50">'301'!$H$41:$H$42</definedName>
    <definedName name="OSRRefH22_2x_0" localSheetId="52">'307'!$H$42</definedName>
    <definedName name="OSRRefH22_2x_0" localSheetId="53">'308'!$H$67</definedName>
    <definedName name="OSRRefH22_2x_0" localSheetId="65">'309'!$H$40</definedName>
    <definedName name="OSRRefH22_2x_0" localSheetId="64">'310'!$H$44</definedName>
    <definedName name="OSRRefH22_2x_0" localSheetId="72">'310 &amp; 491'!$H$46</definedName>
    <definedName name="OSRRefH22_2x_0" localSheetId="54">'311'!$H$66</definedName>
    <definedName name="OSRRefH22_2x_0" localSheetId="66">'313'!$H$43</definedName>
    <definedName name="OSRRefH22_2x_0" localSheetId="57">'315'!$H$87</definedName>
    <definedName name="OSRRefH22_2x_0" localSheetId="60">'316'!$H$47</definedName>
    <definedName name="OSRRefH22_2x_0" localSheetId="62">'317'!$H$66</definedName>
    <definedName name="OSRRefH22_2x_0" localSheetId="67">'321'!$H$40</definedName>
    <definedName name="OSRRefH22_2x_0" localSheetId="68">'322'!$H$41</definedName>
    <definedName name="OSRRefH22_2x_0" localSheetId="69">'325'!$H$40</definedName>
    <definedName name="OSRRefH22_2x_0" localSheetId="58">'326'!$H$59</definedName>
    <definedName name="OSRRefH22_2x_0" localSheetId="51">'330'!$H$42</definedName>
    <definedName name="OSRRefH22_2x_0" localSheetId="56">'331'!$H$87</definedName>
    <definedName name="OSRRefH22_2x_0" localSheetId="59">'332'!$H$47</definedName>
    <definedName name="OSRRefH22_2x_0" localSheetId="74">'405'!$H$43</definedName>
    <definedName name="OSRRefH22_2x_0" localSheetId="75">'406'!$H$24</definedName>
    <definedName name="OSRRefH22_2x_0" localSheetId="76">'411'!$H$41</definedName>
    <definedName name="OSRRefH22_2x_0" localSheetId="77">'412'!$H$42</definedName>
    <definedName name="OSRRefH22_2x_0" localSheetId="78">'413'!$H$42</definedName>
    <definedName name="OSRRefH22_2x_0" localSheetId="79">'414'!$H$45</definedName>
    <definedName name="OSRRefH22_2x_0" localSheetId="80">'415'!$H$44</definedName>
    <definedName name="OSRRefH22_2x_0" localSheetId="81">'418'!$H$42</definedName>
    <definedName name="OSRRefH22_2x_0" localSheetId="83">'423'!$H$40</definedName>
    <definedName name="OSRRefH22_2x_0" localSheetId="84">'424'!$H$24</definedName>
    <definedName name="OSRRefH22_2x_0" localSheetId="85">'425'!$H$28</definedName>
    <definedName name="OSRRefH22_2x_0" localSheetId="88">'430'!$H$41:$H$43</definedName>
    <definedName name="OSRRefH22_2x_0" localSheetId="89">'433'!$H$47</definedName>
    <definedName name="OSRRefH22_2x_0" localSheetId="91">'444'!$H$42</definedName>
    <definedName name="OSRRefH22_2x_0" localSheetId="92">'450'!$H$42</definedName>
    <definedName name="OSRRefH22_2x_0" localSheetId="73">'491'!$H$45</definedName>
    <definedName name="OSRRefH22_2x_0" localSheetId="87">'492'!$H$47</definedName>
    <definedName name="OSRRefH22_2x_0" localSheetId="94">'501'!$H$43</definedName>
    <definedName name="OSRRefH22_2x_0" localSheetId="39">'Div 2'!$H$44</definedName>
    <definedName name="OSRRefH22_2x_0" localSheetId="47">'Div 3'!$H$112</definedName>
    <definedName name="OSRRefH22_2x_0" localSheetId="71">'Div 4'!$H$51</definedName>
    <definedName name="OSRRefH22_2x_0" localSheetId="93">'Div 5'!$H$43</definedName>
    <definedName name="OSRRefH22_2x_0" localSheetId="61">'Div 6'!$H$66</definedName>
    <definedName name="OSRRefH22_2x_0" localSheetId="2">Summary!$H$136</definedName>
    <definedName name="OSRRefH22_3x_0" localSheetId="40">'200'!$H$26:$H$27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'205'!$H$43:$H$44</definedName>
    <definedName name="OSRRefH22_3x_0" localSheetId="46">'206'!$H$43</definedName>
    <definedName name="OSRRefH22_3x_0" localSheetId="48">'300'!$H$113:$H$114</definedName>
    <definedName name="OSRRefH22_3x_0" localSheetId="49">'300 &amp; 317'!$H$132:$H$133</definedName>
    <definedName name="OSRRefH22_3x_0" localSheetId="50">'301'!$H$44</definedName>
    <definedName name="OSRRefH22_3x_0" localSheetId="52">'307'!$H$44</definedName>
    <definedName name="OSRRefH22_3x_0" localSheetId="53">'308'!$H$69</definedName>
    <definedName name="OSRRefH22_3x_0" localSheetId="65">'309'!$H$42</definedName>
    <definedName name="OSRRefH22_3x_0" localSheetId="64">'310'!$H$46</definedName>
    <definedName name="OSRRefH22_3x_0" localSheetId="72">'310 &amp; 491'!$H$48</definedName>
    <definedName name="OSRRefH22_3x_0" localSheetId="54">'311'!$H$68</definedName>
    <definedName name="OSRRefH22_3x_0" localSheetId="66">'313'!$H$45</definedName>
    <definedName name="OSRRefH22_3x_0" localSheetId="57">'315'!$H$89</definedName>
    <definedName name="OSRRefH22_3x_0" localSheetId="60">'316'!$H$49</definedName>
    <definedName name="OSRRefH22_3x_0" localSheetId="62">'317'!$H$68</definedName>
    <definedName name="OSRRefH22_3x_0" localSheetId="67">'321'!$H$42</definedName>
    <definedName name="OSRRefH22_3x_0" localSheetId="68">'322'!$H$43</definedName>
    <definedName name="OSRRefH22_3x_0" localSheetId="69">'325'!$H$42</definedName>
    <definedName name="OSRRefH22_3x_0" localSheetId="58">'326'!$H$61</definedName>
    <definedName name="OSRRefH22_3x_0" localSheetId="51">'330'!$H$44</definedName>
    <definedName name="OSRRefH22_3x_0" localSheetId="56">'331'!$H$89</definedName>
    <definedName name="OSRRefH22_3x_0" localSheetId="59">'332'!$H$49</definedName>
    <definedName name="OSRRefH22_3x_0" localSheetId="74">'405'!$H$45</definedName>
    <definedName name="OSRRefH22_3x_0" localSheetId="75">'406'!$H$26</definedName>
    <definedName name="OSRRefH22_3x_0" localSheetId="76">'411'!$H$43:$H$44</definedName>
    <definedName name="OSRRefH22_3x_0" localSheetId="77">'412'!$H$44</definedName>
    <definedName name="OSRRefH22_3x_0" localSheetId="78">'413'!$H$44</definedName>
    <definedName name="OSRRefH22_3x_0" localSheetId="79">'414'!$H$47</definedName>
    <definedName name="OSRRefH22_3x_0" localSheetId="80">'415'!$H$46</definedName>
    <definedName name="OSRRefH22_3x_0" localSheetId="81">'418'!$H$44:$H$45</definedName>
    <definedName name="OSRRefH22_3x_0" localSheetId="83">'423'!$H$42:$H$43</definedName>
    <definedName name="OSRRefH22_3x_0" localSheetId="85">'425'!$H$30</definedName>
    <definedName name="OSRRefH22_3x_0" localSheetId="88">'430'!$H$45:$H$46</definedName>
    <definedName name="OSRRefH22_3x_0" localSheetId="89">'433'!$H$49</definedName>
    <definedName name="OSRRefH22_3x_0" localSheetId="91">'444'!$H$44</definedName>
    <definedName name="OSRRefH22_3x_0" localSheetId="92">'450'!$H$44</definedName>
    <definedName name="OSRRefH22_3x_0" localSheetId="73">'491'!$H$47</definedName>
    <definedName name="OSRRefH22_3x_0" localSheetId="87">'492'!$H$49</definedName>
    <definedName name="OSRRefH22_3x_0" localSheetId="94">'501'!$H$45</definedName>
    <definedName name="OSRRefH22_3x_0" localSheetId="39">'Div 2'!$H$46</definedName>
    <definedName name="OSRRefH22_3x_0" localSheetId="47">'Div 3'!$H$114:$H$115</definedName>
    <definedName name="OSRRefH22_3x_0" localSheetId="71">'Div 4'!$H$53</definedName>
    <definedName name="OSRRefH22_3x_0" localSheetId="93">'Div 5'!$H$45</definedName>
    <definedName name="OSRRefH22_3x_0" localSheetId="61">'Div 6'!$H$68</definedName>
    <definedName name="OSRRefH22_3x_0" localSheetId="2">Summary!$H$138:$H$139</definedName>
    <definedName name="OSRRefH22_4x_0" localSheetId="41">'201'!$H$46</definedName>
    <definedName name="OSRRefH22_4x_0" localSheetId="42">'202'!$H$46</definedName>
    <definedName name="OSRRefH22_4x_0" localSheetId="43">'203'!$H$46</definedName>
    <definedName name="OSRRefH22_4x_0" localSheetId="44">'204'!$H$47</definedName>
    <definedName name="OSRRefH22_4x_0" localSheetId="45">'205'!$H$46</definedName>
    <definedName name="OSRRefH22_4x_0" localSheetId="46">'206'!$H$45</definedName>
    <definedName name="OSRRefH22_4x_0" localSheetId="48">'300'!$H$116</definedName>
    <definedName name="OSRRefH22_4x_0" localSheetId="49">'300 &amp; 317'!$H$135</definedName>
    <definedName name="OSRRefH22_4x_0" localSheetId="50">'301'!$H$46:$H$47</definedName>
    <definedName name="OSRRefH22_4x_0" localSheetId="52">'307'!$H$46</definedName>
    <definedName name="OSRRefH22_4x_0" localSheetId="53">'308'!$H$71</definedName>
    <definedName name="OSRRefH22_4x_0" localSheetId="65">'309'!$H$44</definedName>
    <definedName name="OSRRefH22_4x_0" localSheetId="64">'310'!$H$48</definedName>
    <definedName name="OSRRefH22_4x_0" localSheetId="72">'310 &amp; 491'!$H$50</definedName>
    <definedName name="OSRRefH22_4x_0" localSheetId="54">'311'!$H$70</definedName>
    <definedName name="OSRRefH22_4x_0" localSheetId="66">'313'!$H$47</definedName>
    <definedName name="OSRRefH22_4x_0" localSheetId="57">'315'!$H$91</definedName>
    <definedName name="OSRRefH22_4x_0" localSheetId="60">'316'!$H$51</definedName>
    <definedName name="OSRRefH22_4x_0" localSheetId="62">'317'!$H$70</definedName>
    <definedName name="OSRRefH22_4x_0" localSheetId="67">'321'!$H$44</definedName>
    <definedName name="OSRRefH22_4x_0" localSheetId="68">'322'!$H$45</definedName>
    <definedName name="OSRRefH22_4x_0" localSheetId="69">'325'!$H$44:$H$45</definedName>
    <definedName name="OSRRefH22_4x_0" localSheetId="58">'326'!$H$63</definedName>
    <definedName name="OSRRefH22_4x_0" localSheetId="51">'330'!$H$46</definedName>
    <definedName name="OSRRefH22_4x_0" localSheetId="56">'331'!$H$91</definedName>
    <definedName name="OSRRefH22_4x_0" localSheetId="59">'332'!$H$51</definedName>
    <definedName name="OSRRefH22_4x_0" localSheetId="74">'405'!$H$47:$H$48</definedName>
    <definedName name="OSRRefH22_4x_0" localSheetId="76">'411'!$H$46</definedName>
    <definedName name="OSRRefH22_4x_0" localSheetId="77">'412'!$H$46:$H$47</definedName>
    <definedName name="OSRRefH22_4x_0" localSheetId="78">'413'!$H$46</definedName>
    <definedName name="OSRRefH22_4x_0" localSheetId="79">'414'!$H$49</definedName>
    <definedName name="OSRRefH22_4x_0" localSheetId="80">'415'!$H$48</definedName>
    <definedName name="OSRRefH22_4x_0" localSheetId="81">'418'!$H$47</definedName>
    <definedName name="OSRRefH22_4x_0" localSheetId="83">'423'!$H$45</definedName>
    <definedName name="OSRRefH22_4x_0" localSheetId="88">'430'!$H$48</definedName>
    <definedName name="OSRRefH22_4x_0" localSheetId="89">'433'!$H$51</definedName>
    <definedName name="OSRRefH22_4x_0" localSheetId="91">'444'!$H$46</definedName>
    <definedName name="OSRRefH22_4x_0" localSheetId="92">'450'!$H$46</definedName>
    <definedName name="OSRRefH22_4x_0" localSheetId="73">'491'!$H$49</definedName>
    <definedName name="OSRRefH22_4x_0" localSheetId="87">'492'!$H$51</definedName>
    <definedName name="OSRRefH22_4x_0" localSheetId="94">'501'!$H$47</definedName>
    <definedName name="OSRRefH22_4x_0" localSheetId="39">'Div 2'!$H$48</definedName>
    <definedName name="OSRRefH22_4x_0" localSheetId="47">'Div 3'!$H$117</definedName>
    <definedName name="OSRRefH22_4x_0" localSheetId="71">'Div 4'!$H$55</definedName>
    <definedName name="OSRRefH22_4x_0" localSheetId="93">'Div 5'!$H$47</definedName>
    <definedName name="OSRRefH22_4x_0" localSheetId="61">'Div 6'!$H$70</definedName>
    <definedName name="OSRRefH22_4x_0" localSheetId="2">Summary!$H$141</definedName>
    <definedName name="OSRRefH22_5x_0" localSheetId="41">'201'!$H$48</definedName>
    <definedName name="OSRRefH22_5x_0" localSheetId="42">'202'!$H$48</definedName>
    <definedName name="OSRRefH22_5x_0" localSheetId="43">'203'!$H$48</definedName>
    <definedName name="OSRRefH22_5x_0" localSheetId="44">'204'!$H$49</definedName>
    <definedName name="OSRRefH22_5x_0" localSheetId="45">'205'!$H$48</definedName>
    <definedName name="OSRRefH22_5x_0" localSheetId="46">'206'!$H$47</definedName>
    <definedName name="OSRRefH22_5x_0" localSheetId="48">'300'!$H$118:$H$119</definedName>
    <definedName name="OSRRefH22_5x_0" localSheetId="49">'300 &amp; 317'!$H$137:$H$138</definedName>
    <definedName name="OSRRefH22_5x_0" localSheetId="50">'301'!$H$49</definedName>
    <definedName name="OSRRefH22_5x_0" localSheetId="52">'307'!$H$48</definedName>
    <definedName name="OSRRefH22_5x_0" localSheetId="53">'308'!$H$73</definedName>
    <definedName name="OSRRefH22_5x_0" localSheetId="65">'309'!$H$46</definedName>
    <definedName name="OSRRefH22_5x_0" localSheetId="64">'310'!$H$50:$H$51</definedName>
    <definedName name="OSRRefH22_5x_0" localSheetId="72">'310 &amp; 491'!$H$52:$H$54</definedName>
    <definedName name="OSRRefH22_5x_0" localSheetId="54">'311'!$H$72</definedName>
    <definedName name="OSRRefH22_5x_0" localSheetId="66">'313'!$H$49</definedName>
    <definedName name="OSRRefH22_5x_0" localSheetId="57">'315'!$H$93</definedName>
    <definedName name="OSRRefH22_5x_0" localSheetId="60">'316'!$H$53</definedName>
    <definedName name="OSRRefH22_5x_0" localSheetId="62">'317'!$H$72</definedName>
    <definedName name="OSRRefH22_5x_0" localSheetId="67">'321'!$H$46</definedName>
    <definedName name="OSRRefH22_5x_0" localSheetId="68">'322'!$H$47</definedName>
    <definedName name="OSRRefH22_5x_0" localSheetId="69">'325'!$H$47</definedName>
    <definedName name="OSRRefH22_5x_0" localSheetId="58">'326'!$H$65</definedName>
    <definedName name="OSRRefH22_5x_0" localSheetId="51">'330'!$H$48</definedName>
    <definedName name="OSRRefH22_5x_0" localSheetId="56">'331'!$H$93</definedName>
    <definedName name="OSRRefH22_5x_0" localSheetId="59">'332'!$H$53</definedName>
    <definedName name="OSRRefH22_5x_0" localSheetId="74">'405'!$H$50</definedName>
    <definedName name="OSRRefH22_5x_0" localSheetId="76">'411'!$H$48</definedName>
    <definedName name="OSRRefH22_5x_0" localSheetId="77">'412'!$H$49</definedName>
    <definedName name="OSRRefH22_5x_0" localSheetId="78">'413'!$H$48:$H$49</definedName>
    <definedName name="OSRRefH22_5x_0" localSheetId="79">'414'!$H$51</definedName>
    <definedName name="OSRRefH22_5x_0" localSheetId="80">'415'!$H$50:$H$51</definedName>
    <definedName name="OSRRefH22_5x_0" localSheetId="81">'418'!$H$49</definedName>
    <definedName name="OSRRefH22_5x_0" localSheetId="83">'423'!$H$47</definedName>
    <definedName name="OSRRefH22_5x_0" localSheetId="88">'430'!$H$50</definedName>
    <definedName name="OSRRefH22_5x_0" localSheetId="89">'433'!$H$53</definedName>
    <definedName name="OSRRefH22_5x_0" localSheetId="91">'444'!$H$48:$H$50</definedName>
    <definedName name="OSRRefH22_5x_0" localSheetId="92">'450'!$H$48</definedName>
    <definedName name="OSRRefH22_5x_0" localSheetId="73">'491'!$H$51:$H$53</definedName>
    <definedName name="OSRRefH22_5x_0" localSheetId="87">'492'!$H$53</definedName>
    <definedName name="OSRRefH22_5x_0" localSheetId="94">'501'!$H$49</definedName>
    <definedName name="OSRRefH22_5x_0" localSheetId="39">'Div 2'!$H$50:$H$51</definedName>
    <definedName name="OSRRefH22_5x_0" localSheetId="47">'Div 3'!$H$119:$H$120</definedName>
    <definedName name="OSRRefH22_5x_0" localSheetId="71">'Div 4'!$H$57:$H$59</definedName>
    <definedName name="OSRRefH22_5x_0" localSheetId="93">'Div 5'!$H$49</definedName>
    <definedName name="OSRRefH22_5x_0" localSheetId="61">'Div 6'!$H$72</definedName>
    <definedName name="OSRRefH22_5x_0" localSheetId="2">Summary!$H$143:$H$145</definedName>
    <definedName name="OSRRefH22_6x_0" localSheetId="41">'201'!$H$50</definedName>
    <definedName name="OSRRefH22_6x_0" localSheetId="42">'202'!$H$50</definedName>
    <definedName name="OSRRefH22_6x_0" localSheetId="43">'203'!$H$50:$H$51</definedName>
    <definedName name="OSRRefH22_6x_0" localSheetId="44">'204'!$H$51:$H$53</definedName>
    <definedName name="OSRRefH22_6x_0" localSheetId="45">'205'!$H$50</definedName>
    <definedName name="OSRRefH22_6x_0" localSheetId="46">'206'!$H$49</definedName>
    <definedName name="OSRRefH22_6x_0" localSheetId="48">'300'!$H$121</definedName>
    <definedName name="OSRRefH22_6x_0" localSheetId="49">'300 &amp; 317'!$H$140</definedName>
    <definedName name="OSRRefH22_6x_0" localSheetId="50">'301'!$H$51</definedName>
    <definedName name="OSRRefH22_6x_0" localSheetId="52">'307'!$H$50</definedName>
    <definedName name="OSRRefH22_6x_0" localSheetId="53">'308'!$H$75</definedName>
    <definedName name="OSRRefH22_6x_0" localSheetId="65">'309'!$H$48</definedName>
    <definedName name="OSRRefH22_6x_0" localSheetId="64">'310'!$H$53</definedName>
    <definedName name="OSRRefH22_6x_0" localSheetId="72">'310 &amp; 491'!$H$56</definedName>
    <definedName name="OSRRefH22_6x_0" localSheetId="54">'311'!$H$74</definedName>
    <definedName name="OSRRefH22_6x_0" localSheetId="66">'313'!$H$51:$H$53</definedName>
    <definedName name="OSRRefH22_6x_0" localSheetId="57">'315'!$H$95</definedName>
    <definedName name="OSRRefH22_6x_0" localSheetId="60">'316'!$H$55:$H$56</definedName>
    <definedName name="OSRRefH22_6x_0" localSheetId="62">'317'!$H$74:$H$75</definedName>
    <definedName name="OSRRefH22_6x_0" localSheetId="67">'321'!$H$48:$H$49</definedName>
    <definedName name="OSRRefH22_6x_0" localSheetId="68">'322'!$H$49</definedName>
    <definedName name="OSRRefH22_6x_0" localSheetId="69">'325'!$H$49</definedName>
    <definedName name="OSRRefH22_6x_0" localSheetId="58">'326'!$H$67</definedName>
    <definedName name="OSRRefH22_6x_0" localSheetId="51">'330'!$H$50</definedName>
    <definedName name="OSRRefH22_6x_0" localSheetId="56">'331'!$H$95</definedName>
    <definedName name="OSRRefH22_6x_0" localSheetId="59">'332'!$H$55:$H$56</definedName>
    <definedName name="OSRRefH22_6x_0" localSheetId="74">'405'!$H$52</definedName>
    <definedName name="OSRRefH22_6x_0" localSheetId="76">'411'!$H$50:$H$51</definedName>
    <definedName name="OSRRefH22_6x_0" localSheetId="77">'412'!$H$51</definedName>
    <definedName name="OSRRefH22_6x_0" localSheetId="78">'413'!$H$51</definedName>
    <definedName name="OSRRefH22_6x_0" localSheetId="79">'414'!$H$53</definedName>
    <definedName name="OSRRefH22_6x_0" localSheetId="80">'415'!$H$53</definedName>
    <definedName name="OSRRefH22_6x_0" localSheetId="81">'418'!$H$51</definedName>
    <definedName name="OSRRefH22_6x_0" localSheetId="83">'423'!$H$49</definedName>
    <definedName name="OSRRefH22_6x_0" localSheetId="89">'433'!$H$55</definedName>
    <definedName name="OSRRefH22_6x_0" localSheetId="91">'444'!$H$52:$H$54</definedName>
    <definedName name="OSRRefH22_6x_0" localSheetId="92">'450'!$H$50</definedName>
    <definedName name="OSRRefH22_6x_0" localSheetId="73">'491'!$H$55</definedName>
    <definedName name="OSRRefH22_6x_0" localSheetId="87">'492'!$H$55</definedName>
    <definedName name="OSRRefH22_6x_0" localSheetId="94">'501'!$H$51</definedName>
    <definedName name="OSRRefH22_6x_0" localSheetId="39">'Div 2'!$H$53</definedName>
    <definedName name="OSRRefH22_6x_0" localSheetId="47">'Div 3'!$H$122</definedName>
    <definedName name="OSRRefH22_6x_0" localSheetId="71">'Div 4'!$H$61</definedName>
    <definedName name="OSRRefH22_6x_0" localSheetId="93">'Div 5'!$H$51</definedName>
    <definedName name="OSRRefH22_6x_0" localSheetId="61">'Div 6'!$H$74:$H$75</definedName>
    <definedName name="OSRRefH22_6x_0" localSheetId="2">Summary!$H$147</definedName>
    <definedName name="OSRRefH22_7x_0" localSheetId="41">'201'!$H$52</definedName>
    <definedName name="OSRRefH22_7x_0" localSheetId="42">'202'!$H$52:$H$53</definedName>
    <definedName name="OSRRefH22_7x_0" localSheetId="43">'203'!$H$53:$H$55</definedName>
    <definedName name="OSRRefH22_7x_0" localSheetId="44">'204'!$H$55:$H$56</definedName>
    <definedName name="OSRRefH22_7x_0" localSheetId="46">'206'!$H$51</definedName>
    <definedName name="OSRRefH22_7x_0" localSheetId="48">'300'!$H$123:$H$124</definedName>
    <definedName name="OSRRefH22_7x_0" localSheetId="49">'300 &amp; 317'!$H$142:$H$143</definedName>
    <definedName name="OSRRefH22_7x_0" localSheetId="50">'301'!$H$53</definedName>
    <definedName name="OSRRefH22_7x_0" localSheetId="52">'307'!$H$52:$H$53</definedName>
    <definedName name="OSRRefH22_7x_0" localSheetId="53">'308'!$H$77</definedName>
    <definedName name="OSRRefH22_7x_0" localSheetId="64">'310'!$H$55</definedName>
    <definedName name="OSRRefH22_7x_0" localSheetId="72">'310 &amp; 491'!$H$58</definedName>
    <definedName name="OSRRefH22_7x_0" localSheetId="54">'311'!$H$76</definedName>
    <definedName name="OSRRefH22_7x_0" localSheetId="66">'313'!$H$55:$H$56</definedName>
    <definedName name="OSRRefH22_7x_0" localSheetId="57">'315'!$H$97:$H$98</definedName>
    <definedName name="OSRRefH22_7x_0" localSheetId="60">'316'!$H$58</definedName>
    <definedName name="OSRRefH22_7x_0" localSheetId="62">'317'!$H$77</definedName>
    <definedName name="OSRRefH22_7x_0" localSheetId="67">'321'!$H$51</definedName>
    <definedName name="OSRRefH22_7x_0" localSheetId="68">'322'!$H$51</definedName>
    <definedName name="OSRRefH22_7x_0" localSheetId="69">'325'!$H$51</definedName>
    <definedName name="OSRRefH22_7x_0" localSheetId="58">'326'!$H$69</definedName>
    <definedName name="OSRRefH22_7x_0" localSheetId="51">'330'!$H$52:$H$53</definedName>
    <definedName name="OSRRefH22_7x_0" localSheetId="56">'331'!$H$97</definedName>
    <definedName name="OSRRefH22_7x_0" localSheetId="59">'332'!$H$58</definedName>
    <definedName name="OSRRefH22_7x_0" localSheetId="74">'405'!$H$54</definedName>
    <definedName name="OSRRefH22_7x_0" localSheetId="76">'411'!$H$53:$H$56</definedName>
    <definedName name="OSRRefH22_7x_0" localSheetId="77">'412'!$H$53</definedName>
    <definedName name="OSRRefH22_7x_0" localSheetId="78">'413'!$H$53:$H$54</definedName>
    <definedName name="OSRRefH22_7x_0" localSheetId="79">'414'!$H$55</definedName>
    <definedName name="OSRRefH22_7x_0" localSheetId="80">'415'!$H$55</definedName>
    <definedName name="OSRRefH22_7x_0" localSheetId="81">'418'!$H$53:$H$54</definedName>
    <definedName name="OSRRefH22_7x_0" localSheetId="89">'433'!$H$57</definedName>
    <definedName name="OSRRefH22_7x_0" localSheetId="91">'444'!$H$56:$H$58</definedName>
    <definedName name="OSRRefH22_7x_0" localSheetId="92">'450'!$H$52:$H$54</definedName>
    <definedName name="OSRRefH22_7x_0" localSheetId="73">'491'!$H$57</definedName>
    <definedName name="OSRRefH22_7x_0" localSheetId="87">'492'!$H$57</definedName>
    <definedName name="OSRRefH22_7x_0" localSheetId="94">'501'!$H$53</definedName>
    <definedName name="OSRRefH22_7x_0" localSheetId="39">'Div 2'!$H$55</definedName>
    <definedName name="OSRRefH22_7x_0" localSheetId="47">'Div 3'!$H$124:$H$125</definedName>
    <definedName name="OSRRefH22_7x_0" localSheetId="71">'Div 4'!$H$63</definedName>
    <definedName name="OSRRefH22_7x_0" localSheetId="93">'Div 5'!$H$53</definedName>
    <definedName name="OSRRefH22_7x_0" localSheetId="61">'Div 6'!$H$77</definedName>
    <definedName name="OSRRefH22_7x_0" localSheetId="2">Summary!$H$149:$H$150</definedName>
    <definedName name="OSRRefH22_8x_0" localSheetId="41">'201'!$H$54</definedName>
    <definedName name="OSRRefH22_8x_0" localSheetId="42">'202'!$H$55</definedName>
    <definedName name="OSRRefH22_8x_0" localSheetId="43">'203'!$H$57</definedName>
    <definedName name="OSRRefH22_8x_0" localSheetId="44">'204'!$H$58</definedName>
    <definedName name="OSRRefH22_8x_0" localSheetId="46">'206'!$H$53:$H$54</definedName>
    <definedName name="OSRRefH22_8x_0" localSheetId="48">'300'!$H$126</definedName>
    <definedName name="OSRRefH22_8x_0" localSheetId="49">'300 &amp; 317'!$H$145</definedName>
    <definedName name="OSRRefH22_8x_0" localSheetId="50">'301'!$H$55</definedName>
    <definedName name="OSRRefH22_8x_0" localSheetId="52">'307'!$H$55</definedName>
    <definedName name="OSRRefH22_8x_0" localSheetId="53">'308'!$H$79</definedName>
    <definedName name="OSRRefH22_8x_0" localSheetId="64">'310'!$H$57</definedName>
    <definedName name="OSRRefH22_8x_0" localSheetId="72">'310 &amp; 491'!$H$60</definedName>
    <definedName name="OSRRefH22_8x_0" localSheetId="54">'311'!$H$78</definedName>
    <definedName name="OSRRefH22_8x_0" localSheetId="57">'315'!$H$100</definedName>
    <definedName name="OSRRefH22_8x_0" localSheetId="60">'316'!$H$60</definedName>
    <definedName name="OSRRefH22_8x_0" localSheetId="62">'317'!$H$79</definedName>
    <definedName name="OSRRefH22_8x_0" localSheetId="68">'322'!$H$53</definedName>
    <definedName name="OSRRefH22_8x_0" localSheetId="69">'325'!$H$53</definedName>
    <definedName name="OSRRefH22_8x_0" localSheetId="58">'326'!$H$71:$H$72</definedName>
    <definedName name="OSRRefH22_8x_0" localSheetId="51">'330'!$H$55</definedName>
    <definedName name="OSRRefH22_8x_0" localSheetId="56">'331'!$H$99:$H$100</definedName>
    <definedName name="OSRRefH22_8x_0" localSheetId="59">'332'!$H$60</definedName>
    <definedName name="OSRRefH22_8x_0" localSheetId="74">'405'!$H$56:$H$57</definedName>
    <definedName name="OSRRefH22_8x_0" localSheetId="76">'411'!$H$58:$H$64</definedName>
    <definedName name="OSRRefH22_8x_0" localSheetId="77">'412'!$H$55</definedName>
    <definedName name="OSRRefH22_8x_0" localSheetId="78">'413'!$H$56:$H$57</definedName>
    <definedName name="OSRRefH22_8x_0" localSheetId="79">'414'!$H$57</definedName>
    <definedName name="OSRRefH22_8x_0" localSheetId="80">'415'!$H$57</definedName>
    <definedName name="OSRRefH22_8x_0" localSheetId="81">'418'!$H$56:$H$63</definedName>
    <definedName name="OSRRefH22_8x_0" localSheetId="89">'433'!$H$59</definedName>
    <definedName name="OSRRefH22_8x_0" localSheetId="91">'444'!$H$60:$H$61</definedName>
    <definedName name="OSRRefH22_8x_0" localSheetId="92">'450'!$H$56</definedName>
    <definedName name="OSRRefH22_8x_0" localSheetId="73">'491'!$H$59</definedName>
    <definedName name="OSRRefH22_8x_0" localSheetId="87">'492'!$H$59</definedName>
    <definedName name="OSRRefH22_8x_0" localSheetId="94">'501'!$H$55</definedName>
    <definedName name="OSRRefH22_8x_0" localSheetId="39">'Div 2'!$H$57</definedName>
    <definedName name="OSRRefH22_8x_0" localSheetId="47">'Div 3'!$H$127</definedName>
    <definedName name="OSRRefH22_8x_0" localSheetId="71">'Div 4'!$H$65</definedName>
    <definedName name="OSRRefH22_8x_0" localSheetId="93">'Div 5'!$H$55</definedName>
    <definedName name="OSRRefH22_8x_0" localSheetId="61">'Div 6'!$H$79</definedName>
    <definedName name="OSRRefH22_8x_0" localSheetId="2">Summary!$H$152</definedName>
    <definedName name="OSRRefH22_9x_0" localSheetId="41">'201'!$H$56</definedName>
    <definedName name="OSRRefH22_9x_0" localSheetId="42">'202'!$H$57:$H$59</definedName>
    <definedName name="OSRRefH22_9x_0" localSheetId="43">'203'!$H$59</definedName>
    <definedName name="OSRRefH22_9x_0" localSheetId="44">'204'!$H$60:$H$61</definedName>
    <definedName name="OSRRefH22_9x_0" localSheetId="46">'206'!$H$56</definedName>
    <definedName name="OSRRefH22_9x_0" localSheetId="48">'300'!$H$128</definedName>
    <definedName name="OSRRefH22_9x_0" localSheetId="49">'300 &amp; 317'!$H$147</definedName>
    <definedName name="OSRRefH22_9x_0" localSheetId="50">'301'!$H$57</definedName>
    <definedName name="OSRRefH22_9x_0" localSheetId="52">'307'!$H$57:$H$58</definedName>
    <definedName name="OSRRefH22_9x_0" localSheetId="53">'308'!$H$81:$H$82</definedName>
    <definedName name="OSRRefH22_9x_0" localSheetId="64">'310'!$H$59</definedName>
    <definedName name="OSRRefH22_9x_0" localSheetId="72">'310 &amp; 491'!$H$62</definedName>
    <definedName name="OSRRefH22_9x_0" localSheetId="54">'311'!$H$80:$H$81</definedName>
    <definedName name="OSRRefH22_9x_0" localSheetId="57">'315'!$H$102</definedName>
    <definedName name="OSRRefH22_9x_0" localSheetId="60">'316'!$H$62:$H$65</definedName>
    <definedName name="OSRRefH22_9x_0" localSheetId="62">'317'!$H$81</definedName>
    <definedName name="OSRRefH22_9x_0" localSheetId="68">'322'!$H$55:$H$56</definedName>
    <definedName name="OSRRefH22_9x_0" localSheetId="69">'325'!$H$55:$H$57</definedName>
    <definedName name="OSRRefH22_9x_0" localSheetId="58">'326'!$H$74</definedName>
    <definedName name="OSRRefH22_9x_0" localSheetId="51">'330'!$H$57:$H$58</definedName>
    <definedName name="OSRRefH22_9x_0" localSheetId="56">'331'!$H$102:$H$103</definedName>
    <definedName name="OSRRefH22_9x_0" localSheetId="59">'332'!$H$62:$H$65</definedName>
    <definedName name="OSRRefH22_9x_0" localSheetId="74">'405'!$H$59:$H$62</definedName>
    <definedName name="OSRRefH22_9x_0" localSheetId="76">'411'!$H$66</definedName>
    <definedName name="OSRRefH22_9x_0" localSheetId="77">'412'!$H$57</definedName>
    <definedName name="OSRRefH22_9x_0" localSheetId="79">'414'!$H$59:$H$61</definedName>
    <definedName name="OSRRefH22_9x_0" localSheetId="80">'415'!$H$59</definedName>
    <definedName name="OSRRefH22_9x_0" localSheetId="81">'418'!$H$65:$H$66</definedName>
    <definedName name="OSRRefH22_9x_0" localSheetId="89">'433'!$H$61</definedName>
    <definedName name="OSRRefH22_9x_0" localSheetId="92">'450'!$H$58:$H$59</definedName>
    <definedName name="OSRRefH22_9x_0" localSheetId="73">'491'!$H$61</definedName>
    <definedName name="OSRRefH22_9x_0" localSheetId="87">'492'!$H$61</definedName>
    <definedName name="OSRRefH22_9x_0" localSheetId="94">'501'!$H$57</definedName>
    <definedName name="OSRRefH22_9x_0" localSheetId="39">'Div 2'!$H$59</definedName>
    <definedName name="OSRRefH22_9x_0" localSheetId="47">'Div 3'!$H$129</definedName>
    <definedName name="OSRRefH22_9x_0" localSheetId="71">'Div 4'!$H$67</definedName>
    <definedName name="OSRRefH22_9x_0" localSheetId="93">'Div 5'!$H$57</definedName>
    <definedName name="OSRRefH22_9x_0" localSheetId="61">'Div 6'!$H$81</definedName>
    <definedName name="OSRRefH22_9x_0" localSheetId="2">Summary!$H$154</definedName>
    <definedName name="OSRRefH22x_0" localSheetId="40">'200'!$H$20,'200'!$H$22,'200'!$H$24,'200'!$H$26:$H$27</definedName>
    <definedName name="OSRRefH22x_0" localSheetId="41">'201'!$H$21:$H$29,'201'!$H$31:$H$40,'201'!$H$42,'201'!$H$44,'201'!$H$46,'201'!$H$48,'201'!$H$50,'201'!$H$52,'201'!$H$54,'201'!$H$56,'201'!$H$58,'201'!$H$60:$H$62,'201'!$H$64</definedName>
    <definedName name="OSRRefH22x_0" localSheetId="42">'202'!$H$21:$H$29,'202'!$H$31:$H$40,'202'!$H$42,'202'!$H$44,'202'!$H$46,'202'!$H$48,'202'!$H$50,'202'!$H$52:$H$53,'202'!$H$55,'202'!$H$57:$H$59,'202'!$H$61,'202'!$H$63,'202'!$H$65</definedName>
    <definedName name="OSRRefH22x_0" localSheetId="43">'203'!$H$20:$H$29,'203'!$H$31:$H$40,'203'!$H$42,'203'!$H$44,'203'!$H$46,'203'!$H$48,'203'!$H$50:$H$51,'203'!$H$53:$H$55,'203'!$H$57,'203'!$H$59,'203'!$H$61:$H$63,'203'!$H$65,'203'!$H$67</definedName>
    <definedName name="OSRRefH22x_0" localSheetId="44">'204'!$H$20:$H$29,'204'!$H$31:$H$40,'204'!$H$42,'204'!$H$44:$H$45,'204'!$H$47,'204'!$H$49,'204'!$H$51:$H$53,'204'!$H$55:$H$56,'204'!$H$58,'204'!$H$60:$H$61,'204'!$H$63</definedName>
    <definedName name="OSRRefH22x_0" localSheetId="45">'205'!$H$20:$H$28,'205'!$H$30:$H$39,'205'!$H$41,'205'!$H$43:$H$44,'205'!$H$46,'205'!$H$48,'205'!$H$50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$89:$H$98,'300'!$H$100:$H$109,'300'!$H$111,'300'!$H$113:$H$114,'300'!$H$116,'300'!$H$118:$H$119,'300'!$H$121,'300'!$H$123:$H$124,'300'!$H$126,'300'!$H$128,'300'!$H$130:$H$131,'300'!$H$133:$H$134,'300'!$H$136,'300'!$H$138,'300'!$H$140,'300'!$H$142,'300'!$H$144:$H$146,'300'!$H$148:$H$151,'300'!$H$153:$H$156,'300'!$H$158:$H$159,'300'!$H$161:$H$169,'300'!$H$171:$H$172,'300'!$H$174,'300'!$H$176:$H$178,'300'!$H$180</definedName>
    <definedName name="OSRRefH22x_0" localSheetId="49">'300 &amp; 317'!$H$108:$H$117,'300 &amp; 317'!$H$119:$H$128,'300 &amp; 317'!$H$130,'300 &amp; 317'!$H$132:$H$133,'300 &amp; 317'!$H$135,'300 &amp; 317'!$H$137:$H$138,'300 &amp; 317'!$H$140,'300 &amp; 317'!$H$142:$H$143,'300 &amp; 317'!$H$145,'300 &amp; 317'!$H$147,'300 &amp; 317'!$H$149:$H$150,'300 &amp; 317'!$H$152:$H$153,'300 &amp; 317'!$H$155,'300 &amp; 317'!$H$157,'300 &amp; 317'!$H$159,'300 &amp; 317'!$H$161,'300 &amp; 317'!$H$163:$H$165,'300 &amp; 317'!$H$167:$H$170,'300 &amp; 317'!$H$172:$H$175,'300 &amp; 317'!$H$177:$H$178,'300 &amp; 317'!$H$180:$H$188,'300 &amp; 317'!$H$190:$H$191,'300 &amp; 317'!$H$193,'300 &amp; 317'!$H$195:$H$197,'300 &amp; 317'!$H$199</definedName>
    <definedName name="OSRRefH22x_0" localSheetId="50">'301'!$H$20:$H$28,'301'!$H$30:$H$39,'301'!$H$41:$H$42,'301'!$H$44,'301'!$H$46:$H$47,'301'!$H$49,'301'!$H$51,'301'!$H$53,'301'!$H$55,'301'!$H$57,'301'!$H$59,'301'!$H$61,'301'!$H$63,'301'!$H$65:$H$67,'301'!$H$69:$H$71,'301'!$H$73,'301'!$H$75:$H$80,'301'!$H$82,'301'!$H$84,'301'!$H$86,'301'!$H$88</definedName>
    <definedName name="OSRRefH22x_0" localSheetId="52">'307'!$H$22:$H$29,'307'!$H$31:$H$40,'307'!$H$42,'307'!$H$44,'307'!$H$46,'307'!$H$48,'307'!$H$50,'307'!$H$52:$H$53,'307'!$H$55,'307'!$H$57:$H$58</definedName>
    <definedName name="OSRRefH22x_0" localSheetId="53">'308'!$H$45:$H$54,'308'!$H$56:$H$65,'308'!$H$67,'308'!$H$69,'308'!$H$71,'308'!$H$73,'308'!$H$75,'308'!$H$77,'308'!$H$79,'308'!$H$81:$H$82,'308'!$H$84,'308'!$H$86:$H$88,'308'!$H$90:$H$91,'308'!$H$93</definedName>
    <definedName name="OSRRefH22x_0" localSheetId="65">'309'!$H$20:$H$27,'309'!$H$29:$H$38,'309'!$H$40,'309'!$H$42,'309'!$H$44,'309'!$H$46,'309'!$H$48</definedName>
    <definedName name="OSRRefH22x_0" localSheetId="64">'310'!$H$23:$H$31,'310'!$H$33:$H$42,'310'!$H$44,'310'!$H$46,'310'!$H$48,'310'!$H$50:$H$51,'310'!$H$53,'310'!$H$55,'310'!$H$57,'310'!$H$59,'310'!$H$61,'310'!$H$63:$H$66,'310'!$H$68,'310'!$H$70:$H$72,'310'!$H$74:$H$75,'310'!$H$77</definedName>
    <definedName name="OSRRefH22x_0" localSheetId="72">'310 &amp; 491'!$H$25:$H$33,'310 &amp; 491'!$H$35:$H$44,'310 &amp; 491'!$H$46,'310 &amp; 491'!$H$48,'310 &amp; 491'!$H$50,'310 &amp; 491'!$H$52:$H$54,'310 &amp; 491'!$H$56,'310 &amp; 491'!$H$58,'310 &amp; 491'!$H$60,'310 &amp; 491'!$H$62,'310 &amp; 491'!$H$64,'310 &amp; 491'!$H$66,'310 &amp; 491'!$H$68:$H$69,'310 &amp; 491'!$H$71:$H$72,'310 &amp; 491'!$H$74:$H$78,'310 &amp; 491'!$H$80,'310 &amp; 491'!$H$82:$H$92,'310 &amp; 491'!$H$94:$H$95,'310 &amp; 491'!$H$97,'310 &amp; 491'!$H$99:$H$100,'310 &amp; 491'!$H$102</definedName>
    <definedName name="OSRRefH22x_0" localSheetId="54">'311'!$H$44:$H$53,'311'!$H$55:$H$64,'311'!$H$66,'311'!$H$68,'311'!$H$70,'311'!$H$72,'311'!$H$74,'311'!$H$76,'311'!$H$78,'311'!$H$80:$H$81,'311'!$H$83,'311'!$H$85:$H$87,'311'!$H$89:$H$90,'311'!$H$92</definedName>
    <definedName name="OSRRefH22x_0" localSheetId="66">'313'!$H$22:$H$30,'313'!$H$32:$H$41,'313'!$H$43,'313'!$H$45,'313'!$H$47,'313'!$H$49,'313'!$H$51:$H$53,'313'!$H$55:$H$56</definedName>
    <definedName name="OSRRefH22x_0" localSheetId="57">'315'!$H$66:$H$74,'315'!$H$76:$H$85,'315'!$H$87,'315'!$H$89,'315'!$H$91,'315'!$H$93,'315'!$H$95,'315'!$H$97:$H$98,'315'!$H$100,'315'!$H$102,'315'!$H$104,'315'!$H$106,'315'!$H$108:$H$110,'315'!$H$112,'315'!$H$114:$H$120,'315'!$H$122,'315'!$H$124:$H$125</definedName>
    <definedName name="OSRRefH22x_0" localSheetId="60">'316'!$H$26:$H$34,'316'!$H$36:$H$45,'316'!$H$47,'316'!$H$49,'316'!$H$51,'316'!$H$53,'316'!$H$55:$H$56,'316'!$H$58,'316'!$H$60,'316'!$H$62:$H$65,'316'!$H$67</definedName>
    <definedName name="OSRRefH22x_0" localSheetId="62">'317'!$H$44:$H$53,'317'!$H$55:$H$64,'317'!$H$66,'317'!$H$68,'317'!$H$70,'317'!$H$72,'317'!$H$74:$H$75,'317'!$H$77,'317'!$H$79,'317'!$H$81,'317'!$H$83:$H$85,'317'!$H$87</definedName>
    <definedName name="OSRRefH22x_0" localSheetId="67">'321'!$H$20:$H$27,'321'!$H$29:$H$38,'321'!$H$40,'321'!$H$42,'321'!$H$44,'321'!$H$46,'321'!$H$48:$H$49,'321'!$H$51</definedName>
    <definedName name="OSRRefH22x_0" localSheetId="68">'322'!$H$21:$H$28,'322'!$H$30:$H$39,'322'!$H$41,'322'!$H$43,'322'!$H$45,'322'!$H$47,'322'!$H$49,'322'!$H$51,'322'!$H$53,'322'!$H$55:$H$56,'322'!$H$58,'322'!$H$60</definedName>
    <definedName name="OSRRefH22x_0" localSheetId="55">'324'!$H$27:$H$34,'324'!$H$36:$H$45</definedName>
    <definedName name="OSRRefH22x_0" localSheetId="69">'325'!$H$20:$H$27,'325'!$H$29:$H$38,'325'!$H$40,'325'!$H$42,'325'!$H$44:$H$45,'325'!$H$47,'325'!$H$49,'325'!$H$51,'325'!$H$53,'325'!$H$55:$H$57,'325'!$H$59,'325'!$H$61:$H$62,'325'!$H$64:$H$65,'325'!$H$67</definedName>
    <definedName name="OSRRefH22x_0" localSheetId="58">'326'!$H$38:$H$46,'326'!$H$48:$H$57,'326'!$H$59,'326'!$H$61,'326'!$H$63,'326'!$H$65,'326'!$H$67,'326'!$H$69,'326'!$H$71:$H$72,'326'!$H$74,'326'!$H$76,'326'!$H$78,'326'!$H$80,'326'!$H$82,'326'!$H$84:$H$86,'326'!$H$88:$H$89,'326'!$H$91:$H$96,'326'!$H$98:$H$99,'326'!$H$101,'326'!$H$103:$H$104,'326'!$H$106</definedName>
    <definedName name="OSRRefH22x_0" localSheetId="70">'327'!$H$22</definedName>
    <definedName name="OSRRefH22x_0" localSheetId="51">'330'!$H$22:$H$29,'330'!$H$31:$H$40,'330'!$H$42,'330'!$H$44,'330'!$H$46,'330'!$H$48,'330'!$H$50,'330'!$H$52:$H$53,'330'!$H$55,'330'!$H$57:$H$58</definedName>
    <definedName name="OSRRefH22x_0" localSheetId="56">'331'!$H$66:$H$74,'331'!$H$76:$H$85,'331'!$H$87,'331'!$H$89,'331'!$H$91,'331'!$H$93,'331'!$H$95,'331'!$H$97,'331'!$H$99:$H$100,'331'!$H$102:$H$103,'331'!$H$105,'331'!$H$107,'331'!$H$109,'331'!$H$111,'331'!$H$113,'331'!$H$115:$H$117,'331'!$H$119:$H$121,'331'!$H$123:$H$124,'331'!$H$126:$H$133,'331'!$H$135:$H$136,'331'!$H$138,'331'!$H$140:$H$141,'331'!$H$143</definedName>
    <definedName name="OSRRefH22x_0" localSheetId="59">'332'!$H$26:$H$34,'332'!$H$36:$H$45,'332'!$H$47,'332'!$H$49,'332'!$H$51,'332'!$H$53,'332'!$H$55:$H$56,'332'!$H$58,'332'!$H$60,'332'!$H$62:$H$65,'332'!$H$67</definedName>
    <definedName name="OSRRefH22x_0" localSheetId="74">'405'!$H$23:$H$30,'405'!$H$32:$H$41,'405'!$H$43,'405'!$H$45,'405'!$H$47:$H$48,'405'!$H$50,'405'!$H$52,'405'!$H$54,'405'!$H$56:$H$57,'405'!$H$59:$H$62,'405'!$H$64,'405'!$H$66:$H$74,'405'!$H$76,'405'!$H$78,'405'!$H$80</definedName>
    <definedName name="OSRRefH22x_0" localSheetId="75">'406'!$H$20,'406'!$H$22,'406'!$H$24,'406'!$H$26</definedName>
    <definedName name="OSRRefH22x_0" localSheetId="76">'411'!$H$20:$H$28,'411'!$H$30:$H$39,'411'!$H$41,'411'!$H$43:$H$44,'411'!$H$46,'411'!$H$48,'411'!$H$50:$H$51,'411'!$H$53:$H$56,'411'!$H$58:$H$64,'411'!$H$66,'411'!$H$68,'411'!$H$70</definedName>
    <definedName name="OSRRefH22x_0" localSheetId="77">'412'!$H$22:$H$29,'412'!$H$31:$H$40,'412'!$H$42,'412'!$H$44,'412'!$H$46:$H$47,'412'!$H$49,'412'!$H$51,'412'!$H$53,'412'!$H$55,'412'!$H$57,'412'!$H$59:$H$62,'412'!$H$64:$H$65,'412'!$H$67:$H$68,'412'!$H$70</definedName>
    <definedName name="OSRRefH22x_0" localSheetId="78">'413'!$H$21:$H$29,'413'!$H$31:$H$40,'413'!$H$42,'413'!$H$44,'413'!$H$46,'413'!$H$48:$H$49,'413'!$H$51,'413'!$H$53:$H$54,'413'!$H$56:$H$57</definedName>
    <definedName name="OSRRefH22x_0" localSheetId="79">'414'!$H$24:$H$32,'414'!$H$34:$H$43,'414'!$H$45,'414'!$H$47,'414'!$H$49,'414'!$H$51,'414'!$H$53,'414'!$H$55,'414'!$H$57,'414'!$H$59:$H$61,'414'!$H$63,'414'!$H$65,'414'!$H$67</definedName>
    <definedName name="OSRRefH22x_0" localSheetId="80">'415'!$H$23:$H$31,'415'!$H$33:$H$42,'415'!$H$44,'415'!$H$46,'415'!$H$48,'415'!$H$50:$H$51,'415'!$H$53,'415'!$H$55,'415'!$H$57,'415'!$H$59,'415'!$H$61:$H$62,'415'!$H$64:$H$67,'415'!$H$69,'415'!$H$71:$H$75,'415'!$H$77:$H$78,'415'!$H$80</definedName>
    <definedName name="OSRRefH22x_0" localSheetId="81">'418'!$H$22:$H$29,'418'!$H$31:$H$40,'418'!$H$42,'418'!$H$44:$H$45,'418'!$H$47,'418'!$H$49,'418'!$H$51,'418'!$H$53:$H$54,'418'!$H$56:$H$63,'418'!$H$65:$H$66,'418'!$H$68</definedName>
    <definedName name="OSRRefH22x_0" localSheetId="83">'423'!$H$20:$H$27,'423'!$H$29:$H$38,'423'!$H$40,'423'!$H$42:$H$43,'423'!$H$45,'423'!$H$47,'423'!$H$49</definedName>
    <definedName name="OSRRefH22x_0" localSheetId="84">'424'!$H$20,'424'!$H$22,'424'!$H$24</definedName>
    <definedName name="OSRRefH22x_0" localSheetId="85">'425'!$H$20:$H$24,'425'!$H$26,'425'!$H$28,'425'!$H$30</definedName>
    <definedName name="OSRRefH22x_0" localSheetId="88">'430'!$H$20:$H$28,'430'!$H$30:$H$39,'430'!$H$41:$H$43,'430'!$H$45:$H$46,'430'!$H$48,'430'!$H$50</definedName>
    <definedName name="OSRRefH22x_0" localSheetId="89">'433'!$H$25:$H$34,'433'!$H$36:$H$45,'433'!$H$47,'433'!$H$49,'433'!$H$51,'433'!$H$53,'433'!$H$55,'433'!$H$57,'433'!$H$59,'433'!$H$61,'433'!$H$63:$H$66,'433'!$H$68:$H$75,'433'!$H$77</definedName>
    <definedName name="OSRRefH22x_0" localSheetId="90">'435'!$H$20</definedName>
    <definedName name="OSRRefH22x_0" localSheetId="91">'444'!$H$20:$H$29,'444'!$H$31:$H$40,'444'!$H$42,'444'!$H$44,'444'!$H$46,'444'!$H$48:$H$50,'444'!$H$52:$H$54,'444'!$H$56:$H$58,'444'!$H$60:$H$61</definedName>
    <definedName name="OSRRefH22x_0" localSheetId="92">'450'!$H$20:$H$29,'450'!$H$31:$H$40,'450'!$H$42,'450'!$H$44,'450'!$H$46,'450'!$H$48,'450'!$H$50,'450'!$H$52:$H$54,'450'!$H$56,'450'!$H$58:$H$59,'450'!$H$61</definedName>
    <definedName name="OSRRefH22x_0" localSheetId="73">'491'!$H$24:$H$32,'491'!$H$34:$H$43,'491'!$H$45,'491'!$H$47,'491'!$H$49,'491'!$H$51:$H$53,'491'!$H$55,'491'!$H$57,'491'!$H$59,'491'!$H$61,'491'!$H$63,'491'!$H$65,'491'!$H$67:$H$68,'491'!$H$70:$H$71,'491'!$H$73:$H$77,'491'!$H$79,'491'!$H$81:$H$91,'491'!$H$93:$H$94,'491'!$H$96,'491'!$H$98:$H$99,'491'!$H$101</definedName>
    <definedName name="OSRRefH22x_0" localSheetId="87">'492'!$H$25:$H$34,'492'!$H$36:$H$45,'492'!$H$47,'492'!$H$49,'492'!$H$51,'492'!$H$53,'492'!$H$55,'492'!$H$57,'492'!$H$59,'492'!$H$61,'492'!$H$63,'492'!$H$65:$H$67,'492'!$H$69:$H$72,'492'!$H$74:$H$82,'492'!$H$84:$H$85,'492'!$H$87,'492'!$H$89</definedName>
    <definedName name="OSRRefH22x_0" localSheetId="94">'501'!$H$21:$H$30,'501'!$H$32:$H$41,'501'!$H$43,'501'!$H$45,'501'!$H$47,'501'!$H$49,'501'!$H$51,'501'!$H$53,'501'!$H$55,'501'!$H$57,'501'!$H$59:$H$60,'501'!$H$62</definedName>
    <definedName name="OSRRefH22x_0" localSheetId="39">'Div 2'!$H$21:$H$31,'Div 2'!$H$33:$H$42,'Div 2'!$H$44,'Div 2'!$H$46,'Div 2'!$H$48,'Div 2'!$H$50:$H$51,'Div 2'!$H$53,'Div 2'!$H$55,'Div 2'!$H$57,'Div 2'!$H$59,'Div 2'!$H$61,'Div 2'!$H$63:$H$64,'Div 2'!$H$66:$H$69,'Div 2'!$H$71:$H$74,'Div 2'!$H$76:$H$77,'Div 2'!$H$79:$H$80,'Div 2'!$H$82:$H$86,'Div 2'!$H$88:$H$89,'Div 2'!$H$91,'Div 2'!$H$93:$H$94</definedName>
    <definedName name="OSRRefH22x_0" localSheetId="47">'Div 3'!$H$90:$H$99,'Div 3'!$H$101:$H$110,'Div 3'!$H$112,'Div 3'!$H$114:$H$115,'Div 3'!$H$117,'Div 3'!$H$119:$H$120,'Div 3'!$H$122,'Div 3'!$H$124:$H$125,'Div 3'!$H$127,'Div 3'!$H$129,'Div 3'!$H$131:$H$132,'Div 3'!$H$134:$H$135,'Div 3'!$H$137,'Div 3'!$H$139,'Div 3'!$H$141,'Div 3'!$H$143,'Div 3'!$H$145,'Div 3'!$H$147:$H$149,'Div 3'!$H$151:$H$154,'Div 3'!$H$156:$H$160,'Div 3'!$H$162:$H$163,'Div 3'!$H$165:$H$173,'Div 3'!$H$175:$H$176,'Div 3'!$H$178,'Div 3'!$H$180:$H$182,'Div 3'!$H$184</definedName>
    <definedName name="OSRRefH22x_0" localSheetId="71">'Div 4'!$H$29:$H$38,'Div 4'!$H$40:$H$49,'Div 4'!$H$51,'Div 4'!$H$53,'Div 4'!$H$55,'Div 4'!$H$57:$H$59,'Div 4'!$H$61,'Div 4'!$H$63,'Div 4'!$H$65,'Div 4'!$H$67,'Div 4'!$H$69,'Div 4'!$H$71,'Div 4'!$H$73,'Div 4'!$H$75:$H$77,'Div 4'!$H$79:$H$80,'Div 4'!$H$82:$H$86,'Div 4'!$H$88,'Div 4'!$H$90:$H$100,'Div 4'!$H$102:$H$103,'Div 4'!$H$105,'Div 4'!$H$107:$H$108,'Div 4'!$H$110</definedName>
    <definedName name="OSRRefH22x_0" localSheetId="93">'Div 5'!$H$21:$H$30,'Div 5'!$H$32:$H$41,'Div 5'!$H$43,'Div 5'!$H$45,'Div 5'!$H$47,'Div 5'!$H$49,'Div 5'!$H$51,'Div 5'!$H$53,'Div 5'!$H$55,'Div 5'!$H$57,'Div 5'!$H$59:$H$60,'Div 5'!$H$62</definedName>
    <definedName name="OSRRefH22x_0" localSheetId="61">'Div 6'!$H$44:$H$53,'Div 6'!$H$55:$H$64,'Div 6'!$H$66,'Div 6'!$H$68,'Div 6'!$H$70,'Div 6'!$H$72,'Div 6'!$H$74:$H$75,'Div 6'!$H$77,'Div 6'!$H$79,'Div 6'!$H$81,'Div 6'!$H$83:$H$85,'Div 6'!$H$87</definedName>
    <definedName name="OSRRefH22x_0" localSheetId="2">Summary!$H$114:$H$123,Summary!$H$125:$H$134,Summary!$H$136,Summary!$H$138:$H$139,Summary!$H$141,Summary!$H$143:$H$145,Summary!$H$147,Summary!$H$149:$H$150,Summary!$H$152,Summary!$H$154,Summary!$H$156:$H$157,Summary!$H$159:$H$160,Summary!$H$162,Summary!$H$164,Summary!$H$166,Summary!$H$168,Summary!$H$170,Summary!$H$172,Summary!$H$174:$H$177,Summary!$H$179:$H$182,Summary!$H$184:$H$188,Summary!$H$190:$H$191,Summary!$H$193:$H$203,Summary!$H$205:$H$206,Summary!$H$208,Summary!$H$210:$H$212,Summary!$H$214</definedName>
    <definedName name="OSRRefH25x_0" localSheetId="42">'202'!$H$68:$H$70</definedName>
    <definedName name="OSRRefH25x_0" localSheetId="44">'204'!$H$66</definedName>
    <definedName name="OSRRefH25x_0" localSheetId="48">'300'!$H$183:$H$186</definedName>
    <definedName name="OSRRefH25x_0" localSheetId="49">'300 &amp; 317'!$H$202:$H$206</definedName>
    <definedName name="OSRRefH25x_0" localSheetId="50">'301'!$H$91:$H$92</definedName>
    <definedName name="OSRRefH25x_0" localSheetId="53">'308'!$H$96:$H$98</definedName>
    <definedName name="OSRRefH25x_0" localSheetId="72">'310 &amp; 491'!$H$105:$H$107</definedName>
    <definedName name="OSRRefH25x_0" localSheetId="54">'311'!$H$95:$H$97</definedName>
    <definedName name="OSRRefH25x_0" localSheetId="57">'315'!$H$128:$H$130</definedName>
    <definedName name="OSRRefH25x_0" localSheetId="60">'316'!$H$70</definedName>
    <definedName name="OSRRefH25x_0" localSheetId="62">'317'!$H$90:$H$91</definedName>
    <definedName name="OSRRefH25x_0" localSheetId="56">'331'!$H$146:$H$148</definedName>
    <definedName name="OSRRefH25x_0" localSheetId="59">'332'!$H$70</definedName>
    <definedName name="OSRRefH25x_0" localSheetId="76">'411'!$H$73</definedName>
    <definedName name="OSRRefH25x_0" localSheetId="83">'423'!$H$52</definedName>
    <definedName name="OSRRefH25x_0" localSheetId="86">'455'!$H$21:$H$22</definedName>
    <definedName name="OSRRefH25x_0" localSheetId="73">'491'!$H$104:$H$106</definedName>
    <definedName name="OSRRefH25x_0" localSheetId="94">'501'!$H$65</definedName>
    <definedName name="OSRRefH25x_0" localSheetId="39">'Div 2'!$H$97:$H$99</definedName>
    <definedName name="OSRRefH25x_0" localSheetId="47">'Div 3'!$H$187:$H$190</definedName>
    <definedName name="OSRRefH25x_0" localSheetId="71">'Div 4'!$H$113:$H$115</definedName>
    <definedName name="OSRRefH25x_0" localSheetId="93">'Div 5'!$H$65</definedName>
    <definedName name="OSRRefH25x_0" localSheetId="61">'Div 6'!$H$90:$H$91</definedName>
    <definedName name="OSRRefH25x_0" localSheetId="2">Summary!$H$217:$H$223</definedName>
    <definedName name="OSRRefP13x_0" localSheetId="41">'201'!$P$13</definedName>
    <definedName name="OSRRefP13x_0" localSheetId="42">'202'!$P$13</definedName>
    <definedName name="OSRRefP13x_0" localSheetId="48">'300'!$P$13:$P$59</definedName>
    <definedName name="OSRRefP13x_0" localSheetId="49">'300 &amp; 317'!$P$13:$P$72</definedName>
    <definedName name="OSRRefP13x_0" localSheetId="52">'307'!$P$13</definedName>
    <definedName name="OSRRefP13x_0" localSheetId="53">'308'!$P$13:$P$26</definedName>
    <definedName name="OSRRefP13x_0" localSheetId="64">'310'!$P$13</definedName>
    <definedName name="OSRRefP13x_0" localSheetId="72">'310 &amp; 491'!$P$13:$P$15</definedName>
    <definedName name="OSRRefP13x_0" localSheetId="54">'311'!$P$13:$P$25</definedName>
    <definedName name="OSRRefP13x_0" localSheetId="66">'313'!$P$13</definedName>
    <definedName name="OSRRefP13x_0" localSheetId="57">'315'!$P$13:$P$45</definedName>
    <definedName name="OSRRefP13x_0" localSheetId="60">'316'!$P$13:$P$18</definedName>
    <definedName name="OSRRefP13x_0" localSheetId="62">'317'!$P$13:$P$27</definedName>
    <definedName name="OSRRefP13x_0" localSheetId="55">'324'!$P$13:$P$16</definedName>
    <definedName name="OSRRefP13x_0" localSheetId="58">'326'!$P$13:$P$28</definedName>
    <definedName name="OSRRefP13x_0" localSheetId="70">'327'!$P$13</definedName>
    <definedName name="OSRRefP13x_0" localSheetId="51">'330'!$P$13</definedName>
    <definedName name="OSRRefP13x_0" localSheetId="56">'331'!$P$13:$P$45</definedName>
    <definedName name="OSRRefP13x_0" localSheetId="59">'332'!$P$13:$P$18</definedName>
    <definedName name="OSRRefP13x_0" localSheetId="74">'405'!$P$13:$P$14</definedName>
    <definedName name="OSRRefP13x_0" localSheetId="77">'412'!$P$13</definedName>
    <definedName name="OSRRefP13x_0" localSheetId="79">'414'!$P$13:$P$15</definedName>
    <definedName name="OSRRefP13x_0" localSheetId="80">'415'!$P$13:$P$14</definedName>
    <definedName name="OSRRefP13x_0" localSheetId="81">'418'!$P$13</definedName>
    <definedName name="OSRRefP13x_0" localSheetId="89">'433'!$P$13:$P$15</definedName>
    <definedName name="OSRRefP13x_0" localSheetId="73">'491'!$P$13:$P$15</definedName>
    <definedName name="OSRRefP13x_0" localSheetId="87">'492'!$P$13:$P$15</definedName>
    <definedName name="OSRRefP13x_0" localSheetId="94">'501'!$P$13</definedName>
    <definedName name="OSRRefP13x_0" localSheetId="39">'Div 2'!$P$13</definedName>
    <definedName name="OSRRefP13x_0" localSheetId="47">'Div 3'!$P$13:$P$59</definedName>
    <definedName name="OSRRefP13x_0" localSheetId="71">'Div 4'!$P$13:$P$18</definedName>
    <definedName name="OSRRefP13x_0" localSheetId="93">'Div 5'!$P$13</definedName>
    <definedName name="OSRRefP13x_0" localSheetId="61">'Div 6'!$P$13:$P$27</definedName>
    <definedName name="OSRRefP13x_0" localSheetId="2">Summary!$P$13:$P$76</definedName>
    <definedName name="OSRRefP16x_0" localSheetId="48">'300'!$P$62:$P$83</definedName>
    <definedName name="OSRRefP16x_0" localSheetId="49">'300 &amp; 317'!$P$75:$P$102</definedName>
    <definedName name="OSRRefP16x_0" localSheetId="52">'307'!$P$16</definedName>
    <definedName name="OSRRefP16x_0" localSheetId="53">'308'!$P$29:$P$39</definedName>
    <definedName name="OSRRefP16x_0" localSheetId="64">'310'!$P$16:$P$17</definedName>
    <definedName name="OSRRefP16x_0" localSheetId="72">'310 &amp; 491'!$P$18:$P$19</definedName>
    <definedName name="OSRRefP16x_0" localSheetId="54">'311'!$P$28:$P$38</definedName>
    <definedName name="OSRRefP16x_0" localSheetId="66">'313'!$P$16</definedName>
    <definedName name="OSRRefP16x_0" localSheetId="57">'315'!$P$48:$P$60</definedName>
    <definedName name="OSRRefP16x_0" localSheetId="62">'317'!$P$30:$P$38</definedName>
    <definedName name="OSRRefP16x_0" localSheetId="68">'322'!$P$15</definedName>
    <definedName name="OSRRefP16x_0" localSheetId="55">'324'!$P$19:$P$21</definedName>
    <definedName name="OSRRefP16x_0" localSheetId="58">'326'!$P$31:$P$32</definedName>
    <definedName name="OSRRefP16x_0" localSheetId="70">'327'!$P$16</definedName>
    <definedName name="OSRRefP16x_0" localSheetId="51">'330'!$P$16</definedName>
    <definedName name="OSRRefP16x_0" localSheetId="56">'331'!$P$48:$P$60</definedName>
    <definedName name="OSRRefP16x_0" localSheetId="74">'405'!$P$17</definedName>
    <definedName name="OSRRefP16x_0" localSheetId="77">'412'!$P$16</definedName>
    <definedName name="OSRRefP16x_0" localSheetId="78">'413'!$P$15</definedName>
    <definedName name="OSRRefP16x_0" localSheetId="79">'414'!$P$18</definedName>
    <definedName name="OSRRefP16x_0" localSheetId="80">'415'!$P$17</definedName>
    <definedName name="OSRRefP16x_0" localSheetId="81">'418'!$P$16</definedName>
    <definedName name="OSRRefP16x_0" localSheetId="89">'433'!$P$18:$P$19</definedName>
    <definedName name="OSRRefP16x_0" localSheetId="73">'491'!$P$18</definedName>
    <definedName name="OSRRefP16x_0" localSheetId="87">'492'!$P$18:$P$19</definedName>
    <definedName name="OSRRefP16x_0" localSheetId="47">'Div 3'!$P$62:$P$84</definedName>
    <definedName name="OSRRefP16x_0" localSheetId="71">'Div 4'!$P$21:$P$23</definedName>
    <definedName name="OSRRefP16x_0" localSheetId="61">'Div 6'!$P$30:$P$38</definedName>
    <definedName name="OSRRefP16x_0" localSheetId="2">Summary!$P$79:$P$108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'300'!$P$89:$P$98</definedName>
    <definedName name="OSRRefP22_0x_0" localSheetId="49">'300 &amp; 317'!$P$108:$P$117</definedName>
    <definedName name="OSRRefP22_0x_0" localSheetId="50">'301'!$P$20:$P$28</definedName>
    <definedName name="OSRRefP22_0x_0" localSheetId="52">'307'!$P$22:$P$29</definedName>
    <definedName name="OSRRefP22_0x_0" localSheetId="53">'308'!$P$45:$P$54</definedName>
    <definedName name="OSRRefP22_0x_0" localSheetId="65">'309'!$P$20:$P$27</definedName>
    <definedName name="OSRRefP22_0x_0" localSheetId="64">'310'!$P$23:$P$31</definedName>
    <definedName name="OSRRefP22_0x_0" localSheetId="72">'310 &amp; 491'!$P$25:$P$33</definedName>
    <definedName name="OSRRefP22_0x_0" localSheetId="54">'311'!$P$44:$P$53</definedName>
    <definedName name="OSRRefP22_0x_0" localSheetId="66">'313'!$P$22:$P$30</definedName>
    <definedName name="OSRRefP22_0x_0" localSheetId="57">'315'!$P$66:$P$74</definedName>
    <definedName name="OSRRefP22_0x_0" localSheetId="60">'316'!$P$26:$P$34</definedName>
    <definedName name="OSRRefP22_0x_0" localSheetId="62">'317'!$P$44:$P$53</definedName>
    <definedName name="OSRRefP22_0x_0" localSheetId="67">'321'!$P$20:$P$27</definedName>
    <definedName name="OSRRefP22_0x_0" localSheetId="68">'322'!$P$21:$P$28</definedName>
    <definedName name="OSRRefP22_0x_0" localSheetId="55">'324'!$P$27:$P$34</definedName>
    <definedName name="OSRRefP22_0x_0" localSheetId="69">'325'!$P$20:$P$27</definedName>
    <definedName name="OSRRefP22_0x_0" localSheetId="58">'326'!$P$38:$P$46</definedName>
    <definedName name="OSRRefP22_0x_0" localSheetId="70">'327'!$P$22</definedName>
    <definedName name="OSRRefP22_0x_0" localSheetId="51">'330'!$P$22:$P$29</definedName>
    <definedName name="OSRRefP22_0x_0" localSheetId="56">'331'!$P$66:$P$74</definedName>
    <definedName name="OSRRefP22_0x_0" localSheetId="59">'332'!$P$26:$P$34</definedName>
    <definedName name="OSRRefP22_0x_0" localSheetId="74">'405'!$P$23:$P$30</definedName>
    <definedName name="OSRRefP22_0x_0" localSheetId="75">'406'!$P$20</definedName>
    <definedName name="OSRRefP22_0x_0" localSheetId="76">'411'!$P$20:$P$28</definedName>
    <definedName name="OSRRefP22_0x_0" localSheetId="77">'412'!$P$22:$P$29</definedName>
    <definedName name="OSRRefP22_0x_0" localSheetId="78">'413'!$P$21:$P$29</definedName>
    <definedName name="OSRRefP22_0x_0" localSheetId="79">'414'!$P$24:$P$32</definedName>
    <definedName name="OSRRefP22_0x_0" localSheetId="80">'415'!$P$23:$P$31</definedName>
    <definedName name="OSRRefP22_0x_0" localSheetId="81">'418'!$P$22:$P$29</definedName>
    <definedName name="OSRRefP22_0x_0" localSheetId="83">'423'!$P$20:$P$27</definedName>
    <definedName name="OSRRefP22_0x_0" localSheetId="84">'424'!$P$20</definedName>
    <definedName name="OSRRefP22_0x_0" localSheetId="85">'425'!$P$20:$P$24</definedName>
    <definedName name="OSRRefP22_0x_0" localSheetId="88">'430'!$P$20:$P$28</definedName>
    <definedName name="OSRRefP22_0x_0" localSheetId="89">'433'!$P$25:$P$34</definedName>
    <definedName name="OSRRefP22_0x_0" localSheetId="90">'435'!$P$20</definedName>
    <definedName name="OSRRefP22_0x_0" localSheetId="91">'444'!$P$20:$P$29</definedName>
    <definedName name="OSRRefP22_0x_0" localSheetId="92">'450'!$P$20:$P$29</definedName>
    <definedName name="OSRRefP22_0x_0" localSheetId="73">'491'!$P$24:$P$32</definedName>
    <definedName name="OSRRefP22_0x_0" localSheetId="87">'492'!$P$25:$P$34</definedName>
    <definedName name="OSRRefP22_0x_0" localSheetId="94">'501'!$P$21:$P$30</definedName>
    <definedName name="OSRRefP22_0x_0" localSheetId="39">'Div 2'!$P$21:$P$31</definedName>
    <definedName name="OSRRefP22_0x_0" localSheetId="47">'Div 3'!$P$90:$P$99</definedName>
    <definedName name="OSRRefP22_0x_0" localSheetId="71">'Div 4'!$P$29:$P$38</definedName>
    <definedName name="OSRRefP22_0x_0" localSheetId="93">'Div 5'!$P$21:$P$30</definedName>
    <definedName name="OSRRefP22_0x_0" localSheetId="61">'Div 6'!$P$44:$P$53</definedName>
    <definedName name="OSRRefP22_0x_0" localSheetId="2">Summary!$P$114:$P$123</definedName>
    <definedName name="OSRRefP22_10x_0" localSheetId="41">'201'!$P$58</definedName>
    <definedName name="OSRRefP22_10x_0" localSheetId="42">'202'!$P$61</definedName>
    <definedName name="OSRRefP22_10x_0" localSheetId="43">'203'!$P$61:$P$63</definedName>
    <definedName name="OSRRefP22_10x_0" localSheetId="44">'204'!$P$63</definedName>
    <definedName name="OSRRefP22_10x_0" localSheetId="48">'300'!$P$130:$P$131</definedName>
    <definedName name="OSRRefP22_10x_0" localSheetId="49">'300 &amp; 317'!$P$149:$P$150</definedName>
    <definedName name="OSRRefP22_10x_0" localSheetId="50">'301'!$P$59</definedName>
    <definedName name="OSRRefP22_10x_0" localSheetId="53">'308'!$P$84</definedName>
    <definedName name="OSRRefP22_10x_0" localSheetId="64">'310'!$P$61</definedName>
    <definedName name="OSRRefP22_10x_0" localSheetId="72">'310 &amp; 491'!$P$64</definedName>
    <definedName name="OSRRefP22_10x_0" localSheetId="54">'311'!$P$83</definedName>
    <definedName name="OSRRefP22_10x_0" localSheetId="57">'315'!$P$104</definedName>
    <definedName name="OSRRefP22_10x_0" localSheetId="60">'316'!$P$67</definedName>
    <definedName name="OSRRefP22_10x_0" localSheetId="62">'317'!$P$83:$P$85</definedName>
    <definedName name="OSRRefP22_10x_0" localSheetId="68">'322'!$P$58</definedName>
    <definedName name="OSRRefP22_10x_0" localSheetId="69">'325'!$P$59</definedName>
    <definedName name="OSRRefP22_10x_0" localSheetId="58">'326'!$P$76</definedName>
    <definedName name="OSRRefP22_10x_0" localSheetId="56">'331'!$P$105</definedName>
    <definedName name="OSRRefP22_10x_0" localSheetId="59">'332'!$P$67</definedName>
    <definedName name="OSRRefP22_10x_0" localSheetId="74">'405'!$P$64</definedName>
    <definedName name="OSRRefP22_10x_0" localSheetId="76">'411'!$P$68</definedName>
    <definedName name="OSRRefP22_10x_0" localSheetId="77">'412'!$P$59:$P$62</definedName>
    <definedName name="OSRRefP22_10x_0" localSheetId="79">'414'!$P$63</definedName>
    <definedName name="OSRRefP22_10x_0" localSheetId="80">'415'!$P$61:$P$62</definedName>
    <definedName name="OSRRefP22_10x_0" localSheetId="81">'418'!$P$68</definedName>
    <definedName name="OSRRefP22_10x_0" localSheetId="89">'433'!$P$63:$P$66</definedName>
    <definedName name="OSRRefP22_10x_0" localSheetId="92">'450'!$P$61</definedName>
    <definedName name="OSRRefP22_10x_0" localSheetId="73">'491'!$P$63</definedName>
    <definedName name="OSRRefP22_10x_0" localSheetId="87">'492'!$P$63</definedName>
    <definedName name="OSRRefP22_10x_0" localSheetId="94">'501'!$P$59:$P$60</definedName>
    <definedName name="OSRRefP22_10x_0" localSheetId="39">'Div 2'!$P$61</definedName>
    <definedName name="OSRRefP22_10x_0" localSheetId="47">'Div 3'!$P$131:$P$132</definedName>
    <definedName name="OSRRefP22_10x_0" localSheetId="71">'Div 4'!$P$69</definedName>
    <definedName name="OSRRefP22_10x_0" localSheetId="93">'Div 5'!$P$59:$P$60</definedName>
    <definedName name="OSRRefP22_10x_0" localSheetId="61">'Div 6'!$P$83:$P$85</definedName>
    <definedName name="OSRRefP22_10x_0" localSheetId="2">Summary!$P$156:$P$157</definedName>
    <definedName name="OSRRefP22_11x_0" localSheetId="41">'201'!$P$60:$P$62</definedName>
    <definedName name="OSRRefP22_11x_0" localSheetId="42">'202'!$P$63</definedName>
    <definedName name="OSRRefP22_11x_0" localSheetId="43">'203'!$P$65</definedName>
    <definedName name="OSRRefP22_11x_0" localSheetId="48">'300'!$P$133:$P$134</definedName>
    <definedName name="OSRRefP22_11x_0" localSheetId="49">'300 &amp; 317'!$P$152:$P$153</definedName>
    <definedName name="OSRRefP22_11x_0" localSheetId="50">'301'!$P$61</definedName>
    <definedName name="OSRRefP22_11x_0" localSheetId="53">'308'!$P$86:$P$88</definedName>
    <definedName name="OSRRefP22_11x_0" localSheetId="64">'310'!$P$63:$P$66</definedName>
    <definedName name="OSRRefP22_11x_0" localSheetId="72">'310 &amp; 491'!$P$66</definedName>
    <definedName name="OSRRefP22_11x_0" localSheetId="54">'311'!$P$85:$P$87</definedName>
    <definedName name="OSRRefP22_11x_0" localSheetId="57">'315'!$P$106</definedName>
    <definedName name="OSRRefP22_11x_0" localSheetId="62">'317'!$P$87</definedName>
    <definedName name="OSRRefP22_11x_0" localSheetId="68">'322'!$P$60</definedName>
    <definedName name="OSRRefP22_11x_0" localSheetId="69">'325'!$P$61:$P$62</definedName>
    <definedName name="OSRRefP22_11x_0" localSheetId="58">'326'!$P$78</definedName>
    <definedName name="OSRRefP22_11x_0" localSheetId="56">'331'!$P$107</definedName>
    <definedName name="OSRRefP22_11x_0" localSheetId="74">'405'!$P$66:$P$74</definedName>
    <definedName name="OSRRefP22_11x_0" localSheetId="76">'411'!$P$70</definedName>
    <definedName name="OSRRefP22_11x_0" localSheetId="77">'412'!$P$64:$P$65</definedName>
    <definedName name="OSRRefP22_11x_0" localSheetId="79">'414'!$P$65</definedName>
    <definedName name="OSRRefP22_11x_0" localSheetId="80">'415'!$P$64:$P$67</definedName>
    <definedName name="OSRRefP22_11x_0" localSheetId="89">'433'!$P$68:$P$75</definedName>
    <definedName name="OSRRefP22_11x_0" localSheetId="73">'491'!$P$65</definedName>
    <definedName name="OSRRefP22_11x_0" localSheetId="87">'492'!$P$65:$P$67</definedName>
    <definedName name="OSRRefP22_11x_0" localSheetId="94">'501'!$P$62</definedName>
    <definedName name="OSRRefP22_11x_0" localSheetId="39">'Div 2'!$P$63:$P$64</definedName>
    <definedName name="OSRRefP22_11x_0" localSheetId="47">'Div 3'!$P$134:$P$135</definedName>
    <definedName name="OSRRefP22_11x_0" localSheetId="71">'Div 4'!$P$71</definedName>
    <definedName name="OSRRefP22_11x_0" localSheetId="93">'Div 5'!$P$62</definedName>
    <definedName name="OSRRefP22_11x_0" localSheetId="61">'Div 6'!$P$87</definedName>
    <definedName name="OSRRefP22_11x_0" localSheetId="2">Summary!$P$159:$P$160</definedName>
    <definedName name="OSRRefP22_12x_0" localSheetId="41">'201'!$P$64</definedName>
    <definedName name="OSRRefP22_12x_0" localSheetId="42">'202'!$P$65</definedName>
    <definedName name="OSRRefP22_12x_0" localSheetId="43">'203'!$P$67</definedName>
    <definedName name="OSRRefP22_12x_0" localSheetId="48">'300'!$P$136</definedName>
    <definedName name="OSRRefP22_12x_0" localSheetId="49">'300 &amp; 317'!$P$155</definedName>
    <definedName name="OSRRefP22_12x_0" localSheetId="50">'301'!$P$63</definedName>
    <definedName name="OSRRefP22_12x_0" localSheetId="53">'308'!$P$90:$P$91</definedName>
    <definedName name="OSRRefP22_12x_0" localSheetId="64">'310'!$P$68</definedName>
    <definedName name="OSRRefP22_12x_0" localSheetId="72">'310 &amp; 491'!$P$68:$P$69</definedName>
    <definedName name="OSRRefP22_12x_0" localSheetId="54">'311'!$P$89:$P$90</definedName>
    <definedName name="OSRRefP22_12x_0" localSheetId="57">'315'!$P$108:$P$110</definedName>
    <definedName name="OSRRefP22_12x_0" localSheetId="69">'325'!$P$64:$P$65</definedName>
    <definedName name="OSRRefP22_12x_0" localSheetId="58">'326'!$P$80</definedName>
    <definedName name="OSRRefP22_12x_0" localSheetId="56">'331'!$P$109</definedName>
    <definedName name="OSRRefP22_12x_0" localSheetId="74">'405'!$P$76</definedName>
    <definedName name="OSRRefP22_12x_0" localSheetId="77">'412'!$P$67:$P$68</definedName>
    <definedName name="OSRRefP22_12x_0" localSheetId="79">'414'!$P$67</definedName>
    <definedName name="OSRRefP22_12x_0" localSheetId="80">'415'!$P$69</definedName>
    <definedName name="OSRRefP22_12x_0" localSheetId="89">'433'!$P$77</definedName>
    <definedName name="OSRRefP22_12x_0" localSheetId="73">'491'!$P$67:$P$68</definedName>
    <definedName name="OSRRefP22_12x_0" localSheetId="87">'492'!$P$69:$P$72</definedName>
    <definedName name="OSRRefP22_12x_0" localSheetId="39">'Div 2'!$P$66:$P$69</definedName>
    <definedName name="OSRRefP22_12x_0" localSheetId="47">'Div 3'!$P$137</definedName>
    <definedName name="OSRRefP22_12x_0" localSheetId="71">'Div 4'!$P$73</definedName>
    <definedName name="OSRRefP22_12x_0" localSheetId="2">Summary!$P$162</definedName>
    <definedName name="OSRRefP22_13x_0" localSheetId="48">'300'!$P$138</definedName>
    <definedName name="OSRRefP22_13x_0" localSheetId="49">'300 &amp; 317'!$P$157</definedName>
    <definedName name="OSRRefP22_13x_0" localSheetId="50">'301'!$P$65:$P$67</definedName>
    <definedName name="OSRRefP22_13x_0" localSheetId="53">'308'!$P$93</definedName>
    <definedName name="OSRRefP22_13x_0" localSheetId="64">'310'!$P$70:$P$72</definedName>
    <definedName name="OSRRefP22_13x_0" localSheetId="72">'310 &amp; 491'!$P$71:$P$72</definedName>
    <definedName name="OSRRefP22_13x_0" localSheetId="54">'311'!$P$92</definedName>
    <definedName name="OSRRefP22_13x_0" localSheetId="57">'315'!$P$112</definedName>
    <definedName name="OSRRefP22_13x_0" localSheetId="69">'325'!$P$67</definedName>
    <definedName name="OSRRefP22_13x_0" localSheetId="58">'326'!$P$82</definedName>
    <definedName name="OSRRefP22_13x_0" localSheetId="56">'331'!$P$111</definedName>
    <definedName name="OSRRefP22_13x_0" localSheetId="74">'405'!$P$78</definedName>
    <definedName name="OSRRefP22_13x_0" localSheetId="77">'412'!$P$70</definedName>
    <definedName name="OSRRefP22_13x_0" localSheetId="80">'415'!$P$71:$P$75</definedName>
    <definedName name="OSRRefP22_13x_0" localSheetId="73">'491'!$P$70:$P$71</definedName>
    <definedName name="OSRRefP22_13x_0" localSheetId="87">'492'!$P$74:$P$82</definedName>
    <definedName name="OSRRefP22_13x_0" localSheetId="39">'Div 2'!$P$71:$P$74</definedName>
    <definedName name="OSRRefP22_13x_0" localSheetId="47">'Div 3'!$P$139</definedName>
    <definedName name="OSRRefP22_13x_0" localSheetId="71">'Div 4'!$P$75:$P$77</definedName>
    <definedName name="OSRRefP22_13x_0" localSheetId="2">Summary!$P$164</definedName>
    <definedName name="OSRRefP22_14x_0" localSheetId="48">'300'!$P$140</definedName>
    <definedName name="OSRRefP22_14x_0" localSheetId="49">'300 &amp; 317'!$P$159</definedName>
    <definedName name="OSRRefP22_14x_0" localSheetId="50">'301'!$P$69:$P$71</definedName>
    <definedName name="OSRRefP22_14x_0" localSheetId="64">'310'!$P$74:$P$75</definedName>
    <definedName name="OSRRefP22_14x_0" localSheetId="72">'310 &amp; 491'!$P$74:$P$78</definedName>
    <definedName name="OSRRefP22_14x_0" localSheetId="57">'315'!$P$114:$P$120</definedName>
    <definedName name="OSRRefP22_14x_0" localSheetId="58">'326'!$P$84:$P$86</definedName>
    <definedName name="OSRRefP22_14x_0" localSheetId="56">'331'!$P$113</definedName>
    <definedName name="OSRRefP22_14x_0" localSheetId="74">'405'!$P$80</definedName>
    <definedName name="OSRRefP22_14x_0" localSheetId="80">'415'!$P$77:$P$78</definedName>
    <definedName name="OSRRefP22_14x_0" localSheetId="73">'491'!$P$73:$P$77</definedName>
    <definedName name="OSRRefP22_14x_0" localSheetId="87">'492'!$P$84:$P$85</definedName>
    <definedName name="OSRRefP22_14x_0" localSheetId="39">'Div 2'!$P$76:$P$77</definedName>
    <definedName name="OSRRefP22_14x_0" localSheetId="47">'Div 3'!$P$141</definedName>
    <definedName name="OSRRefP22_14x_0" localSheetId="71">'Div 4'!$P$79:$P$80</definedName>
    <definedName name="OSRRefP22_14x_0" localSheetId="2">Summary!$P$166</definedName>
    <definedName name="OSRRefP22_15x_0" localSheetId="48">'300'!$P$142</definedName>
    <definedName name="OSRRefP22_15x_0" localSheetId="49">'300 &amp; 317'!$P$161</definedName>
    <definedName name="OSRRefP22_15x_0" localSheetId="50">'301'!$P$73</definedName>
    <definedName name="OSRRefP22_15x_0" localSheetId="64">'310'!$P$77</definedName>
    <definedName name="OSRRefP22_15x_0" localSheetId="72">'310 &amp; 491'!$P$80</definedName>
    <definedName name="OSRRefP22_15x_0" localSheetId="57">'315'!$P$122</definedName>
    <definedName name="OSRRefP22_15x_0" localSheetId="58">'326'!$P$88:$P$89</definedName>
    <definedName name="OSRRefP22_15x_0" localSheetId="56">'331'!$P$115:$P$117</definedName>
    <definedName name="OSRRefP22_15x_0" localSheetId="80">'415'!$P$80</definedName>
    <definedName name="OSRRefP22_15x_0" localSheetId="73">'491'!$P$79</definedName>
    <definedName name="OSRRefP22_15x_0" localSheetId="87">'492'!$P$87</definedName>
    <definedName name="OSRRefP22_15x_0" localSheetId="39">'Div 2'!$P$79:$P$80</definedName>
    <definedName name="OSRRefP22_15x_0" localSheetId="47">'Div 3'!$P$143</definedName>
    <definedName name="OSRRefP22_15x_0" localSheetId="71">'Div 4'!$P$82:$P$86</definedName>
    <definedName name="OSRRefP22_15x_0" localSheetId="2">Summary!$P$168</definedName>
    <definedName name="OSRRefP22_16x_0" localSheetId="48">'300'!$P$144:$P$146</definedName>
    <definedName name="OSRRefP22_16x_0" localSheetId="49">'300 &amp; 317'!$P$163:$P$165</definedName>
    <definedName name="OSRRefP22_16x_0" localSheetId="50">'301'!$P$75:$P$80</definedName>
    <definedName name="OSRRefP22_16x_0" localSheetId="72">'310 &amp; 491'!$P$82:$P$92</definedName>
    <definedName name="OSRRefP22_16x_0" localSheetId="57">'315'!$P$124:$P$125</definedName>
    <definedName name="OSRRefP22_16x_0" localSheetId="58">'326'!$P$91:$P$96</definedName>
    <definedName name="OSRRefP22_16x_0" localSheetId="56">'331'!$P$119:$P$121</definedName>
    <definedName name="OSRRefP22_16x_0" localSheetId="73">'491'!$P$81:$P$91</definedName>
    <definedName name="OSRRefP22_16x_0" localSheetId="87">'492'!$P$89</definedName>
    <definedName name="OSRRefP22_16x_0" localSheetId="39">'Div 2'!$P$82:$P$86</definedName>
    <definedName name="OSRRefP22_16x_0" localSheetId="47">'Div 3'!$P$145</definedName>
    <definedName name="OSRRefP22_16x_0" localSheetId="71">'Div 4'!$P$88</definedName>
    <definedName name="OSRRefP22_16x_0" localSheetId="2">Summary!$P$170</definedName>
    <definedName name="OSRRefP22_17x_0" localSheetId="48">'300'!$P$148:$P$151</definedName>
    <definedName name="OSRRefP22_17x_0" localSheetId="49">'300 &amp; 317'!$P$167:$P$170</definedName>
    <definedName name="OSRRefP22_17x_0" localSheetId="50">'301'!$P$82</definedName>
    <definedName name="OSRRefP22_17x_0" localSheetId="72">'310 &amp; 491'!$P$94:$P$95</definedName>
    <definedName name="OSRRefP22_17x_0" localSheetId="58">'326'!$P$98:$P$99</definedName>
    <definedName name="OSRRefP22_17x_0" localSheetId="56">'331'!$P$123:$P$124</definedName>
    <definedName name="OSRRefP22_17x_0" localSheetId="73">'491'!$P$93:$P$94</definedName>
    <definedName name="OSRRefP22_17x_0" localSheetId="39">'Div 2'!$P$88:$P$89</definedName>
    <definedName name="OSRRefP22_17x_0" localSheetId="47">'Div 3'!$P$147:$P$149</definedName>
    <definedName name="OSRRefP22_17x_0" localSheetId="71">'Div 4'!$P$90:$P$100</definedName>
    <definedName name="OSRRefP22_17x_0" localSheetId="2">Summary!$P$172</definedName>
    <definedName name="OSRRefP22_18x_0" localSheetId="48">'300'!$P$153:$P$156</definedName>
    <definedName name="OSRRefP22_18x_0" localSheetId="49">'300 &amp; 317'!$P$172:$P$175</definedName>
    <definedName name="OSRRefP22_18x_0" localSheetId="50">'301'!$P$84</definedName>
    <definedName name="OSRRefP22_18x_0" localSheetId="72">'310 &amp; 491'!$P$97</definedName>
    <definedName name="OSRRefP22_18x_0" localSheetId="58">'326'!$P$101</definedName>
    <definedName name="OSRRefP22_18x_0" localSheetId="56">'331'!$P$126:$P$133</definedName>
    <definedName name="OSRRefP22_18x_0" localSheetId="73">'491'!$P$96</definedName>
    <definedName name="OSRRefP22_18x_0" localSheetId="39">'Div 2'!$P$91</definedName>
    <definedName name="OSRRefP22_18x_0" localSheetId="47">'Div 3'!$P$151:$P$154</definedName>
    <definedName name="OSRRefP22_18x_0" localSheetId="71">'Div 4'!$P$102:$P$103</definedName>
    <definedName name="OSRRefP22_18x_0" localSheetId="2">Summary!$P$174:$P$177</definedName>
    <definedName name="OSRRefP22_19x_0" localSheetId="48">'300'!$P$158:$P$159</definedName>
    <definedName name="OSRRefP22_19x_0" localSheetId="49">'300 &amp; 317'!$P$177:$P$178</definedName>
    <definedName name="OSRRefP22_19x_0" localSheetId="50">'301'!$P$86</definedName>
    <definedName name="OSRRefP22_19x_0" localSheetId="72">'310 &amp; 491'!$P$99:$P$100</definedName>
    <definedName name="OSRRefP22_19x_0" localSheetId="58">'326'!$P$103:$P$104</definedName>
    <definedName name="OSRRefP22_19x_0" localSheetId="56">'331'!$P$135:$P$136</definedName>
    <definedName name="OSRRefP22_19x_0" localSheetId="73">'491'!$P$98:$P$99</definedName>
    <definedName name="OSRRefP22_19x_0" localSheetId="39">'Div 2'!$P$93:$P$94</definedName>
    <definedName name="OSRRefP22_19x_0" localSheetId="47">'Div 3'!$P$156:$P$160</definedName>
    <definedName name="OSRRefP22_19x_0" localSheetId="71">'Div 4'!$P$105</definedName>
    <definedName name="OSRRefP22_19x_0" localSheetId="2">Summary!$P$179:$P$182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'300'!$P$100:$P$109</definedName>
    <definedName name="OSRRefP22_1x_0" localSheetId="49">'300 &amp; 317'!$P$119:$P$128</definedName>
    <definedName name="OSRRefP22_1x_0" localSheetId="50">'301'!$P$30:$P$39</definedName>
    <definedName name="OSRRefP22_1x_0" localSheetId="52">'307'!$P$31:$P$40</definedName>
    <definedName name="OSRRefP22_1x_0" localSheetId="53">'308'!$P$56:$P$65</definedName>
    <definedName name="OSRRefP22_1x_0" localSheetId="65">'309'!$P$29:$P$38</definedName>
    <definedName name="OSRRefP22_1x_0" localSheetId="64">'310'!$P$33:$P$42</definedName>
    <definedName name="OSRRefP22_1x_0" localSheetId="72">'310 &amp; 491'!$P$35:$P$44</definedName>
    <definedName name="OSRRefP22_1x_0" localSheetId="54">'311'!$P$55:$P$64</definedName>
    <definedName name="OSRRefP22_1x_0" localSheetId="66">'313'!$P$32:$P$41</definedName>
    <definedName name="OSRRefP22_1x_0" localSheetId="57">'315'!$P$76:$P$85</definedName>
    <definedName name="OSRRefP22_1x_0" localSheetId="60">'316'!$P$36:$P$45</definedName>
    <definedName name="OSRRefP22_1x_0" localSheetId="62">'317'!$P$55:$P$64</definedName>
    <definedName name="OSRRefP22_1x_0" localSheetId="67">'321'!$P$29:$P$38</definedName>
    <definedName name="OSRRefP22_1x_0" localSheetId="68">'322'!$P$30:$P$39</definedName>
    <definedName name="OSRRefP22_1x_0" localSheetId="55">'324'!$P$36:$P$45</definedName>
    <definedName name="OSRRefP22_1x_0" localSheetId="69">'325'!$P$29:$P$38</definedName>
    <definedName name="OSRRefP22_1x_0" localSheetId="58">'326'!$P$48:$P$57</definedName>
    <definedName name="OSRRefP22_1x_0" localSheetId="51">'330'!$P$31:$P$40</definedName>
    <definedName name="OSRRefP22_1x_0" localSheetId="56">'331'!$P$76:$P$85</definedName>
    <definedName name="OSRRefP22_1x_0" localSheetId="59">'332'!$P$36:$P$45</definedName>
    <definedName name="OSRRefP22_1x_0" localSheetId="74">'405'!$P$32:$P$41</definedName>
    <definedName name="OSRRefP22_1x_0" localSheetId="75">'406'!$P$22</definedName>
    <definedName name="OSRRefP22_1x_0" localSheetId="76">'411'!$P$30:$P$39</definedName>
    <definedName name="OSRRefP22_1x_0" localSheetId="77">'412'!$P$31:$P$40</definedName>
    <definedName name="OSRRefP22_1x_0" localSheetId="78">'413'!$P$31:$P$40</definedName>
    <definedName name="OSRRefP22_1x_0" localSheetId="79">'414'!$P$34:$P$43</definedName>
    <definedName name="OSRRefP22_1x_0" localSheetId="80">'415'!$P$33:$P$42</definedName>
    <definedName name="OSRRefP22_1x_0" localSheetId="81">'418'!$P$31:$P$40</definedName>
    <definedName name="OSRRefP22_1x_0" localSheetId="83">'423'!$P$29:$P$38</definedName>
    <definedName name="OSRRefP22_1x_0" localSheetId="84">'424'!$P$22</definedName>
    <definedName name="OSRRefP22_1x_0" localSheetId="85">'425'!$P$26</definedName>
    <definedName name="OSRRefP22_1x_0" localSheetId="88">'430'!$P$30:$P$39</definedName>
    <definedName name="OSRRefP22_1x_0" localSheetId="89">'433'!$P$36:$P$45</definedName>
    <definedName name="OSRRefP22_1x_0" localSheetId="91">'444'!$P$31:$P$40</definedName>
    <definedName name="OSRRefP22_1x_0" localSheetId="92">'450'!$P$31:$P$40</definedName>
    <definedName name="OSRRefP22_1x_0" localSheetId="73">'491'!$P$34:$P$43</definedName>
    <definedName name="OSRRefP22_1x_0" localSheetId="87">'492'!$P$36:$P$45</definedName>
    <definedName name="OSRRefP22_1x_0" localSheetId="94">'501'!$P$32:$P$41</definedName>
    <definedName name="OSRRefP22_1x_0" localSheetId="39">'Div 2'!$P$33:$P$42</definedName>
    <definedName name="OSRRefP22_1x_0" localSheetId="47">'Div 3'!$P$101:$P$110</definedName>
    <definedName name="OSRRefP22_1x_0" localSheetId="71">'Div 4'!$P$40:$P$49</definedName>
    <definedName name="OSRRefP22_1x_0" localSheetId="93">'Div 5'!$P$32:$P$41</definedName>
    <definedName name="OSRRefP22_1x_0" localSheetId="61">'Div 6'!$P$55:$P$64</definedName>
    <definedName name="OSRRefP22_1x_0" localSheetId="2">Summary!$P$125:$P$134</definedName>
    <definedName name="OSRRefP22_20x_0" localSheetId="48">'300'!$P$161:$P$169</definedName>
    <definedName name="OSRRefP22_20x_0" localSheetId="49">'300 &amp; 317'!$P$180:$P$188</definedName>
    <definedName name="OSRRefP22_20x_0" localSheetId="50">'301'!$P$88</definedName>
    <definedName name="OSRRefP22_20x_0" localSheetId="72">'310 &amp; 491'!$P$102</definedName>
    <definedName name="OSRRefP22_20x_0" localSheetId="58">'326'!$P$106</definedName>
    <definedName name="OSRRefP22_20x_0" localSheetId="56">'331'!$P$138</definedName>
    <definedName name="OSRRefP22_20x_0" localSheetId="73">'491'!$P$101</definedName>
    <definedName name="OSRRefP22_20x_0" localSheetId="47">'Div 3'!$P$162:$P$163</definedName>
    <definedName name="OSRRefP22_20x_0" localSheetId="71">'Div 4'!$P$107:$P$108</definedName>
    <definedName name="OSRRefP22_20x_0" localSheetId="2">Summary!$P$184:$P$188</definedName>
    <definedName name="OSRRefP22_21x_0" localSheetId="48">'300'!$P$171:$P$172</definedName>
    <definedName name="OSRRefP22_21x_0" localSheetId="49">'300 &amp; 317'!$P$190:$P$191</definedName>
    <definedName name="OSRRefP22_21x_0" localSheetId="56">'331'!$P$140:$P$141</definedName>
    <definedName name="OSRRefP22_21x_0" localSheetId="47">'Div 3'!$P$165:$P$173</definedName>
    <definedName name="OSRRefP22_21x_0" localSheetId="71">'Div 4'!$P$110</definedName>
    <definedName name="OSRRefP22_21x_0" localSheetId="2">Summary!$P$190:$P$191</definedName>
    <definedName name="OSRRefP22_22x_0" localSheetId="48">'300'!$P$174</definedName>
    <definedName name="OSRRefP22_22x_0" localSheetId="49">'300 &amp; 317'!$P$193</definedName>
    <definedName name="OSRRefP22_22x_0" localSheetId="56">'331'!$P$143</definedName>
    <definedName name="OSRRefP22_22x_0" localSheetId="47">'Div 3'!$P$175:$P$176</definedName>
    <definedName name="OSRRefP22_22x_0" localSheetId="2">Summary!$P$193:$P$203</definedName>
    <definedName name="OSRRefP22_23x_0" localSheetId="48">'300'!$P$176:$P$178</definedName>
    <definedName name="OSRRefP22_23x_0" localSheetId="49">'300 &amp; 317'!$P$195:$P$197</definedName>
    <definedName name="OSRRefP22_23x_0" localSheetId="47">'Div 3'!$P$178</definedName>
    <definedName name="OSRRefP22_23x_0" localSheetId="2">Summary!$P$205:$P$206</definedName>
    <definedName name="OSRRefP22_24x_0" localSheetId="48">'300'!$P$180</definedName>
    <definedName name="OSRRefP22_24x_0" localSheetId="49">'300 &amp; 317'!$P$199</definedName>
    <definedName name="OSRRefP22_24x_0" localSheetId="47">'Div 3'!$P$180:$P$182</definedName>
    <definedName name="OSRRefP22_24x_0" localSheetId="2">Summary!$P$208</definedName>
    <definedName name="OSRRefP22_25x_0" localSheetId="47">'Div 3'!$P$184</definedName>
    <definedName name="OSRRefP22_25x_0" localSheetId="2">Summary!$P$210:$P$212</definedName>
    <definedName name="OSRRefP22_26x_0" localSheetId="2">Summary!$P$214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'300'!$P$111</definedName>
    <definedName name="OSRRefP22_2x_0" localSheetId="49">'300 &amp; 317'!$P$130</definedName>
    <definedName name="OSRRefP22_2x_0" localSheetId="50">'301'!$P$41:$P$42</definedName>
    <definedName name="OSRRefP22_2x_0" localSheetId="52">'307'!$P$42</definedName>
    <definedName name="OSRRefP22_2x_0" localSheetId="53">'308'!$P$67</definedName>
    <definedName name="OSRRefP22_2x_0" localSheetId="65">'309'!$P$40</definedName>
    <definedName name="OSRRefP22_2x_0" localSheetId="64">'310'!$P$44</definedName>
    <definedName name="OSRRefP22_2x_0" localSheetId="72">'310 &amp; 491'!$P$46</definedName>
    <definedName name="OSRRefP22_2x_0" localSheetId="54">'311'!$P$66</definedName>
    <definedName name="OSRRefP22_2x_0" localSheetId="66">'313'!$P$43</definedName>
    <definedName name="OSRRefP22_2x_0" localSheetId="57">'315'!$P$87</definedName>
    <definedName name="OSRRefP22_2x_0" localSheetId="60">'316'!$P$47</definedName>
    <definedName name="OSRRefP22_2x_0" localSheetId="62">'317'!$P$66</definedName>
    <definedName name="OSRRefP22_2x_0" localSheetId="67">'321'!$P$40</definedName>
    <definedName name="OSRRefP22_2x_0" localSheetId="68">'322'!$P$41</definedName>
    <definedName name="OSRRefP22_2x_0" localSheetId="69">'325'!$P$40</definedName>
    <definedName name="OSRRefP22_2x_0" localSheetId="58">'326'!$P$59</definedName>
    <definedName name="OSRRefP22_2x_0" localSheetId="51">'330'!$P$42</definedName>
    <definedName name="OSRRefP22_2x_0" localSheetId="56">'331'!$P$87</definedName>
    <definedName name="OSRRefP22_2x_0" localSheetId="59">'332'!$P$47</definedName>
    <definedName name="OSRRefP22_2x_0" localSheetId="74">'405'!$P$43</definedName>
    <definedName name="OSRRefP22_2x_0" localSheetId="75">'406'!$P$24</definedName>
    <definedName name="OSRRefP22_2x_0" localSheetId="76">'411'!$P$41</definedName>
    <definedName name="OSRRefP22_2x_0" localSheetId="77">'412'!$P$42</definedName>
    <definedName name="OSRRefP22_2x_0" localSheetId="78">'413'!$P$42</definedName>
    <definedName name="OSRRefP22_2x_0" localSheetId="79">'414'!$P$45</definedName>
    <definedName name="OSRRefP22_2x_0" localSheetId="80">'415'!$P$44</definedName>
    <definedName name="OSRRefP22_2x_0" localSheetId="81">'418'!$P$42</definedName>
    <definedName name="OSRRefP22_2x_0" localSheetId="83">'423'!$P$40</definedName>
    <definedName name="OSRRefP22_2x_0" localSheetId="84">'424'!$P$24</definedName>
    <definedName name="OSRRefP22_2x_0" localSheetId="85">'425'!$P$28</definedName>
    <definedName name="OSRRefP22_2x_0" localSheetId="88">'430'!$P$41:$P$43</definedName>
    <definedName name="OSRRefP22_2x_0" localSheetId="89">'433'!$P$47</definedName>
    <definedName name="OSRRefP22_2x_0" localSheetId="91">'444'!$P$42</definedName>
    <definedName name="OSRRefP22_2x_0" localSheetId="92">'450'!$P$42</definedName>
    <definedName name="OSRRefP22_2x_0" localSheetId="73">'491'!$P$45</definedName>
    <definedName name="OSRRefP22_2x_0" localSheetId="87">'492'!$P$47</definedName>
    <definedName name="OSRRefP22_2x_0" localSheetId="94">'501'!$P$43</definedName>
    <definedName name="OSRRefP22_2x_0" localSheetId="39">'Div 2'!$P$44</definedName>
    <definedName name="OSRRefP22_2x_0" localSheetId="47">'Div 3'!$P$112</definedName>
    <definedName name="OSRRefP22_2x_0" localSheetId="71">'Div 4'!$P$51</definedName>
    <definedName name="OSRRefP22_2x_0" localSheetId="93">'Div 5'!$P$43</definedName>
    <definedName name="OSRRefP22_2x_0" localSheetId="61">'Div 6'!$P$66</definedName>
    <definedName name="OSRRefP22_2x_0" localSheetId="2">Summary!$P$136</definedName>
    <definedName name="OSRRefP22_3x_0" localSheetId="40">'200'!$P$26:$P$27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'205'!$P$43:$P$44</definedName>
    <definedName name="OSRRefP22_3x_0" localSheetId="46">'206'!$P$43</definedName>
    <definedName name="OSRRefP22_3x_0" localSheetId="48">'300'!$P$113:$P$114</definedName>
    <definedName name="OSRRefP22_3x_0" localSheetId="49">'300 &amp; 317'!$P$132:$P$133</definedName>
    <definedName name="OSRRefP22_3x_0" localSheetId="50">'301'!$P$44</definedName>
    <definedName name="OSRRefP22_3x_0" localSheetId="52">'307'!$P$44</definedName>
    <definedName name="OSRRefP22_3x_0" localSheetId="53">'308'!$P$69</definedName>
    <definedName name="OSRRefP22_3x_0" localSheetId="65">'309'!$P$42</definedName>
    <definedName name="OSRRefP22_3x_0" localSheetId="64">'310'!$P$46</definedName>
    <definedName name="OSRRefP22_3x_0" localSheetId="72">'310 &amp; 491'!$P$48</definedName>
    <definedName name="OSRRefP22_3x_0" localSheetId="54">'311'!$P$68</definedName>
    <definedName name="OSRRefP22_3x_0" localSheetId="66">'313'!$P$45</definedName>
    <definedName name="OSRRefP22_3x_0" localSheetId="57">'315'!$P$89</definedName>
    <definedName name="OSRRefP22_3x_0" localSheetId="60">'316'!$P$49</definedName>
    <definedName name="OSRRefP22_3x_0" localSheetId="62">'317'!$P$68</definedName>
    <definedName name="OSRRefP22_3x_0" localSheetId="67">'321'!$P$42</definedName>
    <definedName name="OSRRefP22_3x_0" localSheetId="68">'322'!$P$43</definedName>
    <definedName name="OSRRefP22_3x_0" localSheetId="69">'325'!$P$42</definedName>
    <definedName name="OSRRefP22_3x_0" localSheetId="58">'326'!$P$61</definedName>
    <definedName name="OSRRefP22_3x_0" localSheetId="51">'330'!$P$44</definedName>
    <definedName name="OSRRefP22_3x_0" localSheetId="56">'331'!$P$89</definedName>
    <definedName name="OSRRefP22_3x_0" localSheetId="59">'332'!$P$49</definedName>
    <definedName name="OSRRefP22_3x_0" localSheetId="74">'405'!$P$45</definedName>
    <definedName name="OSRRefP22_3x_0" localSheetId="75">'406'!$P$26</definedName>
    <definedName name="OSRRefP22_3x_0" localSheetId="76">'411'!$P$43:$P$44</definedName>
    <definedName name="OSRRefP22_3x_0" localSheetId="77">'412'!$P$44</definedName>
    <definedName name="OSRRefP22_3x_0" localSheetId="78">'413'!$P$44</definedName>
    <definedName name="OSRRefP22_3x_0" localSheetId="79">'414'!$P$47</definedName>
    <definedName name="OSRRefP22_3x_0" localSheetId="80">'415'!$P$46</definedName>
    <definedName name="OSRRefP22_3x_0" localSheetId="81">'418'!$P$44:$P$45</definedName>
    <definedName name="OSRRefP22_3x_0" localSheetId="83">'423'!$P$42:$P$43</definedName>
    <definedName name="OSRRefP22_3x_0" localSheetId="85">'425'!$P$30</definedName>
    <definedName name="OSRRefP22_3x_0" localSheetId="88">'430'!$P$45:$P$46</definedName>
    <definedName name="OSRRefP22_3x_0" localSheetId="89">'433'!$P$49</definedName>
    <definedName name="OSRRefP22_3x_0" localSheetId="91">'444'!$P$44</definedName>
    <definedName name="OSRRefP22_3x_0" localSheetId="92">'450'!$P$44</definedName>
    <definedName name="OSRRefP22_3x_0" localSheetId="73">'491'!$P$47</definedName>
    <definedName name="OSRRefP22_3x_0" localSheetId="87">'492'!$P$49</definedName>
    <definedName name="OSRRefP22_3x_0" localSheetId="94">'501'!$P$45</definedName>
    <definedName name="OSRRefP22_3x_0" localSheetId="39">'Div 2'!$P$46</definedName>
    <definedName name="OSRRefP22_3x_0" localSheetId="47">'Div 3'!$P$114:$P$115</definedName>
    <definedName name="OSRRefP22_3x_0" localSheetId="71">'Div 4'!$P$53</definedName>
    <definedName name="OSRRefP22_3x_0" localSheetId="93">'Div 5'!$P$45</definedName>
    <definedName name="OSRRefP22_3x_0" localSheetId="61">'Div 6'!$P$68</definedName>
    <definedName name="OSRRefP22_3x_0" localSheetId="2">Summary!$P$138:$P$139</definedName>
    <definedName name="OSRRefP22_4x_0" localSheetId="41">'201'!$P$46</definedName>
    <definedName name="OSRRefP22_4x_0" localSheetId="42">'202'!$P$46</definedName>
    <definedName name="OSRRefP22_4x_0" localSheetId="43">'203'!$P$46</definedName>
    <definedName name="OSRRefP22_4x_0" localSheetId="44">'204'!$P$47</definedName>
    <definedName name="OSRRefP22_4x_0" localSheetId="45">'205'!$P$46</definedName>
    <definedName name="OSRRefP22_4x_0" localSheetId="46">'206'!$P$45</definedName>
    <definedName name="OSRRefP22_4x_0" localSheetId="48">'300'!$P$116</definedName>
    <definedName name="OSRRefP22_4x_0" localSheetId="49">'300 &amp; 317'!$P$135</definedName>
    <definedName name="OSRRefP22_4x_0" localSheetId="50">'301'!$P$46:$P$47</definedName>
    <definedName name="OSRRefP22_4x_0" localSheetId="52">'307'!$P$46</definedName>
    <definedName name="OSRRefP22_4x_0" localSheetId="53">'308'!$P$71</definedName>
    <definedName name="OSRRefP22_4x_0" localSheetId="65">'309'!$P$44</definedName>
    <definedName name="OSRRefP22_4x_0" localSheetId="64">'310'!$P$48</definedName>
    <definedName name="OSRRefP22_4x_0" localSheetId="72">'310 &amp; 491'!$P$50</definedName>
    <definedName name="OSRRefP22_4x_0" localSheetId="54">'311'!$P$70</definedName>
    <definedName name="OSRRefP22_4x_0" localSheetId="66">'313'!$P$47</definedName>
    <definedName name="OSRRefP22_4x_0" localSheetId="57">'315'!$P$91</definedName>
    <definedName name="OSRRefP22_4x_0" localSheetId="60">'316'!$P$51</definedName>
    <definedName name="OSRRefP22_4x_0" localSheetId="62">'317'!$P$70</definedName>
    <definedName name="OSRRefP22_4x_0" localSheetId="67">'321'!$P$44</definedName>
    <definedName name="OSRRefP22_4x_0" localSheetId="68">'322'!$P$45</definedName>
    <definedName name="OSRRefP22_4x_0" localSheetId="69">'325'!$P$44:$P$45</definedName>
    <definedName name="OSRRefP22_4x_0" localSheetId="58">'326'!$P$63</definedName>
    <definedName name="OSRRefP22_4x_0" localSheetId="51">'330'!$P$46</definedName>
    <definedName name="OSRRefP22_4x_0" localSheetId="56">'331'!$P$91</definedName>
    <definedName name="OSRRefP22_4x_0" localSheetId="59">'332'!$P$51</definedName>
    <definedName name="OSRRefP22_4x_0" localSheetId="74">'405'!$P$47:$P$48</definedName>
    <definedName name="OSRRefP22_4x_0" localSheetId="76">'411'!$P$46</definedName>
    <definedName name="OSRRefP22_4x_0" localSheetId="77">'412'!$P$46:$P$47</definedName>
    <definedName name="OSRRefP22_4x_0" localSheetId="78">'413'!$P$46</definedName>
    <definedName name="OSRRefP22_4x_0" localSheetId="79">'414'!$P$49</definedName>
    <definedName name="OSRRefP22_4x_0" localSheetId="80">'415'!$P$48</definedName>
    <definedName name="OSRRefP22_4x_0" localSheetId="81">'418'!$P$47</definedName>
    <definedName name="OSRRefP22_4x_0" localSheetId="83">'423'!$P$45</definedName>
    <definedName name="OSRRefP22_4x_0" localSheetId="88">'430'!$P$48</definedName>
    <definedName name="OSRRefP22_4x_0" localSheetId="89">'433'!$P$51</definedName>
    <definedName name="OSRRefP22_4x_0" localSheetId="91">'444'!$P$46</definedName>
    <definedName name="OSRRefP22_4x_0" localSheetId="92">'450'!$P$46</definedName>
    <definedName name="OSRRefP22_4x_0" localSheetId="73">'491'!$P$49</definedName>
    <definedName name="OSRRefP22_4x_0" localSheetId="87">'492'!$P$51</definedName>
    <definedName name="OSRRefP22_4x_0" localSheetId="94">'501'!$P$47</definedName>
    <definedName name="OSRRefP22_4x_0" localSheetId="39">'Div 2'!$P$48</definedName>
    <definedName name="OSRRefP22_4x_0" localSheetId="47">'Div 3'!$P$117</definedName>
    <definedName name="OSRRefP22_4x_0" localSheetId="71">'Div 4'!$P$55</definedName>
    <definedName name="OSRRefP22_4x_0" localSheetId="93">'Div 5'!$P$47</definedName>
    <definedName name="OSRRefP22_4x_0" localSheetId="61">'Div 6'!$P$70</definedName>
    <definedName name="OSRRefP22_4x_0" localSheetId="2">Summary!$P$141</definedName>
    <definedName name="OSRRefP22_5x_0" localSheetId="41">'201'!$P$48</definedName>
    <definedName name="OSRRefP22_5x_0" localSheetId="42">'202'!$P$48</definedName>
    <definedName name="OSRRefP22_5x_0" localSheetId="43">'203'!$P$48</definedName>
    <definedName name="OSRRefP22_5x_0" localSheetId="44">'204'!$P$49</definedName>
    <definedName name="OSRRefP22_5x_0" localSheetId="45">'205'!$P$48</definedName>
    <definedName name="OSRRefP22_5x_0" localSheetId="46">'206'!$P$47</definedName>
    <definedName name="OSRRefP22_5x_0" localSheetId="48">'300'!$P$118:$P$119</definedName>
    <definedName name="OSRRefP22_5x_0" localSheetId="49">'300 &amp; 317'!$P$137:$P$138</definedName>
    <definedName name="OSRRefP22_5x_0" localSheetId="50">'301'!$P$49</definedName>
    <definedName name="OSRRefP22_5x_0" localSheetId="52">'307'!$P$48</definedName>
    <definedName name="OSRRefP22_5x_0" localSheetId="53">'308'!$P$73</definedName>
    <definedName name="OSRRefP22_5x_0" localSheetId="65">'309'!$P$46</definedName>
    <definedName name="OSRRefP22_5x_0" localSheetId="64">'310'!$P$50:$P$51</definedName>
    <definedName name="OSRRefP22_5x_0" localSheetId="72">'310 &amp; 491'!$P$52:$P$54</definedName>
    <definedName name="OSRRefP22_5x_0" localSheetId="54">'311'!$P$72</definedName>
    <definedName name="OSRRefP22_5x_0" localSheetId="66">'313'!$P$49</definedName>
    <definedName name="OSRRefP22_5x_0" localSheetId="57">'315'!$P$93</definedName>
    <definedName name="OSRRefP22_5x_0" localSheetId="60">'316'!$P$53</definedName>
    <definedName name="OSRRefP22_5x_0" localSheetId="62">'317'!$P$72</definedName>
    <definedName name="OSRRefP22_5x_0" localSheetId="67">'321'!$P$46</definedName>
    <definedName name="OSRRefP22_5x_0" localSheetId="68">'322'!$P$47</definedName>
    <definedName name="OSRRefP22_5x_0" localSheetId="69">'325'!$P$47</definedName>
    <definedName name="OSRRefP22_5x_0" localSheetId="58">'326'!$P$65</definedName>
    <definedName name="OSRRefP22_5x_0" localSheetId="51">'330'!$P$48</definedName>
    <definedName name="OSRRefP22_5x_0" localSheetId="56">'331'!$P$93</definedName>
    <definedName name="OSRRefP22_5x_0" localSheetId="59">'332'!$P$53</definedName>
    <definedName name="OSRRefP22_5x_0" localSheetId="74">'405'!$P$50</definedName>
    <definedName name="OSRRefP22_5x_0" localSheetId="76">'411'!$P$48</definedName>
    <definedName name="OSRRefP22_5x_0" localSheetId="77">'412'!$P$49</definedName>
    <definedName name="OSRRefP22_5x_0" localSheetId="78">'413'!$P$48:$P$49</definedName>
    <definedName name="OSRRefP22_5x_0" localSheetId="79">'414'!$P$51</definedName>
    <definedName name="OSRRefP22_5x_0" localSheetId="80">'415'!$P$50:$P$51</definedName>
    <definedName name="OSRRefP22_5x_0" localSheetId="81">'418'!$P$49</definedName>
    <definedName name="OSRRefP22_5x_0" localSheetId="83">'423'!$P$47</definedName>
    <definedName name="OSRRefP22_5x_0" localSheetId="88">'430'!$P$50</definedName>
    <definedName name="OSRRefP22_5x_0" localSheetId="89">'433'!$P$53</definedName>
    <definedName name="OSRRefP22_5x_0" localSheetId="91">'444'!$P$48:$P$50</definedName>
    <definedName name="OSRRefP22_5x_0" localSheetId="92">'450'!$P$48</definedName>
    <definedName name="OSRRefP22_5x_0" localSheetId="73">'491'!$P$51:$P$53</definedName>
    <definedName name="OSRRefP22_5x_0" localSheetId="87">'492'!$P$53</definedName>
    <definedName name="OSRRefP22_5x_0" localSheetId="94">'501'!$P$49</definedName>
    <definedName name="OSRRefP22_5x_0" localSheetId="39">'Div 2'!$P$50:$P$51</definedName>
    <definedName name="OSRRefP22_5x_0" localSheetId="47">'Div 3'!$P$119:$P$120</definedName>
    <definedName name="OSRRefP22_5x_0" localSheetId="71">'Div 4'!$P$57:$P$59</definedName>
    <definedName name="OSRRefP22_5x_0" localSheetId="93">'Div 5'!$P$49</definedName>
    <definedName name="OSRRefP22_5x_0" localSheetId="61">'Div 6'!$P$72</definedName>
    <definedName name="OSRRefP22_5x_0" localSheetId="2">Summary!$P$143:$P$145</definedName>
    <definedName name="OSRRefP22_6x_0" localSheetId="41">'201'!$P$50</definedName>
    <definedName name="OSRRefP22_6x_0" localSheetId="42">'202'!$P$50</definedName>
    <definedName name="OSRRefP22_6x_0" localSheetId="43">'203'!$P$50:$P$51</definedName>
    <definedName name="OSRRefP22_6x_0" localSheetId="44">'204'!$P$51:$P$53</definedName>
    <definedName name="OSRRefP22_6x_0" localSheetId="45">'205'!$P$50</definedName>
    <definedName name="OSRRefP22_6x_0" localSheetId="46">'206'!$P$49</definedName>
    <definedName name="OSRRefP22_6x_0" localSheetId="48">'300'!$P$121</definedName>
    <definedName name="OSRRefP22_6x_0" localSheetId="49">'300 &amp; 317'!$P$140</definedName>
    <definedName name="OSRRefP22_6x_0" localSheetId="50">'301'!$P$51</definedName>
    <definedName name="OSRRefP22_6x_0" localSheetId="52">'307'!$P$50</definedName>
    <definedName name="OSRRefP22_6x_0" localSheetId="53">'308'!$P$75</definedName>
    <definedName name="OSRRefP22_6x_0" localSheetId="65">'309'!$P$48</definedName>
    <definedName name="OSRRefP22_6x_0" localSheetId="64">'310'!$P$53</definedName>
    <definedName name="OSRRefP22_6x_0" localSheetId="72">'310 &amp; 491'!$P$56</definedName>
    <definedName name="OSRRefP22_6x_0" localSheetId="54">'311'!$P$74</definedName>
    <definedName name="OSRRefP22_6x_0" localSheetId="66">'313'!$P$51:$P$53</definedName>
    <definedName name="OSRRefP22_6x_0" localSheetId="57">'315'!$P$95</definedName>
    <definedName name="OSRRefP22_6x_0" localSheetId="60">'316'!$P$55:$P$56</definedName>
    <definedName name="OSRRefP22_6x_0" localSheetId="62">'317'!$P$74:$P$75</definedName>
    <definedName name="OSRRefP22_6x_0" localSheetId="67">'321'!$P$48:$P$49</definedName>
    <definedName name="OSRRefP22_6x_0" localSheetId="68">'322'!$P$49</definedName>
    <definedName name="OSRRefP22_6x_0" localSheetId="69">'325'!$P$49</definedName>
    <definedName name="OSRRefP22_6x_0" localSheetId="58">'326'!$P$67</definedName>
    <definedName name="OSRRefP22_6x_0" localSheetId="51">'330'!$P$50</definedName>
    <definedName name="OSRRefP22_6x_0" localSheetId="56">'331'!$P$95</definedName>
    <definedName name="OSRRefP22_6x_0" localSheetId="59">'332'!$P$55:$P$56</definedName>
    <definedName name="OSRRefP22_6x_0" localSheetId="74">'405'!$P$52</definedName>
    <definedName name="OSRRefP22_6x_0" localSheetId="76">'411'!$P$50:$P$51</definedName>
    <definedName name="OSRRefP22_6x_0" localSheetId="77">'412'!$P$51</definedName>
    <definedName name="OSRRefP22_6x_0" localSheetId="78">'413'!$P$51</definedName>
    <definedName name="OSRRefP22_6x_0" localSheetId="79">'414'!$P$53</definedName>
    <definedName name="OSRRefP22_6x_0" localSheetId="80">'415'!$P$53</definedName>
    <definedName name="OSRRefP22_6x_0" localSheetId="81">'418'!$P$51</definedName>
    <definedName name="OSRRefP22_6x_0" localSheetId="83">'423'!$P$49</definedName>
    <definedName name="OSRRefP22_6x_0" localSheetId="89">'433'!$P$55</definedName>
    <definedName name="OSRRefP22_6x_0" localSheetId="91">'444'!$P$52:$P$54</definedName>
    <definedName name="OSRRefP22_6x_0" localSheetId="92">'450'!$P$50</definedName>
    <definedName name="OSRRefP22_6x_0" localSheetId="73">'491'!$P$55</definedName>
    <definedName name="OSRRefP22_6x_0" localSheetId="87">'492'!$P$55</definedName>
    <definedName name="OSRRefP22_6x_0" localSheetId="94">'501'!$P$51</definedName>
    <definedName name="OSRRefP22_6x_0" localSheetId="39">'Div 2'!$P$53</definedName>
    <definedName name="OSRRefP22_6x_0" localSheetId="47">'Div 3'!$P$122</definedName>
    <definedName name="OSRRefP22_6x_0" localSheetId="71">'Div 4'!$P$61</definedName>
    <definedName name="OSRRefP22_6x_0" localSheetId="93">'Div 5'!$P$51</definedName>
    <definedName name="OSRRefP22_6x_0" localSheetId="61">'Div 6'!$P$74:$P$75</definedName>
    <definedName name="OSRRefP22_6x_0" localSheetId="2">Summary!$P$147</definedName>
    <definedName name="OSRRefP22_7x_0" localSheetId="41">'201'!$P$52</definedName>
    <definedName name="OSRRefP22_7x_0" localSheetId="42">'202'!$P$52:$P$53</definedName>
    <definedName name="OSRRefP22_7x_0" localSheetId="43">'203'!$P$53:$P$55</definedName>
    <definedName name="OSRRefP22_7x_0" localSheetId="44">'204'!$P$55:$P$56</definedName>
    <definedName name="OSRRefP22_7x_0" localSheetId="46">'206'!$P$51</definedName>
    <definedName name="OSRRefP22_7x_0" localSheetId="48">'300'!$P$123:$P$124</definedName>
    <definedName name="OSRRefP22_7x_0" localSheetId="49">'300 &amp; 317'!$P$142:$P$143</definedName>
    <definedName name="OSRRefP22_7x_0" localSheetId="50">'301'!$P$53</definedName>
    <definedName name="OSRRefP22_7x_0" localSheetId="52">'307'!$P$52:$P$53</definedName>
    <definedName name="OSRRefP22_7x_0" localSheetId="53">'308'!$P$77</definedName>
    <definedName name="OSRRefP22_7x_0" localSheetId="64">'310'!$P$55</definedName>
    <definedName name="OSRRefP22_7x_0" localSheetId="72">'310 &amp; 491'!$P$58</definedName>
    <definedName name="OSRRefP22_7x_0" localSheetId="54">'311'!$P$76</definedName>
    <definedName name="OSRRefP22_7x_0" localSheetId="66">'313'!$P$55:$P$56</definedName>
    <definedName name="OSRRefP22_7x_0" localSheetId="57">'315'!$P$97:$P$98</definedName>
    <definedName name="OSRRefP22_7x_0" localSheetId="60">'316'!$P$58</definedName>
    <definedName name="OSRRefP22_7x_0" localSheetId="62">'317'!$P$77</definedName>
    <definedName name="OSRRefP22_7x_0" localSheetId="67">'321'!$P$51</definedName>
    <definedName name="OSRRefP22_7x_0" localSheetId="68">'322'!$P$51</definedName>
    <definedName name="OSRRefP22_7x_0" localSheetId="69">'325'!$P$51</definedName>
    <definedName name="OSRRefP22_7x_0" localSheetId="58">'326'!$P$69</definedName>
    <definedName name="OSRRefP22_7x_0" localSheetId="51">'330'!$P$52:$P$53</definedName>
    <definedName name="OSRRefP22_7x_0" localSheetId="56">'331'!$P$97</definedName>
    <definedName name="OSRRefP22_7x_0" localSheetId="59">'332'!$P$58</definedName>
    <definedName name="OSRRefP22_7x_0" localSheetId="74">'405'!$P$54</definedName>
    <definedName name="OSRRefP22_7x_0" localSheetId="76">'411'!$P$53:$P$56</definedName>
    <definedName name="OSRRefP22_7x_0" localSheetId="77">'412'!$P$53</definedName>
    <definedName name="OSRRefP22_7x_0" localSheetId="78">'413'!$P$53:$P$54</definedName>
    <definedName name="OSRRefP22_7x_0" localSheetId="79">'414'!$P$55</definedName>
    <definedName name="OSRRefP22_7x_0" localSheetId="80">'415'!$P$55</definedName>
    <definedName name="OSRRefP22_7x_0" localSheetId="81">'418'!$P$53:$P$54</definedName>
    <definedName name="OSRRefP22_7x_0" localSheetId="89">'433'!$P$57</definedName>
    <definedName name="OSRRefP22_7x_0" localSheetId="91">'444'!$P$56:$P$58</definedName>
    <definedName name="OSRRefP22_7x_0" localSheetId="92">'450'!$P$52:$P$54</definedName>
    <definedName name="OSRRefP22_7x_0" localSheetId="73">'491'!$P$57</definedName>
    <definedName name="OSRRefP22_7x_0" localSheetId="87">'492'!$P$57</definedName>
    <definedName name="OSRRefP22_7x_0" localSheetId="94">'501'!$P$53</definedName>
    <definedName name="OSRRefP22_7x_0" localSheetId="39">'Div 2'!$P$55</definedName>
    <definedName name="OSRRefP22_7x_0" localSheetId="47">'Div 3'!$P$124:$P$125</definedName>
    <definedName name="OSRRefP22_7x_0" localSheetId="71">'Div 4'!$P$63</definedName>
    <definedName name="OSRRefP22_7x_0" localSheetId="93">'Div 5'!$P$53</definedName>
    <definedName name="OSRRefP22_7x_0" localSheetId="61">'Div 6'!$P$77</definedName>
    <definedName name="OSRRefP22_7x_0" localSheetId="2">Summary!$P$149:$P$150</definedName>
    <definedName name="OSRRefP22_8x_0" localSheetId="41">'201'!$P$54</definedName>
    <definedName name="OSRRefP22_8x_0" localSheetId="42">'202'!$P$55</definedName>
    <definedName name="OSRRefP22_8x_0" localSheetId="43">'203'!$P$57</definedName>
    <definedName name="OSRRefP22_8x_0" localSheetId="44">'204'!$P$58</definedName>
    <definedName name="OSRRefP22_8x_0" localSheetId="46">'206'!$P$53:$P$54</definedName>
    <definedName name="OSRRefP22_8x_0" localSheetId="48">'300'!$P$126</definedName>
    <definedName name="OSRRefP22_8x_0" localSheetId="49">'300 &amp; 317'!$P$145</definedName>
    <definedName name="OSRRefP22_8x_0" localSheetId="50">'301'!$P$55</definedName>
    <definedName name="OSRRefP22_8x_0" localSheetId="52">'307'!$P$55</definedName>
    <definedName name="OSRRefP22_8x_0" localSheetId="53">'308'!$P$79</definedName>
    <definedName name="OSRRefP22_8x_0" localSheetId="64">'310'!$P$57</definedName>
    <definedName name="OSRRefP22_8x_0" localSheetId="72">'310 &amp; 491'!$P$60</definedName>
    <definedName name="OSRRefP22_8x_0" localSheetId="54">'311'!$P$78</definedName>
    <definedName name="OSRRefP22_8x_0" localSheetId="57">'315'!$P$100</definedName>
    <definedName name="OSRRefP22_8x_0" localSheetId="60">'316'!$P$60</definedName>
    <definedName name="OSRRefP22_8x_0" localSheetId="62">'317'!$P$79</definedName>
    <definedName name="OSRRefP22_8x_0" localSheetId="68">'322'!$P$53</definedName>
    <definedName name="OSRRefP22_8x_0" localSheetId="69">'325'!$P$53</definedName>
    <definedName name="OSRRefP22_8x_0" localSheetId="58">'326'!$P$71:$P$72</definedName>
    <definedName name="OSRRefP22_8x_0" localSheetId="51">'330'!$P$55</definedName>
    <definedName name="OSRRefP22_8x_0" localSheetId="56">'331'!$P$99:$P$100</definedName>
    <definedName name="OSRRefP22_8x_0" localSheetId="59">'332'!$P$60</definedName>
    <definedName name="OSRRefP22_8x_0" localSheetId="74">'405'!$P$56:$P$57</definedName>
    <definedName name="OSRRefP22_8x_0" localSheetId="76">'411'!$P$58:$P$64</definedName>
    <definedName name="OSRRefP22_8x_0" localSheetId="77">'412'!$P$55</definedName>
    <definedName name="OSRRefP22_8x_0" localSheetId="78">'413'!$P$56:$P$57</definedName>
    <definedName name="OSRRefP22_8x_0" localSheetId="79">'414'!$P$57</definedName>
    <definedName name="OSRRefP22_8x_0" localSheetId="80">'415'!$P$57</definedName>
    <definedName name="OSRRefP22_8x_0" localSheetId="81">'418'!$P$56:$P$63</definedName>
    <definedName name="OSRRefP22_8x_0" localSheetId="89">'433'!$P$59</definedName>
    <definedName name="OSRRefP22_8x_0" localSheetId="91">'444'!$P$60:$P$61</definedName>
    <definedName name="OSRRefP22_8x_0" localSheetId="92">'450'!$P$56</definedName>
    <definedName name="OSRRefP22_8x_0" localSheetId="73">'491'!$P$59</definedName>
    <definedName name="OSRRefP22_8x_0" localSheetId="87">'492'!$P$59</definedName>
    <definedName name="OSRRefP22_8x_0" localSheetId="94">'501'!$P$55</definedName>
    <definedName name="OSRRefP22_8x_0" localSheetId="39">'Div 2'!$P$57</definedName>
    <definedName name="OSRRefP22_8x_0" localSheetId="47">'Div 3'!$P$127</definedName>
    <definedName name="OSRRefP22_8x_0" localSheetId="71">'Div 4'!$P$65</definedName>
    <definedName name="OSRRefP22_8x_0" localSheetId="93">'Div 5'!$P$55</definedName>
    <definedName name="OSRRefP22_8x_0" localSheetId="61">'Div 6'!$P$79</definedName>
    <definedName name="OSRRefP22_8x_0" localSheetId="2">Summary!$P$152</definedName>
    <definedName name="OSRRefP22_9x_0" localSheetId="41">'201'!$P$56</definedName>
    <definedName name="OSRRefP22_9x_0" localSheetId="42">'202'!$P$57:$P$59</definedName>
    <definedName name="OSRRefP22_9x_0" localSheetId="43">'203'!$P$59</definedName>
    <definedName name="OSRRefP22_9x_0" localSheetId="44">'204'!$P$60:$P$61</definedName>
    <definedName name="OSRRefP22_9x_0" localSheetId="46">'206'!$P$56</definedName>
    <definedName name="OSRRefP22_9x_0" localSheetId="48">'300'!$P$128</definedName>
    <definedName name="OSRRefP22_9x_0" localSheetId="49">'300 &amp; 317'!$P$147</definedName>
    <definedName name="OSRRefP22_9x_0" localSheetId="50">'301'!$P$57</definedName>
    <definedName name="OSRRefP22_9x_0" localSheetId="52">'307'!$P$57:$P$58</definedName>
    <definedName name="OSRRefP22_9x_0" localSheetId="53">'308'!$P$81:$P$82</definedName>
    <definedName name="OSRRefP22_9x_0" localSheetId="64">'310'!$P$59</definedName>
    <definedName name="OSRRefP22_9x_0" localSheetId="72">'310 &amp; 491'!$P$62</definedName>
    <definedName name="OSRRefP22_9x_0" localSheetId="54">'311'!$P$80:$P$81</definedName>
    <definedName name="OSRRefP22_9x_0" localSheetId="57">'315'!$P$102</definedName>
    <definedName name="OSRRefP22_9x_0" localSheetId="60">'316'!$P$62:$P$65</definedName>
    <definedName name="OSRRefP22_9x_0" localSheetId="62">'317'!$P$81</definedName>
    <definedName name="OSRRefP22_9x_0" localSheetId="68">'322'!$P$55:$P$56</definedName>
    <definedName name="OSRRefP22_9x_0" localSheetId="69">'325'!$P$55:$P$57</definedName>
    <definedName name="OSRRefP22_9x_0" localSheetId="58">'326'!$P$74</definedName>
    <definedName name="OSRRefP22_9x_0" localSheetId="51">'330'!$P$57:$P$58</definedName>
    <definedName name="OSRRefP22_9x_0" localSheetId="56">'331'!$P$102:$P$103</definedName>
    <definedName name="OSRRefP22_9x_0" localSheetId="59">'332'!$P$62:$P$65</definedName>
    <definedName name="OSRRefP22_9x_0" localSheetId="74">'405'!$P$59:$P$62</definedName>
    <definedName name="OSRRefP22_9x_0" localSheetId="76">'411'!$P$66</definedName>
    <definedName name="OSRRefP22_9x_0" localSheetId="77">'412'!$P$57</definedName>
    <definedName name="OSRRefP22_9x_0" localSheetId="79">'414'!$P$59:$P$61</definedName>
    <definedName name="OSRRefP22_9x_0" localSheetId="80">'415'!$P$59</definedName>
    <definedName name="OSRRefP22_9x_0" localSheetId="81">'418'!$P$65:$P$66</definedName>
    <definedName name="OSRRefP22_9x_0" localSheetId="89">'433'!$P$61</definedName>
    <definedName name="OSRRefP22_9x_0" localSheetId="92">'450'!$P$58:$P$59</definedName>
    <definedName name="OSRRefP22_9x_0" localSheetId="73">'491'!$P$61</definedName>
    <definedName name="OSRRefP22_9x_0" localSheetId="87">'492'!$P$61</definedName>
    <definedName name="OSRRefP22_9x_0" localSheetId="94">'501'!$P$57</definedName>
    <definedName name="OSRRefP22_9x_0" localSheetId="39">'Div 2'!$P$59</definedName>
    <definedName name="OSRRefP22_9x_0" localSheetId="47">'Div 3'!$P$129</definedName>
    <definedName name="OSRRefP22_9x_0" localSheetId="71">'Div 4'!$P$67</definedName>
    <definedName name="OSRRefP22_9x_0" localSheetId="93">'Div 5'!$P$57</definedName>
    <definedName name="OSRRefP22_9x_0" localSheetId="61">'Div 6'!$P$81</definedName>
    <definedName name="OSRRefP22_9x_0" localSheetId="2">Summary!$P$154</definedName>
    <definedName name="OSRRefP22x_0" localSheetId="40">'200'!$P$20,'200'!$P$22,'200'!$P$24,'200'!$P$26:$P$27</definedName>
    <definedName name="OSRRefP22x_0" localSheetId="41">'201'!$P$21:$P$29,'201'!$P$31:$P$40,'201'!$P$42,'201'!$P$44,'201'!$P$46,'201'!$P$48,'201'!$P$50,'201'!$P$52,'201'!$P$54,'201'!$P$56,'201'!$P$58,'201'!$P$60:$P$62,'201'!$P$64</definedName>
    <definedName name="OSRRefP22x_0" localSheetId="42">'202'!$P$21:$P$29,'202'!$P$31:$P$40,'202'!$P$42,'202'!$P$44,'202'!$P$46,'202'!$P$48,'202'!$P$50,'202'!$P$52:$P$53,'202'!$P$55,'202'!$P$57:$P$59,'202'!$P$61,'202'!$P$63,'202'!$P$65</definedName>
    <definedName name="OSRRefP22x_0" localSheetId="43">'203'!$P$20:$P$29,'203'!$P$31:$P$40,'203'!$P$42,'203'!$P$44,'203'!$P$46,'203'!$P$48,'203'!$P$50:$P$51,'203'!$P$53:$P$55,'203'!$P$57,'203'!$P$59,'203'!$P$61:$P$63,'203'!$P$65,'203'!$P$67</definedName>
    <definedName name="OSRRefP22x_0" localSheetId="44">'204'!$P$20:$P$29,'204'!$P$31:$P$40,'204'!$P$42,'204'!$P$44:$P$45,'204'!$P$47,'204'!$P$49,'204'!$P$51:$P$53,'204'!$P$55:$P$56,'204'!$P$58,'204'!$P$60:$P$61,'204'!$P$63</definedName>
    <definedName name="OSRRefP22x_0" localSheetId="45">'205'!$P$20:$P$28,'205'!$P$30:$P$39,'205'!$P$41,'205'!$P$43:$P$44,'205'!$P$46,'205'!$P$48,'205'!$P$50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$89:$P$98,'300'!$P$100:$P$109,'300'!$P$111,'300'!$P$113:$P$114,'300'!$P$116,'300'!$P$118:$P$119,'300'!$P$121,'300'!$P$123:$P$124,'300'!$P$126,'300'!$P$128,'300'!$P$130:$P$131,'300'!$P$133:$P$134,'300'!$P$136,'300'!$P$138,'300'!$P$140,'300'!$P$142,'300'!$P$144:$P$146,'300'!$P$148:$P$151,'300'!$P$153:$P$156,'300'!$P$158:$P$159,'300'!$P$161:$P$169,'300'!$P$171:$P$172,'300'!$P$174,'300'!$P$176:$P$178,'300'!$P$180</definedName>
    <definedName name="OSRRefP22x_0" localSheetId="49">'300 &amp; 317'!$P$108:$P$117,'300 &amp; 317'!$P$119:$P$128,'300 &amp; 317'!$P$130,'300 &amp; 317'!$P$132:$P$133,'300 &amp; 317'!$P$135,'300 &amp; 317'!$P$137:$P$138,'300 &amp; 317'!$P$140,'300 &amp; 317'!$P$142:$P$143,'300 &amp; 317'!$P$145,'300 &amp; 317'!$P$147,'300 &amp; 317'!$P$149:$P$150,'300 &amp; 317'!$P$152:$P$153,'300 &amp; 317'!$P$155,'300 &amp; 317'!$P$157,'300 &amp; 317'!$P$159,'300 &amp; 317'!$P$161,'300 &amp; 317'!$P$163:$P$165,'300 &amp; 317'!$P$167:$P$170,'300 &amp; 317'!$P$172:$P$175,'300 &amp; 317'!$P$177:$P$178,'300 &amp; 317'!$P$180:$P$188,'300 &amp; 317'!$P$190:$P$191,'300 &amp; 317'!$P$193,'300 &amp; 317'!$P$195:$P$197,'300 &amp; 317'!$P$199</definedName>
    <definedName name="OSRRefP22x_0" localSheetId="50">'301'!$P$20:$P$28,'301'!$P$30:$P$39,'301'!$P$41:$P$42,'301'!$P$44,'301'!$P$46:$P$47,'301'!$P$49,'301'!$P$51,'301'!$P$53,'301'!$P$55,'301'!$P$57,'301'!$P$59,'301'!$P$61,'301'!$P$63,'301'!$P$65:$P$67,'301'!$P$69:$P$71,'301'!$P$73,'301'!$P$75:$P$80,'301'!$P$82,'301'!$P$84,'301'!$P$86,'301'!$P$88</definedName>
    <definedName name="OSRRefP22x_0" localSheetId="52">'307'!$P$22:$P$29,'307'!$P$31:$P$40,'307'!$P$42,'307'!$P$44,'307'!$P$46,'307'!$P$48,'307'!$P$50,'307'!$P$52:$P$53,'307'!$P$55,'307'!$P$57:$P$58</definedName>
    <definedName name="OSRRefP22x_0" localSheetId="53">'308'!$P$45:$P$54,'308'!$P$56:$P$65,'308'!$P$67,'308'!$P$69,'308'!$P$71,'308'!$P$73,'308'!$P$75,'308'!$P$77,'308'!$P$79,'308'!$P$81:$P$82,'308'!$P$84,'308'!$P$86:$P$88,'308'!$P$90:$P$91,'308'!$P$93</definedName>
    <definedName name="OSRRefP22x_0" localSheetId="65">'309'!$P$20:$P$27,'309'!$P$29:$P$38,'309'!$P$40,'309'!$P$42,'309'!$P$44,'309'!$P$46,'309'!$P$48</definedName>
    <definedName name="OSRRefP22x_0" localSheetId="64">'310'!$P$23:$P$31,'310'!$P$33:$P$42,'310'!$P$44,'310'!$P$46,'310'!$P$48,'310'!$P$50:$P$51,'310'!$P$53,'310'!$P$55,'310'!$P$57,'310'!$P$59,'310'!$P$61,'310'!$P$63:$P$66,'310'!$P$68,'310'!$P$70:$P$72,'310'!$P$74:$P$75,'310'!$P$77</definedName>
    <definedName name="OSRRefP22x_0" localSheetId="72">'310 &amp; 491'!$P$25:$P$33,'310 &amp; 491'!$P$35:$P$44,'310 &amp; 491'!$P$46,'310 &amp; 491'!$P$48,'310 &amp; 491'!$P$50,'310 &amp; 491'!$P$52:$P$54,'310 &amp; 491'!$P$56,'310 &amp; 491'!$P$58,'310 &amp; 491'!$P$60,'310 &amp; 491'!$P$62,'310 &amp; 491'!$P$64,'310 &amp; 491'!$P$66,'310 &amp; 491'!$P$68:$P$69,'310 &amp; 491'!$P$71:$P$72,'310 &amp; 491'!$P$74:$P$78,'310 &amp; 491'!$P$80,'310 &amp; 491'!$P$82:$P$92,'310 &amp; 491'!$P$94:$P$95,'310 &amp; 491'!$P$97,'310 &amp; 491'!$P$99:$P$100,'310 &amp; 491'!$P$102</definedName>
    <definedName name="OSRRefP22x_0" localSheetId="54">'311'!$P$44:$P$53,'311'!$P$55:$P$64,'311'!$P$66,'311'!$P$68,'311'!$P$70,'311'!$P$72,'311'!$P$74,'311'!$P$76,'311'!$P$78,'311'!$P$80:$P$81,'311'!$P$83,'311'!$P$85:$P$87,'311'!$P$89:$P$90,'311'!$P$92</definedName>
    <definedName name="OSRRefP22x_0" localSheetId="66">'313'!$P$22:$P$30,'313'!$P$32:$P$41,'313'!$P$43,'313'!$P$45,'313'!$P$47,'313'!$P$49,'313'!$P$51:$P$53,'313'!$P$55:$P$56</definedName>
    <definedName name="OSRRefP22x_0" localSheetId="57">'315'!$P$66:$P$74,'315'!$P$76:$P$85,'315'!$P$87,'315'!$P$89,'315'!$P$91,'315'!$P$93,'315'!$P$95,'315'!$P$97:$P$98,'315'!$P$100,'315'!$P$102,'315'!$P$104,'315'!$P$106,'315'!$P$108:$P$110,'315'!$P$112,'315'!$P$114:$P$120,'315'!$P$122,'315'!$P$124:$P$125</definedName>
    <definedName name="OSRRefP22x_0" localSheetId="60">'316'!$P$26:$P$34,'316'!$P$36:$P$45,'316'!$P$47,'316'!$P$49,'316'!$P$51,'316'!$P$53,'316'!$P$55:$P$56,'316'!$P$58,'316'!$P$60,'316'!$P$62:$P$65,'316'!$P$67</definedName>
    <definedName name="OSRRefP22x_0" localSheetId="62">'317'!$P$44:$P$53,'317'!$P$55:$P$64,'317'!$P$66,'317'!$P$68,'317'!$P$70,'317'!$P$72,'317'!$P$74:$P$75,'317'!$P$77,'317'!$P$79,'317'!$P$81,'317'!$P$83:$P$85,'317'!$P$87</definedName>
    <definedName name="OSRRefP22x_0" localSheetId="67">'321'!$P$20:$P$27,'321'!$P$29:$P$38,'321'!$P$40,'321'!$P$42,'321'!$P$44,'321'!$P$46,'321'!$P$48:$P$49,'321'!$P$51</definedName>
    <definedName name="OSRRefP22x_0" localSheetId="68">'322'!$P$21:$P$28,'322'!$P$30:$P$39,'322'!$P$41,'322'!$P$43,'322'!$P$45,'322'!$P$47,'322'!$P$49,'322'!$P$51,'322'!$P$53,'322'!$P$55:$P$56,'322'!$P$58,'322'!$P$60</definedName>
    <definedName name="OSRRefP22x_0" localSheetId="55">'324'!$P$27:$P$34,'324'!$P$36:$P$45</definedName>
    <definedName name="OSRRefP22x_0" localSheetId="69">'325'!$P$20:$P$27,'325'!$P$29:$P$38,'325'!$P$40,'325'!$P$42,'325'!$P$44:$P$45,'325'!$P$47,'325'!$P$49,'325'!$P$51,'325'!$P$53,'325'!$P$55:$P$57,'325'!$P$59,'325'!$P$61:$P$62,'325'!$P$64:$P$65,'325'!$P$67</definedName>
    <definedName name="OSRRefP22x_0" localSheetId="58">'326'!$P$38:$P$46,'326'!$P$48:$P$57,'326'!$P$59,'326'!$P$61,'326'!$P$63,'326'!$P$65,'326'!$P$67,'326'!$P$69,'326'!$P$71:$P$72,'326'!$P$74,'326'!$P$76,'326'!$P$78,'326'!$P$80,'326'!$P$82,'326'!$P$84:$P$86,'326'!$P$88:$P$89,'326'!$P$91:$P$96,'326'!$P$98:$P$99,'326'!$P$101,'326'!$P$103:$P$104,'326'!$P$106</definedName>
    <definedName name="OSRRefP22x_0" localSheetId="70">'327'!$P$22</definedName>
    <definedName name="OSRRefP22x_0" localSheetId="51">'330'!$P$22:$P$29,'330'!$P$31:$P$40,'330'!$P$42,'330'!$P$44,'330'!$P$46,'330'!$P$48,'330'!$P$50,'330'!$P$52:$P$53,'330'!$P$55,'330'!$P$57:$P$58</definedName>
    <definedName name="OSRRefP22x_0" localSheetId="56">'331'!$P$66:$P$74,'331'!$P$76:$P$85,'331'!$P$87,'331'!$P$89,'331'!$P$91,'331'!$P$93,'331'!$P$95,'331'!$P$97,'331'!$P$99:$P$100,'331'!$P$102:$P$103,'331'!$P$105,'331'!$P$107,'331'!$P$109,'331'!$P$111,'331'!$P$113,'331'!$P$115:$P$117,'331'!$P$119:$P$121,'331'!$P$123:$P$124,'331'!$P$126:$P$133,'331'!$P$135:$P$136,'331'!$P$138,'331'!$P$140:$P$141,'331'!$P$143</definedName>
    <definedName name="OSRRefP22x_0" localSheetId="59">'332'!$P$26:$P$34,'332'!$P$36:$P$45,'332'!$P$47,'332'!$P$49,'332'!$P$51,'332'!$P$53,'332'!$P$55:$P$56,'332'!$P$58,'332'!$P$60,'332'!$P$62:$P$65,'332'!$P$67</definedName>
    <definedName name="OSRRefP22x_0" localSheetId="74">'405'!$P$23:$P$30,'405'!$P$32:$P$41,'405'!$P$43,'405'!$P$45,'405'!$P$47:$P$48,'405'!$P$50,'405'!$P$52,'405'!$P$54,'405'!$P$56:$P$57,'405'!$P$59:$P$62,'405'!$P$64,'405'!$P$66:$P$74,'405'!$P$76,'405'!$P$78,'405'!$P$80</definedName>
    <definedName name="OSRRefP22x_0" localSheetId="75">'406'!$P$20,'406'!$P$22,'406'!$P$24,'406'!$P$26</definedName>
    <definedName name="OSRRefP22x_0" localSheetId="76">'411'!$P$20:$P$28,'411'!$P$30:$P$39,'411'!$P$41,'411'!$P$43:$P$44,'411'!$P$46,'411'!$P$48,'411'!$P$50:$P$51,'411'!$P$53:$P$56,'411'!$P$58:$P$64,'411'!$P$66,'411'!$P$68,'411'!$P$70</definedName>
    <definedName name="OSRRefP22x_0" localSheetId="77">'412'!$P$22:$P$29,'412'!$P$31:$P$40,'412'!$P$42,'412'!$P$44,'412'!$P$46:$P$47,'412'!$P$49,'412'!$P$51,'412'!$P$53,'412'!$P$55,'412'!$P$57,'412'!$P$59:$P$62,'412'!$P$64:$P$65,'412'!$P$67:$P$68,'412'!$P$70</definedName>
    <definedName name="OSRRefP22x_0" localSheetId="78">'413'!$P$21:$P$29,'413'!$P$31:$P$40,'413'!$P$42,'413'!$P$44,'413'!$P$46,'413'!$P$48:$P$49,'413'!$P$51,'413'!$P$53:$P$54,'413'!$P$56:$P$57</definedName>
    <definedName name="OSRRefP22x_0" localSheetId="79">'414'!$P$24:$P$32,'414'!$P$34:$P$43,'414'!$P$45,'414'!$P$47,'414'!$P$49,'414'!$P$51,'414'!$P$53,'414'!$P$55,'414'!$P$57,'414'!$P$59:$P$61,'414'!$P$63,'414'!$P$65,'414'!$P$67</definedName>
    <definedName name="OSRRefP22x_0" localSheetId="80">'415'!$P$23:$P$31,'415'!$P$33:$P$42,'415'!$P$44,'415'!$P$46,'415'!$P$48,'415'!$P$50:$P$51,'415'!$P$53,'415'!$P$55,'415'!$P$57,'415'!$P$59,'415'!$P$61:$P$62,'415'!$P$64:$P$67,'415'!$P$69,'415'!$P$71:$P$75,'415'!$P$77:$P$78,'415'!$P$80</definedName>
    <definedName name="OSRRefP22x_0" localSheetId="81">'418'!$P$22:$P$29,'418'!$P$31:$P$40,'418'!$P$42,'418'!$P$44:$P$45,'418'!$P$47,'418'!$P$49,'418'!$P$51,'418'!$P$53:$P$54,'418'!$P$56:$P$63,'418'!$P$65:$P$66,'418'!$P$68</definedName>
    <definedName name="OSRRefP22x_0" localSheetId="83">'423'!$P$20:$P$27,'423'!$P$29:$P$38,'423'!$P$40,'423'!$P$42:$P$43,'423'!$P$45,'423'!$P$47,'423'!$P$49</definedName>
    <definedName name="OSRRefP22x_0" localSheetId="84">'424'!$P$20,'424'!$P$22,'424'!$P$24</definedName>
    <definedName name="OSRRefP22x_0" localSheetId="85">'425'!$P$20:$P$24,'425'!$P$26,'425'!$P$28,'425'!$P$30</definedName>
    <definedName name="OSRRefP22x_0" localSheetId="88">'430'!$P$20:$P$28,'430'!$P$30:$P$39,'430'!$P$41:$P$43,'430'!$P$45:$P$46,'430'!$P$48,'430'!$P$50</definedName>
    <definedName name="OSRRefP22x_0" localSheetId="89">'433'!$P$25:$P$34,'433'!$P$36:$P$45,'433'!$P$47,'433'!$P$49,'433'!$P$51,'433'!$P$53,'433'!$P$55,'433'!$P$57,'433'!$P$59,'433'!$P$61,'433'!$P$63:$P$66,'433'!$P$68:$P$75,'433'!$P$77</definedName>
    <definedName name="OSRRefP22x_0" localSheetId="90">'435'!$P$20</definedName>
    <definedName name="OSRRefP22x_0" localSheetId="91">'444'!$P$20:$P$29,'444'!$P$31:$P$40,'444'!$P$42,'444'!$P$44,'444'!$P$46,'444'!$P$48:$P$50,'444'!$P$52:$P$54,'444'!$P$56:$P$58,'444'!$P$60:$P$61</definedName>
    <definedName name="OSRRefP22x_0" localSheetId="92">'450'!$P$20:$P$29,'450'!$P$31:$P$40,'450'!$P$42,'450'!$P$44,'450'!$P$46,'450'!$P$48,'450'!$P$50,'450'!$P$52:$P$54,'450'!$P$56,'450'!$P$58:$P$59,'450'!$P$61</definedName>
    <definedName name="OSRRefP22x_0" localSheetId="73">'491'!$P$24:$P$32,'491'!$P$34:$P$43,'491'!$P$45,'491'!$P$47,'491'!$P$49,'491'!$P$51:$P$53,'491'!$P$55,'491'!$P$57,'491'!$P$59,'491'!$P$61,'491'!$P$63,'491'!$P$65,'491'!$P$67:$P$68,'491'!$P$70:$P$71,'491'!$P$73:$P$77,'491'!$P$79,'491'!$P$81:$P$91,'491'!$P$93:$P$94,'491'!$P$96,'491'!$P$98:$P$99,'491'!$P$101</definedName>
    <definedName name="OSRRefP22x_0" localSheetId="87">'492'!$P$25:$P$34,'492'!$P$36:$P$45,'492'!$P$47,'492'!$P$49,'492'!$P$51,'492'!$P$53,'492'!$P$55,'492'!$P$57,'492'!$P$59,'492'!$P$61,'492'!$P$63,'492'!$P$65:$P$67,'492'!$P$69:$P$72,'492'!$P$74:$P$82,'492'!$P$84:$P$85,'492'!$P$87,'492'!$P$89</definedName>
    <definedName name="OSRRefP22x_0" localSheetId="94">'501'!$P$21:$P$30,'501'!$P$32:$P$41,'501'!$P$43,'501'!$P$45,'501'!$P$47,'501'!$P$49,'501'!$P$51,'501'!$P$53,'501'!$P$55,'501'!$P$57,'501'!$P$59:$P$60,'501'!$P$62</definedName>
    <definedName name="OSRRefP22x_0" localSheetId="39">'Div 2'!$P$21:$P$31,'Div 2'!$P$33:$P$42,'Div 2'!$P$44,'Div 2'!$P$46,'Div 2'!$P$48,'Div 2'!$P$50:$P$51,'Div 2'!$P$53,'Div 2'!$P$55,'Div 2'!$P$57,'Div 2'!$P$59,'Div 2'!$P$61,'Div 2'!$P$63:$P$64,'Div 2'!$P$66:$P$69,'Div 2'!$P$71:$P$74,'Div 2'!$P$76:$P$77,'Div 2'!$P$79:$P$80,'Div 2'!$P$82:$P$86,'Div 2'!$P$88:$P$89,'Div 2'!$P$91,'Div 2'!$P$93:$P$94</definedName>
    <definedName name="OSRRefP22x_0" localSheetId="47">'Div 3'!$P$90:$P$99,'Div 3'!$P$101:$P$110,'Div 3'!$P$112,'Div 3'!$P$114:$P$115,'Div 3'!$P$117,'Div 3'!$P$119:$P$120,'Div 3'!$P$122,'Div 3'!$P$124:$P$125,'Div 3'!$P$127,'Div 3'!$P$129,'Div 3'!$P$131:$P$132,'Div 3'!$P$134:$P$135,'Div 3'!$P$137,'Div 3'!$P$139,'Div 3'!$P$141,'Div 3'!$P$143,'Div 3'!$P$145,'Div 3'!$P$147:$P$149,'Div 3'!$P$151:$P$154,'Div 3'!$P$156:$P$160,'Div 3'!$P$162:$P$163,'Div 3'!$P$165:$P$173,'Div 3'!$P$175:$P$176,'Div 3'!$P$178,'Div 3'!$P$180:$P$182,'Div 3'!$P$184</definedName>
    <definedName name="OSRRefP22x_0" localSheetId="71">'Div 4'!$P$29:$P$38,'Div 4'!$P$40:$P$49,'Div 4'!$P$51,'Div 4'!$P$53,'Div 4'!$P$55,'Div 4'!$P$57:$P$59,'Div 4'!$P$61,'Div 4'!$P$63,'Div 4'!$P$65,'Div 4'!$P$67,'Div 4'!$P$69,'Div 4'!$P$71,'Div 4'!$P$73,'Div 4'!$P$75:$P$77,'Div 4'!$P$79:$P$80,'Div 4'!$P$82:$P$86,'Div 4'!$P$88,'Div 4'!$P$90:$P$100,'Div 4'!$P$102:$P$103,'Div 4'!$P$105,'Div 4'!$P$107:$P$108,'Div 4'!$P$110</definedName>
    <definedName name="OSRRefP22x_0" localSheetId="93">'Div 5'!$P$21:$P$30,'Div 5'!$P$32:$P$41,'Div 5'!$P$43,'Div 5'!$P$45,'Div 5'!$P$47,'Div 5'!$P$49,'Div 5'!$P$51,'Div 5'!$P$53,'Div 5'!$P$55,'Div 5'!$P$57,'Div 5'!$P$59:$P$60,'Div 5'!$P$62</definedName>
    <definedName name="OSRRefP22x_0" localSheetId="61">'Div 6'!$P$44:$P$53,'Div 6'!$P$55:$P$64,'Div 6'!$P$66,'Div 6'!$P$68,'Div 6'!$P$70,'Div 6'!$P$72,'Div 6'!$P$74:$P$75,'Div 6'!$P$77,'Div 6'!$P$79,'Div 6'!$P$81,'Div 6'!$P$83:$P$85,'Div 6'!$P$87</definedName>
    <definedName name="OSRRefP22x_0" localSheetId="2">Summary!$P$114:$P$123,Summary!$P$125:$P$134,Summary!$P$136,Summary!$P$138:$P$139,Summary!$P$141,Summary!$P$143:$P$145,Summary!$P$147,Summary!$P$149:$P$150,Summary!$P$152,Summary!$P$154,Summary!$P$156:$P$157,Summary!$P$159:$P$160,Summary!$P$162,Summary!$P$164,Summary!$P$166,Summary!$P$168,Summary!$P$170,Summary!$P$172,Summary!$P$174:$P$177,Summary!$P$179:$P$182,Summary!$P$184:$P$188,Summary!$P$190:$P$191,Summary!$P$193:$P$203,Summary!$P$205:$P$206,Summary!$P$208,Summary!$P$210:$P$212,Summary!$P$214</definedName>
    <definedName name="OSRRefP25x_0" localSheetId="42">'202'!$P$68:$P$70</definedName>
    <definedName name="OSRRefP25x_0" localSheetId="44">'204'!$P$66</definedName>
    <definedName name="OSRRefP25x_0" localSheetId="48">'300'!$P$183:$P$186</definedName>
    <definedName name="OSRRefP25x_0" localSheetId="49">'300 &amp; 317'!$P$202:$P$206</definedName>
    <definedName name="OSRRefP25x_0" localSheetId="50">'301'!$P$91:$P$92</definedName>
    <definedName name="OSRRefP25x_0" localSheetId="53">'308'!$P$96:$P$98</definedName>
    <definedName name="OSRRefP25x_0" localSheetId="72">'310 &amp; 491'!$P$105:$P$107</definedName>
    <definedName name="OSRRefP25x_0" localSheetId="54">'311'!$P$95:$P$97</definedName>
    <definedName name="OSRRefP25x_0" localSheetId="57">'315'!$P$128:$P$130</definedName>
    <definedName name="OSRRefP25x_0" localSheetId="60">'316'!$P$70</definedName>
    <definedName name="OSRRefP25x_0" localSheetId="62">'317'!$P$90:$P$91</definedName>
    <definedName name="OSRRefP25x_0" localSheetId="56">'331'!$P$146:$P$148</definedName>
    <definedName name="OSRRefP25x_0" localSheetId="59">'332'!$P$70</definedName>
    <definedName name="OSRRefP25x_0" localSheetId="76">'411'!$P$73</definedName>
    <definedName name="OSRRefP25x_0" localSheetId="83">'423'!$P$52</definedName>
    <definedName name="OSRRefP25x_0" localSheetId="86">'455'!$P$21:$P$22</definedName>
    <definedName name="OSRRefP25x_0" localSheetId="73">'491'!$P$104:$P$106</definedName>
    <definedName name="OSRRefP25x_0" localSheetId="94">'501'!$P$65</definedName>
    <definedName name="OSRRefP25x_0" localSheetId="39">'Div 2'!$P$97:$P$99</definedName>
    <definedName name="OSRRefP25x_0" localSheetId="47">'Div 3'!$P$187:$P$190</definedName>
    <definedName name="OSRRefP25x_0" localSheetId="71">'Div 4'!$P$113:$P$115</definedName>
    <definedName name="OSRRefP25x_0" localSheetId="93">'Div 5'!$P$65</definedName>
    <definedName name="OSRRefP25x_0" localSheetId="61">'Div 6'!$P$90:$P$91</definedName>
    <definedName name="OSRRefP25x_0" localSheetId="2">Summary!$P$217:$P$223</definedName>
    <definedName name="OSRRefT13x_0" localSheetId="41">'201'!$T$13</definedName>
    <definedName name="OSRRefT13x_0" localSheetId="42">'202'!$T$13</definedName>
    <definedName name="OSRRefT13x_0" localSheetId="48">'300'!$T$13:$T$59</definedName>
    <definedName name="OSRRefT13x_0" localSheetId="49">'300 &amp; 317'!$T$13:$T$72</definedName>
    <definedName name="OSRRefT13x_0" localSheetId="52">'307'!$T$13</definedName>
    <definedName name="OSRRefT13x_0" localSheetId="53">'308'!$T$13:$T$26</definedName>
    <definedName name="OSRRefT13x_0" localSheetId="64">'310'!$T$13</definedName>
    <definedName name="OSRRefT13x_0" localSheetId="72">'310 &amp; 491'!$T$13:$T$15</definedName>
    <definedName name="OSRRefT13x_0" localSheetId="54">'311'!$T$13:$T$25</definedName>
    <definedName name="OSRRefT13x_0" localSheetId="66">'313'!$T$13</definedName>
    <definedName name="OSRRefT13x_0" localSheetId="57">'315'!$T$13:$T$45</definedName>
    <definedName name="OSRRefT13x_0" localSheetId="60">'316'!$T$13:$T$18</definedName>
    <definedName name="OSRRefT13x_0" localSheetId="62">'317'!$T$13:$T$27</definedName>
    <definedName name="OSRRefT13x_0" localSheetId="55">'324'!$T$13:$T$16</definedName>
    <definedName name="OSRRefT13x_0" localSheetId="58">'326'!$T$13:$T$28</definedName>
    <definedName name="OSRRefT13x_0" localSheetId="70">'327'!$T$13</definedName>
    <definedName name="OSRRefT13x_0" localSheetId="51">'330'!$T$13</definedName>
    <definedName name="OSRRefT13x_0" localSheetId="56">'331'!$T$13:$T$45</definedName>
    <definedName name="OSRRefT13x_0" localSheetId="59">'332'!$T$13:$T$18</definedName>
    <definedName name="OSRRefT13x_0" localSheetId="74">'405'!$T$13:$T$14</definedName>
    <definedName name="OSRRefT13x_0" localSheetId="77">'412'!$T$13</definedName>
    <definedName name="OSRRefT13x_0" localSheetId="79">'414'!$T$13:$T$15</definedName>
    <definedName name="OSRRefT13x_0" localSheetId="80">'415'!$T$13:$T$14</definedName>
    <definedName name="OSRRefT13x_0" localSheetId="81">'418'!$T$13</definedName>
    <definedName name="OSRRefT13x_0" localSheetId="89">'433'!$T$13:$T$15</definedName>
    <definedName name="OSRRefT13x_0" localSheetId="73">'491'!$T$13:$T$15</definedName>
    <definedName name="OSRRefT13x_0" localSheetId="87">'492'!$T$13:$T$15</definedName>
    <definedName name="OSRRefT13x_0" localSheetId="94">'501'!$T$13</definedName>
    <definedName name="OSRRefT13x_0" localSheetId="39">'Div 2'!$T$13</definedName>
    <definedName name="OSRRefT13x_0" localSheetId="47">'Div 3'!$T$13:$T$59</definedName>
    <definedName name="OSRRefT13x_0" localSheetId="71">'Div 4'!$T$13:$T$18</definedName>
    <definedName name="OSRRefT13x_0" localSheetId="93">'Div 5'!$T$13</definedName>
    <definedName name="OSRRefT13x_0" localSheetId="61">'Div 6'!$T$13:$T$27</definedName>
    <definedName name="OSRRefT13x_0" localSheetId="2">Summary!$T$13:$T$76</definedName>
    <definedName name="OSRRefT16x_0" localSheetId="48">'300'!$T$62:$T$83</definedName>
    <definedName name="OSRRefT16x_0" localSheetId="49">'300 &amp; 317'!$T$75:$T$102</definedName>
    <definedName name="OSRRefT16x_0" localSheetId="52">'307'!$T$16</definedName>
    <definedName name="OSRRefT16x_0" localSheetId="53">'308'!$T$29:$T$39</definedName>
    <definedName name="OSRRefT16x_0" localSheetId="64">'310'!$T$16:$T$17</definedName>
    <definedName name="OSRRefT16x_0" localSheetId="72">'310 &amp; 491'!$T$18:$T$19</definedName>
    <definedName name="OSRRefT16x_0" localSheetId="54">'311'!$T$28:$T$38</definedName>
    <definedName name="OSRRefT16x_0" localSheetId="66">'313'!$T$16</definedName>
    <definedName name="OSRRefT16x_0" localSheetId="57">'315'!$T$48:$T$60</definedName>
    <definedName name="OSRRefT16x_0" localSheetId="62">'317'!$T$30:$T$38</definedName>
    <definedName name="OSRRefT16x_0" localSheetId="68">'322'!$T$15</definedName>
    <definedName name="OSRRefT16x_0" localSheetId="55">'324'!$T$19:$T$21</definedName>
    <definedName name="OSRRefT16x_0" localSheetId="58">'326'!$T$31:$T$32</definedName>
    <definedName name="OSRRefT16x_0" localSheetId="70">'327'!$T$16</definedName>
    <definedName name="OSRRefT16x_0" localSheetId="51">'330'!$T$16</definedName>
    <definedName name="OSRRefT16x_0" localSheetId="56">'331'!$T$48:$T$60</definedName>
    <definedName name="OSRRefT16x_0" localSheetId="74">'405'!$T$17</definedName>
    <definedName name="OSRRefT16x_0" localSheetId="77">'412'!$T$16</definedName>
    <definedName name="OSRRefT16x_0" localSheetId="78">'413'!$T$15</definedName>
    <definedName name="OSRRefT16x_0" localSheetId="79">'414'!$T$18</definedName>
    <definedName name="OSRRefT16x_0" localSheetId="80">'415'!$T$17</definedName>
    <definedName name="OSRRefT16x_0" localSheetId="81">'418'!$T$16</definedName>
    <definedName name="OSRRefT16x_0" localSheetId="89">'433'!$T$18:$T$19</definedName>
    <definedName name="OSRRefT16x_0" localSheetId="73">'491'!$T$18</definedName>
    <definedName name="OSRRefT16x_0" localSheetId="87">'492'!$T$18:$T$19</definedName>
    <definedName name="OSRRefT16x_0" localSheetId="47">'Div 3'!$T$62:$T$84</definedName>
    <definedName name="OSRRefT16x_0" localSheetId="71">'Div 4'!$T$21:$T$23</definedName>
    <definedName name="OSRRefT16x_0" localSheetId="61">'Div 6'!$T$30:$T$38</definedName>
    <definedName name="OSRRefT16x_0" localSheetId="2">Summary!$T$79:$T$108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'300'!$T$89:$T$98</definedName>
    <definedName name="OSRRefT22_0x_0" localSheetId="49">'300 &amp; 317'!$T$108:$T$117</definedName>
    <definedName name="OSRRefT22_0x_0" localSheetId="50">'301'!$T$20:$T$28</definedName>
    <definedName name="OSRRefT22_0x_0" localSheetId="52">'307'!$T$22:$T$29</definedName>
    <definedName name="OSRRefT22_0x_0" localSheetId="53">'308'!$T$45:$T$54</definedName>
    <definedName name="OSRRefT22_0x_0" localSheetId="65">'309'!$T$20:$T$27</definedName>
    <definedName name="OSRRefT22_0x_0" localSheetId="64">'310'!$T$23:$T$31</definedName>
    <definedName name="OSRRefT22_0x_0" localSheetId="72">'310 &amp; 491'!$T$25:$T$33</definedName>
    <definedName name="OSRRefT22_0x_0" localSheetId="54">'311'!$T$44:$T$53</definedName>
    <definedName name="OSRRefT22_0x_0" localSheetId="66">'313'!$T$22:$T$30</definedName>
    <definedName name="OSRRefT22_0x_0" localSheetId="57">'315'!$T$66:$T$74</definedName>
    <definedName name="OSRRefT22_0x_0" localSheetId="60">'316'!$T$26:$T$34</definedName>
    <definedName name="OSRRefT22_0x_0" localSheetId="62">'317'!$T$44:$T$53</definedName>
    <definedName name="OSRRefT22_0x_0" localSheetId="67">'321'!$T$20:$T$27</definedName>
    <definedName name="OSRRefT22_0x_0" localSheetId="68">'322'!$T$21:$T$28</definedName>
    <definedName name="OSRRefT22_0x_0" localSheetId="55">'324'!$T$27:$T$34</definedName>
    <definedName name="OSRRefT22_0x_0" localSheetId="69">'325'!$T$20:$T$27</definedName>
    <definedName name="OSRRefT22_0x_0" localSheetId="58">'326'!$T$38:$T$46</definedName>
    <definedName name="OSRRefT22_0x_0" localSheetId="70">'327'!$T$22</definedName>
    <definedName name="OSRRefT22_0x_0" localSheetId="51">'330'!$T$22:$T$29</definedName>
    <definedName name="OSRRefT22_0x_0" localSheetId="56">'331'!$T$66:$T$74</definedName>
    <definedName name="OSRRefT22_0x_0" localSheetId="59">'332'!$T$26:$T$34</definedName>
    <definedName name="OSRRefT22_0x_0" localSheetId="74">'405'!$T$23:$T$30</definedName>
    <definedName name="OSRRefT22_0x_0" localSheetId="75">'406'!$T$20</definedName>
    <definedName name="OSRRefT22_0x_0" localSheetId="76">'411'!$T$20:$T$28</definedName>
    <definedName name="OSRRefT22_0x_0" localSheetId="77">'412'!$T$22:$T$29</definedName>
    <definedName name="OSRRefT22_0x_0" localSheetId="78">'413'!$T$21:$T$29</definedName>
    <definedName name="OSRRefT22_0x_0" localSheetId="79">'414'!$T$24:$T$32</definedName>
    <definedName name="OSRRefT22_0x_0" localSheetId="80">'415'!$T$23:$T$31</definedName>
    <definedName name="OSRRefT22_0x_0" localSheetId="81">'418'!$T$22:$T$29</definedName>
    <definedName name="OSRRefT22_0x_0" localSheetId="83">'423'!$T$20:$T$27</definedName>
    <definedName name="OSRRefT22_0x_0" localSheetId="84">'424'!$T$20</definedName>
    <definedName name="OSRRefT22_0x_0" localSheetId="85">'425'!$T$20:$T$24</definedName>
    <definedName name="OSRRefT22_0x_0" localSheetId="88">'430'!$T$20:$T$28</definedName>
    <definedName name="OSRRefT22_0x_0" localSheetId="89">'433'!$T$25:$T$34</definedName>
    <definedName name="OSRRefT22_0x_0" localSheetId="90">'435'!$T$20</definedName>
    <definedName name="OSRRefT22_0x_0" localSheetId="91">'444'!$T$20:$T$29</definedName>
    <definedName name="OSRRefT22_0x_0" localSheetId="92">'450'!$T$20:$T$29</definedName>
    <definedName name="OSRRefT22_0x_0" localSheetId="73">'491'!$T$24:$T$32</definedName>
    <definedName name="OSRRefT22_0x_0" localSheetId="87">'492'!$T$25:$T$34</definedName>
    <definedName name="OSRRefT22_0x_0" localSheetId="94">'501'!$T$21:$T$30</definedName>
    <definedName name="OSRRefT22_0x_0" localSheetId="39">'Div 2'!$T$21:$T$31</definedName>
    <definedName name="OSRRefT22_0x_0" localSheetId="47">'Div 3'!$T$90:$T$99</definedName>
    <definedName name="OSRRefT22_0x_0" localSheetId="71">'Div 4'!$T$29:$T$38</definedName>
    <definedName name="OSRRefT22_0x_0" localSheetId="93">'Div 5'!$T$21:$T$30</definedName>
    <definedName name="OSRRefT22_0x_0" localSheetId="61">'Div 6'!$T$44:$T$53</definedName>
    <definedName name="OSRRefT22_0x_0" localSheetId="2">Summary!$T$114:$T$123</definedName>
    <definedName name="OSRRefT22_10x_0" localSheetId="41">'201'!$T$58</definedName>
    <definedName name="OSRRefT22_10x_0" localSheetId="42">'202'!$T$61</definedName>
    <definedName name="OSRRefT22_10x_0" localSheetId="43">'203'!$T$61:$T$63</definedName>
    <definedName name="OSRRefT22_10x_0" localSheetId="44">'204'!$T$63</definedName>
    <definedName name="OSRRefT22_10x_0" localSheetId="48">'300'!$T$130:$T$131</definedName>
    <definedName name="OSRRefT22_10x_0" localSheetId="49">'300 &amp; 317'!$T$149:$T$150</definedName>
    <definedName name="OSRRefT22_10x_0" localSheetId="50">'301'!$T$59</definedName>
    <definedName name="OSRRefT22_10x_0" localSheetId="53">'308'!$T$84</definedName>
    <definedName name="OSRRefT22_10x_0" localSheetId="64">'310'!$T$61</definedName>
    <definedName name="OSRRefT22_10x_0" localSheetId="72">'310 &amp; 491'!$T$64</definedName>
    <definedName name="OSRRefT22_10x_0" localSheetId="54">'311'!$T$83</definedName>
    <definedName name="OSRRefT22_10x_0" localSheetId="57">'315'!$T$104</definedName>
    <definedName name="OSRRefT22_10x_0" localSheetId="60">'316'!$T$67</definedName>
    <definedName name="OSRRefT22_10x_0" localSheetId="62">'317'!$T$83:$T$85</definedName>
    <definedName name="OSRRefT22_10x_0" localSheetId="68">'322'!$T$58</definedName>
    <definedName name="OSRRefT22_10x_0" localSheetId="69">'325'!$T$59</definedName>
    <definedName name="OSRRefT22_10x_0" localSheetId="58">'326'!$T$76</definedName>
    <definedName name="OSRRefT22_10x_0" localSheetId="56">'331'!$T$105</definedName>
    <definedName name="OSRRefT22_10x_0" localSheetId="59">'332'!$T$67</definedName>
    <definedName name="OSRRefT22_10x_0" localSheetId="74">'405'!$T$64</definedName>
    <definedName name="OSRRefT22_10x_0" localSheetId="76">'411'!$T$68</definedName>
    <definedName name="OSRRefT22_10x_0" localSheetId="77">'412'!$T$59:$T$62</definedName>
    <definedName name="OSRRefT22_10x_0" localSheetId="79">'414'!$T$63</definedName>
    <definedName name="OSRRefT22_10x_0" localSheetId="80">'415'!$T$61:$T$62</definedName>
    <definedName name="OSRRefT22_10x_0" localSheetId="81">'418'!$T$68</definedName>
    <definedName name="OSRRefT22_10x_0" localSheetId="89">'433'!$T$63:$T$66</definedName>
    <definedName name="OSRRefT22_10x_0" localSheetId="92">'450'!$T$61</definedName>
    <definedName name="OSRRefT22_10x_0" localSheetId="73">'491'!$T$63</definedName>
    <definedName name="OSRRefT22_10x_0" localSheetId="87">'492'!$T$63</definedName>
    <definedName name="OSRRefT22_10x_0" localSheetId="94">'501'!$T$59:$T$60</definedName>
    <definedName name="OSRRefT22_10x_0" localSheetId="39">'Div 2'!$T$61</definedName>
    <definedName name="OSRRefT22_10x_0" localSheetId="47">'Div 3'!$T$131:$T$132</definedName>
    <definedName name="OSRRefT22_10x_0" localSheetId="71">'Div 4'!$T$69</definedName>
    <definedName name="OSRRefT22_10x_0" localSheetId="93">'Div 5'!$T$59:$T$60</definedName>
    <definedName name="OSRRefT22_10x_0" localSheetId="61">'Div 6'!$T$83:$T$85</definedName>
    <definedName name="OSRRefT22_10x_0" localSheetId="2">Summary!$T$156:$T$157</definedName>
    <definedName name="OSRRefT22_11x_0" localSheetId="41">'201'!$T$60:$T$62</definedName>
    <definedName name="OSRRefT22_11x_0" localSheetId="42">'202'!$T$63</definedName>
    <definedName name="OSRRefT22_11x_0" localSheetId="43">'203'!$T$65</definedName>
    <definedName name="OSRRefT22_11x_0" localSheetId="48">'300'!$T$133:$T$134</definedName>
    <definedName name="OSRRefT22_11x_0" localSheetId="49">'300 &amp; 317'!$T$152:$T$153</definedName>
    <definedName name="OSRRefT22_11x_0" localSheetId="50">'301'!$T$61</definedName>
    <definedName name="OSRRefT22_11x_0" localSheetId="53">'308'!$T$86:$T$88</definedName>
    <definedName name="OSRRefT22_11x_0" localSheetId="64">'310'!$T$63:$T$66</definedName>
    <definedName name="OSRRefT22_11x_0" localSheetId="72">'310 &amp; 491'!$T$66</definedName>
    <definedName name="OSRRefT22_11x_0" localSheetId="54">'311'!$T$85:$T$87</definedName>
    <definedName name="OSRRefT22_11x_0" localSheetId="57">'315'!$T$106</definedName>
    <definedName name="OSRRefT22_11x_0" localSheetId="62">'317'!$T$87</definedName>
    <definedName name="OSRRefT22_11x_0" localSheetId="68">'322'!$T$60</definedName>
    <definedName name="OSRRefT22_11x_0" localSheetId="69">'325'!$T$61:$T$62</definedName>
    <definedName name="OSRRefT22_11x_0" localSheetId="58">'326'!$T$78</definedName>
    <definedName name="OSRRefT22_11x_0" localSheetId="56">'331'!$T$107</definedName>
    <definedName name="OSRRefT22_11x_0" localSheetId="74">'405'!$T$66:$T$74</definedName>
    <definedName name="OSRRefT22_11x_0" localSheetId="76">'411'!$T$70</definedName>
    <definedName name="OSRRefT22_11x_0" localSheetId="77">'412'!$T$64:$T$65</definedName>
    <definedName name="OSRRefT22_11x_0" localSheetId="79">'414'!$T$65</definedName>
    <definedName name="OSRRefT22_11x_0" localSheetId="80">'415'!$T$64:$T$67</definedName>
    <definedName name="OSRRefT22_11x_0" localSheetId="89">'433'!$T$68:$T$75</definedName>
    <definedName name="OSRRefT22_11x_0" localSheetId="73">'491'!$T$65</definedName>
    <definedName name="OSRRefT22_11x_0" localSheetId="87">'492'!$T$65:$T$67</definedName>
    <definedName name="OSRRefT22_11x_0" localSheetId="94">'501'!$T$62</definedName>
    <definedName name="OSRRefT22_11x_0" localSheetId="39">'Div 2'!$T$63:$T$64</definedName>
    <definedName name="OSRRefT22_11x_0" localSheetId="47">'Div 3'!$T$134:$T$135</definedName>
    <definedName name="OSRRefT22_11x_0" localSheetId="71">'Div 4'!$T$71</definedName>
    <definedName name="OSRRefT22_11x_0" localSheetId="93">'Div 5'!$T$62</definedName>
    <definedName name="OSRRefT22_11x_0" localSheetId="61">'Div 6'!$T$87</definedName>
    <definedName name="OSRRefT22_11x_0" localSheetId="2">Summary!$T$159:$T$160</definedName>
    <definedName name="OSRRefT22_12x_0" localSheetId="41">'201'!$T$64</definedName>
    <definedName name="OSRRefT22_12x_0" localSheetId="42">'202'!$T$65</definedName>
    <definedName name="OSRRefT22_12x_0" localSheetId="43">'203'!$T$67</definedName>
    <definedName name="OSRRefT22_12x_0" localSheetId="48">'300'!$T$136</definedName>
    <definedName name="OSRRefT22_12x_0" localSheetId="49">'300 &amp; 317'!$T$155</definedName>
    <definedName name="OSRRefT22_12x_0" localSheetId="50">'301'!$T$63</definedName>
    <definedName name="OSRRefT22_12x_0" localSheetId="53">'308'!$T$90:$T$91</definedName>
    <definedName name="OSRRefT22_12x_0" localSheetId="64">'310'!$T$68</definedName>
    <definedName name="OSRRefT22_12x_0" localSheetId="72">'310 &amp; 491'!$T$68:$T$69</definedName>
    <definedName name="OSRRefT22_12x_0" localSheetId="54">'311'!$T$89:$T$90</definedName>
    <definedName name="OSRRefT22_12x_0" localSheetId="57">'315'!$T$108:$T$110</definedName>
    <definedName name="OSRRefT22_12x_0" localSheetId="69">'325'!$T$64:$T$65</definedName>
    <definedName name="OSRRefT22_12x_0" localSheetId="58">'326'!$T$80</definedName>
    <definedName name="OSRRefT22_12x_0" localSheetId="56">'331'!$T$109</definedName>
    <definedName name="OSRRefT22_12x_0" localSheetId="74">'405'!$T$76</definedName>
    <definedName name="OSRRefT22_12x_0" localSheetId="77">'412'!$T$67:$T$68</definedName>
    <definedName name="OSRRefT22_12x_0" localSheetId="79">'414'!$T$67</definedName>
    <definedName name="OSRRefT22_12x_0" localSheetId="80">'415'!$T$69</definedName>
    <definedName name="OSRRefT22_12x_0" localSheetId="89">'433'!$T$77</definedName>
    <definedName name="OSRRefT22_12x_0" localSheetId="73">'491'!$T$67:$T$68</definedName>
    <definedName name="OSRRefT22_12x_0" localSheetId="87">'492'!$T$69:$T$72</definedName>
    <definedName name="OSRRefT22_12x_0" localSheetId="39">'Div 2'!$T$66:$T$69</definedName>
    <definedName name="OSRRefT22_12x_0" localSheetId="47">'Div 3'!$T$137</definedName>
    <definedName name="OSRRefT22_12x_0" localSheetId="71">'Div 4'!$T$73</definedName>
    <definedName name="OSRRefT22_12x_0" localSheetId="2">Summary!$T$162</definedName>
    <definedName name="OSRRefT22_13x_0" localSheetId="48">'300'!$T$138</definedName>
    <definedName name="OSRRefT22_13x_0" localSheetId="49">'300 &amp; 317'!$T$157</definedName>
    <definedName name="OSRRefT22_13x_0" localSheetId="50">'301'!$T$65:$T$67</definedName>
    <definedName name="OSRRefT22_13x_0" localSheetId="53">'308'!$T$93</definedName>
    <definedName name="OSRRefT22_13x_0" localSheetId="64">'310'!$T$70:$T$72</definedName>
    <definedName name="OSRRefT22_13x_0" localSheetId="72">'310 &amp; 491'!$T$71:$T$72</definedName>
    <definedName name="OSRRefT22_13x_0" localSheetId="54">'311'!$T$92</definedName>
    <definedName name="OSRRefT22_13x_0" localSheetId="57">'315'!$T$112</definedName>
    <definedName name="OSRRefT22_13x_0" localSheetId="69">'325'!$T$67</definedName>
    <definedName name="OSRRefT22_13x_0" localSheetId="58">'326'!$T$82</definedName>
    <definedName name="OSRRefT22_13x_0" localSheetId="56">'331'!$T$111</definedName>
    <definedName name="OSRRefT22_13x_0" localSheetId="74">'405'!$T$78</definedName>
    <definedName name="OSRRefT22_13x_0" localSheetId="77">'412'!$T$70</definedName>
    <definedName name="OSRRefT22_13x_0" localSheetId="80">'415'!$T$71:$T$75</definedName>
    <definedName name="OSRRefT22_13x_0" localSheetId="73">'491'!$T$70:$T$71</definedName>
    <definedName name="OSRRefT22_13x_0" localSheetId="87">'492'!$T$74:$T$82</definedName>
    <definedName name="OSRRefT22_13x_0" localSheetId="39">'Div 2'!$T$71:$T$74</definedName>
    <definedName name="OSRRefT22_13x_0" localSheetId="47">'Div 3'!$T$139</definedName>
    <definedName name="OSRRefT22_13x_0" localSheetId="71">'Div 4'!$T$75:$T$77</definedName>
    <definedName name="OSRRefT22_13x_0" localSheetId="2">Summary!$T$164</definedName>
    <definedName name="OSRRefT22_14x_0" localSheetId="48">'300'!$T$140</definedName>
    <definedName name="OSRRefT22_14x_0" localSheetId="49">'300 &amp; 317'!$T$159</definedName>
    <definedName name="OSRRefT22_14x_0" localSheetId="50">'301'!$T$69:$T$71</definedName>
    <definedName name="OSRRefT22_14x_0" localSheetId="64">'310'!$T$74:$T$75</definedName>
    <definedName name="OSRRefT22_14x_0" localSheetId="72">'310 &amp; 491'!$T$74:$T$78</definedName>
    <definedName name="OSRRefT22_14x_0" localSheetId="57">'315'!$T$114:$T$120</definedName>
    <definedName name="OSRRefT22_14x_0" localSheetId="58">'326'!$T$84:$T$86</definedName>
    <definedName name="OSRRefT22_14x_0" localSheetId="56">'331'!$T$113</definedName>
    <definedName name="OSRRefT22_14x_0" localSheetId="74">'405'!$T$80</definedName>
    <definedName name="OSRRefT22_14x_0" localSheetId="80">'415'!$T$77:$T$78</definedName>
    <definedName name="OSRRefT22_14x_0" localSheetId="73">'491'!$T$73:$T$77</definedName>
    <definedName name="OSRRefT22_14x_0" localSheetId="87">'492'!$T$84:$T$85</definedName>
    <definedName name="OSRRefT22_14x_0" localSheetId="39">'Div 2'!$T$76:$T$77</definedName>
    <definedName name="OSRRefT22_14x_0" localSheetId="47">'Div 3'!$T$141</definedName>
    <definedName name="OSRRefT22_14x_0" localSheetId="71">'Div 4'!$T$79:$T$80</definedName>
    <definedName name="OSRRefT22_14x_0" localSheetId="2">Summary!$T$166</definedName>
    <definedName name="OSRRefT22_15x_0" localSheetId="48">'300'!$T$142</definedName>
    <definedName name="OSRRefT22_15x_0" localSheetId="49">'300 &amp; 317'!$T$161</definedName>
    <definedName name="OSRRefT22_15x_0" localSheetId="50">'301'!$T$73</definedName>
    <definedName name="OSRRefT22_15x_0" localSheetId="64">'310'!$T$77</definedName>
    <definedName name="OSRRefT22_15x_0" localSheetId="72">'310 &amp; 491'!$T$80</definedName>
    <definedName name="OSRRefT22_15x_0" localSheetId="57">'315'!$T$122</definedName>
    <definedName name="OSRRefT22_15x_0" localSheetId="58">'326'!$T$88:$T$89</definedName>
    <definedName name="OSRRefT22_15x_0" localSheetId="56">'331'!$T$115:$T$117</definedName>
    <definedName name="OSRRefT22_15x_0" localSheetId="80">'415'!$T$80</definedName>
    <definedName name="OSRRefT22_15x_0" localSheetId="73">'491'!$T$79</definedName>
    <definedName name="OSRRefT22_15x_0" localSheetId="87">'492'!$T$87</definedName>
    <definedName name="OSRRefT22_15x_0" localSheetId="39">'Div 2'!$T$79:$T$80</definedName>
    <definedName name="OSRRefT22_15x_0" localSheetId="47">'Div 3'!$T$143</definedName>
    <definedName name="OSRRefT22_15x_0" localSheetId="71">'Div 4'!$T$82:$T$86</definedName>
    <definedName name="OSRRefT22_15x_0" localSheetId="2">Summary!$T$168</definedName>
    <definedName name="OSRRefT22_16x_0" localSheetId="48">'300'!$T$144:$T$146</definedName>
    <definedName name="OSRRefT22_16x_0" localSheetId="49">'300 &amp; 317'!$T$163:$T$165</definedName>
    <definedName name="OSRRefT22_16x_0" localSheetId="50">'301'!$T$75:$T$80</definedName>
    <definedName name="OSRRefT22_16x_0" localSheetId="72">'310 &amp; 491'!$T$82:$T$92</definedName>
    <definedName name="OSRRefT22_16x_0" localSheetId="57">'315'!$T$124:$T$125</definedName>
    <definedName name="OSRRefT22_16x_0" localSheetId="58">'326'!$T$91:$T$96</definedName>
    <definedName name="OSRRefT22_16x_0" localSheetId="56">'331'!$T$119:$T$121</definedName>
    <definedName name="OSRRefT22_16x_0" localSheetId="73">'491'!$T$81:$T$91</definedName>
    <definedName name="OSRRefT22_16x_0" localSheetId="87">'492'!$T$89</definedName>
    <definedName name="OSRRefT22_16x_0" localSheetId="39">'Div 2'!$T$82:$T$86</definedName>
    <definedName name="OSRRefT22_16x_0" localSheetId="47">'Div 3'!$T$145</definedName>
    <definedName name="OSRRefT22_16x_0" localSheetId="71">'Div 4'!$T$88</definedName>
    <definedName name="OSRRefT22_16x_0" localSheetId="2">Summary!$T$170</definedName>
    <definedName name="OSRRefT22_17x_0" localSheetId="48">'300'!$T$148:$T$151</definedName>
    <definedName name="OSRRefT22_17x_0" localSheetId="49">'300 &amp; 317'!$T$167:$T$170</definedName>
    <definedName name="OSRRefT22_17x_0" localSheetId="50">'301'!$T$82</definedName>
    <definedName name="OSRRefT22_17x_0" localSheetId="72">'310 &amp; 491'!$T$94:$T$95</definedName>
    <definedName name="OSRRefT22_17x_0" localSheetId="58">'326'!$T$98:$T$99</definedName>
    <definedName name="OSRRefT22_17x_0" localSheetId="56">'331'!$T$123:$T$124</definedName>
    <definedName name="OSRRefT22_17x_0" localSheetId="73">'491'!$T$93:$T$94</definedName>
    <definedName name="OSRRefT22_17x_0" localSheetId="39">'Div 2'!$T$88:$T$89</definedName>
    <definedName name="OSRRefT22_17x_0" localSheetId="47">'Div 3'!$T$147:$T$149</definedName>
    <definedName name="OSRRefT22_17x_0" localSheetId="71">'Div 4'!$T$90:$T$100</definedName>
    <definedName name="OSRRefT22_17x_0" localSheetId="2">Summary!$T$172</definedName>
    <definedName name="OSRRefT22_18x_0" localSheetId="48">'300'!$T$153:$T$156</definedName>
    <definedName name="OSRRefT22_18x_0" localSheetId="49">'300 &amp; 317'!$T$172:$T$175</definedName>
    <definedName name="OSRRefT22_18x_0" localSheetId="50">'301'!$T$84</definedName>
    <definedName name="OSRRefT22_18x_0" localSheetId="72">'310 &amp; 491'!$T$97</definedName>
    <definedName name="OSRRefT22_18x_0" localSheetId="58">'326'!$T$101</definedName>
    <definedName name="OSRRefT22_18x_0" localSheetId="56">'331'!$T$126:$T$133</definedName>
    <definedName name="OSRRefT22_18x_0" localSheetId="73">'491'!$T$96</definedName>
    <definedName name="OSRRefT22_18x_0" localSheetId="39">'Div 2'!$T$91</definedName>
    <definedName name="OSRRefT22_18x_0" localSheetId="47">'Div 3'!$T$151:$T$154</definedName>
    <definedName name="OSRRefT22_18x_0" localSheetId="71">'Div 4'!$T$102:$T$103</definedName>
    <definedName name="OSRRefT22_18x_0" localSheetId="2">Summary!$T$174:$T$177</definedName>
    <definedName name="OSRRefT22_19x_0" localSheetId="48">'300'!$T$158:$T$159</definedName>
    <definedName name="OSRRefT22_19x_0" localSheetId="49">'300 &amp; 317'!$T$177:$T$178</definedName>
    <definedName name="OSRRefT22_19x_0" localSheetId="50">'301'!$T$86</definedName>
    <definedName name="OSRRefT22_19x_0" localSheetId="72">'310 &amp; 491'!$T$99:$T$100</definedName>
    <definedName name="OSRRefT22_19x_0" localSheetId="58">'326'!$T$103:$T$104</definedName>
    <definedName name="OSRRefT22_19x_0" localSheetId="56">'331'!$T$135:$T$136</definedName>
    <definedName name="OSRRefT22_19x_0" localSheetId="73">'491'!$T$98:$T$99</definedName>
    <definedName name="OSRRefT22_19x_0" localSheetId="39">'Div 2'!$T$93:$T$94</definedName>
    <definedName name="OSRRefT22_19x_0" localSheetId="47">'Div 3'!$T$156:$T$160</definedName>
    <definedName name="OSRRefT22_19x_0" localSheetId="71">'Div 4'!$T$105</definedName>
    <definedName name="OSRRefT22_19x_0" localSheetId="2">Summary!$T$179:$T$182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'300'!$T$100:$T$109</definedName>
    <definedName name="OSRRefT22_1x_0" localSheetId="49">'300 &amp; 317'!$T$119:$T$128</definedName>
    <definedName name="OSRRefT22_1x_0" localSheetId="50">'301'!$T$30:$T$39</definedName>
    <definedName name="OSRRefT22_1x_0" localSheetId="52">'307'!$T$31:$T$40</definedName>
    <definedName name="OSRRefT22_1x_0" localSheetId="53">'308'!$T$56:$T$65</definedName>
    <definedName name="OSRRefT22_1x_0" localSheetId="65">'309'!$T$29:$T$38</definedName>
    <definedName name="OSRRefT22_1x_0" localSheetId="64">'310'!$T$33:$T$42</definedName>
    <definedName name="OSRRefT22_1x_0" localSheetId="72">'310 &amp; 491'!$T$35:$T$44</definedName>
    <definedName name="OSRRefT22_1x_0" localSheetId="54">'311'!$T$55:$T$64</definedName>
    <definedName name="OSRRefT22_1x_0" localSheetId="66">'313'!$T$32:$T$41</definedName>
    <definedName name="OSRRefT22_1x_0" localSheetId="57">'315'!$T$76:$T$85</definedName>
    <definedName name="OSRRefT22_1x_0" localSheetId="60">'316'!$T$36:$T$45</definedName>
    <definedName name="OSRRefT22_1x_0" localSheetId="62">'317'!$T$55:$T$64</definedName>
    <definedName name="OSRRefT22_1x_0" localSheetId="67">'321'!$T$29:$T$38</definedName>
    <definedName name="OSRRefT22_1x_0" localSheetId="68">'322'!$T$30:$T$39</definedName>
    <definedName name="OSRRefT22_1x_0" localSheetId="55">'324'!$T$36:$T$45</definedName>
    <definedName name="OSRRefT22_1x_0" localSheetId="69">'325'!$T$29:$T$38</definedName>
    <definedName name="OSRRefT22_1x_0" localSheetId="58">'326'!$T$48:$T$57</definedName>
    <definedName name="OSRRefT22_1x_0" localSheetId="51">'330'!$T$31:$T$40</definedName>
    <definedName name="OSRRefT22_1x_0" localSheetId="56">'331'!$T$76:$T$85</definedName>
    <definedName name="OSRRefT22_1x_0" localSheetId="59">'332'!$T$36:$T$45</definedName>
    <definedName name="OSRRefT22_1x_0" localSheetId="74">'405'!$T$32:$T$41</definedName>
    <definedName name="OSRRefT22_1x_0" localSheetId="75">'406'!$T$22</definedName>
    <definedName name="OSRRefT22_1x_0" localSheetId="76">'411'!$T$30:$T$39</definedName>
    <definedName name="OSRRefT22_1x_0" localSheetId="77">'412'!$T$31:$T$40</definedName>
    <definedName name="OSRRefT22_1x_0" localSheetId="78">'413'!$T$31:$T$40</definedName>
    <definedName name="OSRRefT22_1x_0" localSheetId="79">'414'!$T$34:$T$43</definedName>
    <definedName name="OSRRefT22_1x_0" localSheetId="80">'415'!$T$33:$T$42</definedName>
    <definedName name="OSRRefT22_1x_0" localSheetId="81">'418'!$T$31:$T$40</definedName>
    <definedName name="OSRRefT22_1x_0" localSheetId="83">'423'!$T$29:$T$38</definedName>
    <definedName name="OSRRefT22_1x_0" localSheetId="84">'424'!$T$22</definedName>
    <definedName name="OSRRefT22_1x_0" localSheetId="85">'425'!$T$26</definedName>
    <definedName name="OSRRefT22_1x_0" localSheetId="88">'430'!$T$30:$T$39</definedName>
    <definedName name="OSRRefT22_1x_0" localSheetId="89">'433'!$T$36:$T$45</definedName>
    <definedName name="OSRRefT22_1x_0" localSheetId="91">'444'!$T$31:$T$40</definedName>
    <definedName name="OSRRefT22_1x_0" localSheetId="92">'450'!$T$31:$T$40</definedName>
    <definedName name="OSRRefT22_1x_0" localSheetId="73">'491'!$T$34:$T$43</definedName>
    <definedName name="OSRRefT22_1x_0" localSheetId="87">'492'!$T$36:$T$45</definedName>
    <definedName name="OSRRefT22_1x_0" localSheetId="94">'501'!$T$32:$T$41</definedName>
    <definedName name="OSRRefT22_1x_0" localSheetId="39">'Div 2'!$T$33:$T$42</definedName>
    <definedName name="OSRRefT22_1x_0" localSheetId="47">'Div 3'!$T$101:$T$110</definedName>
    <definedName name="OSRRefT22_1x_0" localSheetId="71">'Div 4'!$T$40:$T$49</definedName>
    <definedName name="OSRRefT22_1x_0" localSheetId="93">'Div 5'!$T$32:$T$41</definedName>
    <definedName name="OSRRefT22_1x_0" localSheetId="61">'Div 6'!$T$55:$T$64</definedName>
    <definedName name="OSRRefT22_1x_0" localSheetId="2">Summary!$T$125:$T$134</definedName>
    <definedName name="OSRRefT22_20x_0" localSheetId="48">'300'!$T$161:$T$169</definedName>
    <definedName name="OSRRefT22_20x_0" localSheetId="49">'300 &amp; 317'!$T$180:$T$188</definedName>
    <definedName name="OSRRefT22_20x_0" localSheetId="50">'301'!$T$88</definedName>
    <definedName name="OSRRefT22_20x_0" localSheetId="72">'310 &amp; 491'!$T$102</definedName>
    <definedName name="OSRRefT22_20x_0" localSheetId="58">'326'!$T$106</definedName>
    <definedName name="OSRRefT22_20x_0" localSheetId="56">'331'!$T$138</definedName>
    <definedName name="OSRRefT22_20x_0" localSheetId="73">'491'!$T$101</definedName>
    <definedName name="OSRRefT22_20x_0" localSheetId="47">'Div 3'!$T$162:$T$163</definedName>
    <definedName name="OSRRefT22_20x_0" localSheetId="71">'Div 4'!$T$107:$T$108</definedName>
    <definedName name="OSRRefT22_20x_0" localSheetId="2">Summary!$T$184:$T$188</definedName>
    <definedName name="OSRRefT22_21x_0" localSheetId="48">'300'!$T$171:$T$172</definedName>
    <definedName name="OSRRefT22_21x_0" localSheetId="49">'300 &amp; 317'!$T$190:$T$191</definedName>
    <definedName name="OSRRefT22_21x_0" localSheetId="56">'331'!$T$140:$T$141</definedName>
    <definedName name="OSRRefT22_21x_0" localSheetId="47">'Div 3'!$T$165:$T$173</definedName>
    <definedName name="OSRRefT22_21x_0" localSheetId="71">'Div 4'!$T$110</definedName>
    <definedName name="OSRRefT22_21x_0" localSheetId="2">Summary!$T$190:$T$191</definedName>
    <definedName name="OSRRefT22_22x_0" localSheetId="48">'300'!$T$174</definedName>
    <definedName name="OSRRefT22_22x_0" localSheetId="49">'300 &amp; 317'!$T$193</definedName>
    <definedName name="OSRRefT22_22x_0" localSheetId="56">'331'!$T$143</definedName>
    <definedName name="OSRRefT22_22x_0" localSheetId="47">'Div 3'!$T$175:$T$176</definedName>
    <definedName name="OSRRefT22_22x_0" localSheetId="2">Summary!$T$193:$T$203</definedName>
    <definedName name="OSRRefT22_23x_0" localSheetId="48">'300'!$T$176:$T$178</definedName>
    <definedName name="OSRRefT22_23x_0" localSheetId="49">'300 &amp; 317'!$T$195:$T$197</definedName>
    <definedName name="OSRRefT22_23x_0" localSheetId="47">'Div 3'!$T$178</definedName>
    <definedName name="OSRRefT22_23x_0" localSheetId="2">Summary!$T$205:$T$206</definedName>
    <definedName name="OSRRefT22_24x_0" localSheetId="48">'300'!$T$180</definedName>
    <definedName name="OSRRefT22_24x_0" localSheetId="49">'300 &amp; 317'!$T$199</definedName>
    <definedName name="OSRRefT22_24x_0" localSheetId="47">'Div 3'!$T$180:$T$182</definedName>
    <definedName name="OSRRefT22_24x_0" localSheetId="2">Summary!$T$208</definedName>
    <definedName name="OSRRefT22_25x_0" localSheetId="47">'Div 3'!$T$184</definedName>
    <definedName name="OSRRefT22_25x_0" localSheetId="2">Summary!$T$210:$T$212</definedName>
    <definedName name="OSRRefT22_26x_0" localSheetId="2">Summary!$T$214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'300'!$T$111</definedName>
    <definedName name="OSRRefT22_2x_0" localSheetId="49">'300 &amp; 317'!$T$130</definedName>
    <definedName name="OSRRefT22_2x_0" localSheetId="50">'301'!$T$41:$T$42</definedName>
    <definedName name="OSRRefT22_2x_0" localSheetId="52">'307'!$T$42</definedName>
    <definedName name="OSRRefT22_2x_0" localSheetId="53">'308'!$T$67</definedName>
    <definedName name="OSRRefT22_2x_0" localSheetId="65">'309'!$T$40</definedName>
    <definedName name="OSRRefT22_2x_0" localSheetId="64">'310'!$T$44</definedName>
    <definedName name="OSRRefT22_2x_0" localSheetId="72">'310 &amp; 491'!$T$46</definedName>
    <definedName name="OSRRefT22_2x_0" localSheetId="54">'311'!$T$66</definedName>
    <definedName name="OSRRefT22_2x_0" localSheetId="66">'313'!$T$43</definedName>
    <definedName name="OSRRefT22_2x_0" localSheetId="57">'315'!$T$87</definedName>
    <definedName name="OSRRefT22_2x_0" localSheetId="60">'316'!$T$47</definedName>
    <definedName name="OSRRefT22_2x_0" localSheetId="62">'317'!$T$66</definedName>
    <definedName name="OSRRefT22_2x_0" localSheetId="67">'321'!$T$40</definedName>
    <definedName name="OSRRefT22_2x_0" localSheetId="68">'322'!$T$41</definedName>
    <definedName name="OSRRefT22_2x_0" localSheetId="69">'325'!$T$40</definedName>
    <definedName name="OSRRefT22_2x_0" localSheetId="58">'326'!$T$59</definedName>
    <definedName name="OSRRefT22_2x_0" localSheetId="51">'330'!$T$42</definedName>
    <definedName name="OSRRefT22_2x_0" localSheetId="56">'331'!$T$87</definedName>
    <definedName name="OSRRefT22_2x_0" localSheetId="59">'332'!$T$47</definedName>
    <definedName name="OSRRefT22_2x_0" localSheetId="74">'405'!$T$43</definedName>
    <definedName name="OSRRefT22_2x_0" localSheetId="75">'406'!$T$24</definedName>
    <definedName name="OSRRefT22_2x_0" localSheetId="76">'411'!$T$41</definedName>
    <definedName name="OSRRefT22_2x_0" localSheetId="77">'412'!$T$42</definedName>
    <definedName name="OSRRefT22_2x_0" localSheetId="78">'413'!$T$42</definedName>
    <definedName name="OSRRefT22_2x_0" localSheetId="79">'414'!$T$45</definedName>
    <definedName name="OSRRefT22_2x_0" localSheetId="80">'415'!$T$44</definedName>
    <definedName name="OSRRefT22_2x_0" localSheetId="81">'418'!$T$42</definedName>
    <definedName name="OSRRefT22_2x_0" localSheetId="83">'423'!$T$40</definedName>
    <definedName name="OSRRefT22_2x_0" localSheetId="84">'424'!$T$24</definedName>
    <definedName name="OSRRefT22_2x_0" localSheetId="85">'425'!$T$28</definedName>
    <definedName name="OSRRefT22_2x_0" localSheetId="88">'430'!$T$41:$T$43</definedName>
    <definedName name="OSRRefT22_2x_0" localSheetId="89">'433'!$T$47</definedName>
    <definedName name="OSRRefT22_2x_0" localSheetId="91">'444'!$T$42</definedName>
    <definedName name="OSRRefT22_2x_0" localSheetId="92">'450'!$T$42</definedName>
    <definedName name="OSRRefT22_2x_0" localSheetId="73">'491'!$T$45</definedName>
    <definedName name="OSRRefT22_2x_0" localSheetId="87">'492'!$T$47</definedName>
    <definedName name="OSRRefT22_2x_0" localSheetId="94">'501'!$T$43</definedName>
    <definedName name="OSRRefT22_2x_0" localSheetId="39">'Div 2'!$T$44</definedName>
    <definedName name="OSRRefT22_2x_0" localSheetId="47">'Div 3'!$T$112</definedName>
    <definedName name="OSRRefT22_2x_0" localSheetId="71">'Div 4'!$T$51</definedName>
    <definedName name="OSRRefT22_2x_0" localSheetId="93">'Div 5'!$T$43</definedName>
    <definedName name="OSRRefT22_2x_0" localSheetId="61">'Div 6'!$T$66</definedName>
    <definedName name="OSRRefT22_2x_0" localSheetId="2">Summary!$T$136</definedName>
    <definedName name="OSRRefT22_3x_0" localSheetId="40">'200'!$T$26:$T$27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'205'!$T$43:$T$44</definedName>
    <definedName name="OSRRefT22_3x_0" localSheetId="46">'206'!$T$43</definedName>
    <definedName name="OSRRefT22_3x_0" localSheetId="48">'300'!$T$113:$T$114</definedName>
    <definedName name="OSRRefT22_3x_0" localSheetId="49">'300 &amp; 317'!$T$132:$T$133</definedName>
    <definedName name="OSRRefT22_3x_0" localSheetId="50">'301'!$T$44</definedName>
    <definedName name="OSRRefT22_3x_0" localSheetId="52">'307'!$T$44</definedName>
    <definedName name="OSRRefT22_3x_0" localSheetId="53">'308'!$T$69</definedName>
    <definedName name="OSRRefT22_3x_0" localSheetId="65">'309'!$T$42</definedName>
    <definedName name="OSRRefT22_3x_0" localSheetId="64">'310'!$T$46</definedName>
    <definedName name="OSRRefT22_3x_0" localSheetId="72">'310 &amp; 491'!$T$48</definedName>
    <definedName name="OSRRefT22_3x_0" localSheetId="54">'311'!$T$68</definedName>
    <definedName name="OSRRefT22_3x_0" localSheetId="66">'313'!$T$45</definedName>
    <definedName name="OSRRefT22_3x_0" localSheetId="57">'315'!$T$89</definedName>
    <definedName name="OSRRefT22_3x_0" localSheetId="60">'316'!$T$49</definedName>
    <definedName name="OSRRefT22_3x_0" localSheetId="62">'317'!$T$68</definedName>
    <definedName name="OSRRefT22_3x_0" localSheetId="67">'321'!$T$42</definedName>
    <definedName name="OSRRefT22_3x_0" localSheetId="68">'322'!$T$43</definedName>
    <definedName name="OSRRefT22_3x_0" localSheetId="69">'325'!$T$42</definedName>
    <definedName name="OSRRefT22_3x_0" localSheetId="58">'326'!$T$61</definedName>
    <definedName name="OSRRefT22_3x_0" localSheetId="51">'330'!$T$44</definedName>
    <definedName name="OSRRefT22_3x_0" localSheetId="56">'331'!$T$89</definedName>
    <definedName name="OSRRefT22_3x_0" localSheetId="59">'332'!$T$49</definedName>
    <definedName name="OSRRefT22_3x_0" localSheetId="74">'405'!$T$45</definedName>
    <definedName name="OSRRefT22_3x_0" localSheetId="75">'406'!$T$26</definedName>
    <definedName name="OSRRefT22_3x_0" localSheetId="76">'411'!$T$43:$T$44</definedName>
    <definedName name="OSRRefT22_3x_0" localSheetId="77">'412'!$T$44</definedName>
    <definedName name="OSRRefT22_3x_0" localSheetId="78">'413'!$T$44</definedName>
    <definedName name="OSRRefT22_3x_0" localSheetId="79">'414'!$T$47</definedName>
    <definedName name="OSRRefT22_3x_0" localSheetId="80">'415'!$T$46</definedName>
    <definedName name="OSRRefT22_3x_0" localSheetId="81">'418'!$T$44:$T$45</definedName>
    <definedName name="OSRRefT22_3x_0" localSheetId="83">'423'!$T$42:$T$43</definedName>
    <definedName name="OSRRefT22_3x_0" localSheetId="85">'425'!$T$30</definedName>
    <definedName name="OSRRefT22_3x_0" localSheetId="88">'430'!$T$45:$T$46</definedName>
    <definedName name="OSRRefT22_3x_0" localSheetId="89">'433'!$T$49</definedName>
    <definedName name="OSRRefT22_3x_0" localSheetId="91">'444'!$T$44</definedName>
    <definedName name="OSRRefT22_3x_0" localSheetId="92">'450'!$T$44</definedName>
    <definedName name="OSRRefT22_3x_0" localSheetId="73">'491'!$T$47</definedName>
    <definedName name="OSRRefT22_3x_0" localSheetId="87">'492'!$T$49</definedName>
    <definedName name="OSRRefT22_3x_0" localSheetId="94">'501'!$T$45</definedName>
    <definedName name="OSRRefT22_3x_0" localSheetId="39">'Div 2'!$T$46</definedName>
    <definedName name="OSRRefT22_3x_0" localSheetId="47">'Div 3'!$T$114:$T$115</definedName>
    <definedName name="OSRRefT22_3x_0" localSheetId="71">'Div 4'!$T$53</definedName>
    <definedName name="OSRRefT22_3x_0" localSheetId="93">'Div 5'!$T$45</definedName>
    <definedName name="OSRRefT22_3x_0" localSheetId="61">'Div 6'!$T$68</definedName>
    <definedName name="OSRRefT22_3x_0" localSheetId="2">Summary!$T$138:$T$139</definedName>
    <definedName name="OSRRefT22_4x_0" localSheetId="41">'201'!$T$46</definedName>
    <definedName name="OSRRefT22_4x_0" localSheetId="42">'202'!$T$46</definedName>
    <definedName name="OSRRefT22_4x_0" localSheetId="43">'203'!$T$46</definedName>
    <definedName name="OSRRefT22_4x_0" localSheetId="44">'204'!$T$47</definedName>
    <definedName name="OSRRefT22_4x_0" localSheetId="45">'205'!$T$46</definedName>
    <definedName name="OSRRefT22_4x_0" localSheetId="46">'206'!$T$45</definedName>
    <definedName name="OSRRefT22_4x_0" localSheetId="48">'300'!$T$116</definedName>
    <definedName name="OSRRefT22_4x_0" localSheetId="49">'300 &amp; 317'!$T$135</definedName>
    <definedName name="OSRRefT22_4x_0" localSheetId="50">'301'!$T$46:$T$47</definedName>
    <definedName name="OSRRefT22_4x_0" localSheetId="52">'307'!$T$46</definedName>
    <definedName name="OSRRefT22_4x_0" localSheetId="53">'308'!$T$71</definedName>
    <definedName name="OSRRefT22_4x_0" localSheetId="65">'309'!$T$44</definedName>
    <definedName name="OSRRefT22_4x_0" localSheetId="64">'310'!$T$48</definedName>
    <definedName name="OSRRefT22_4x_0" localSheetId="72">'310 &amp; 491'!$T$50</definedName>
    <definedName name="OSRRefT22_4x_0" localSheetId="54">'311'!$T$70</definedName>
    <definedName name="OSRRefT22_4x_0" localSheetId="66">'313'!$T$47</definedName>
    <definedName name="OSRRefT22_4x_0" localSheetId="57">'315'!$T$91</definedName>
    <definedName name="OSRRefT22_4x_0" localSheetId="60">'316'!$T$51</definedName>
    <definedName name="OSRRefT22_4x_0" localSheetId="62">'317'!$T$70</definedName>
    <definedName name="OSRRefT22_4x_0" localSheetId="67">'321'!$T$44</definedName>
    <definedName name="OSRRefT22_4x_0" localSheetId="68">'322'!$T$45</definedName>
    <definedName name="OSRRefT22_4x_0" localSheetId="69">'325'!$T$44:$T$45</definedName>
    <definedName name="OSRRefT22_4x_0" localSheetId="58">'326'!$T$63</definedName>
    <definedName name="OSRRefT22_4x_0" localSheetId="51">'330'!$T$46</definedName>
    <definedName name="OSRRefT22_4x_0" localSheetId="56">'331'!$T$91</definedName>
    <definedName name="OSRRefT22_4x_0" localSheetId="59">'332'!$T$51</definedName>
    <definedName name="OSRRefT22_4x_0" localSheetId="74">'405'!$T$47:$T$48</definedName>
    <definedName name="OSRRefT22_4x_0" localSheetId="76">'411'!$T$46</definedName>
    <definedName name="OSRRefT22_4x_0" localSheetId="77">'412'!$T$46:$T$47</definedName>
    <definedName name="OSRRefT22_4x_0" localSheetId="78">'413'!$T$46</definedName>
    <definedName name="OSRRefT22_4x_0" localSheetId="79">'414'!$T$49</definedName>
    <definedName name="OSRRefT22_4x_0" localSheetId="80">'415'!$T$48</definedName>
    <definedName name="OSRRefT22_4x_0" localSheetId="81">'418'!$T$47</definedName>
    <definedName name="OSRRefT22_4x_0" localSheetId="83">'423'!$T$45</definedName>
    <definedName name="OSRRefT22_4x_0" localSheetId="88">'430'!$T$48</definedName>
    <definedName name="OSRRefT22_4x_0" localSheetId="89">'433'!$T$51</definedName>
    <definedName name="OSRRefT22_4x_0" localSheetId="91">'444'!$T$46</definedName>
    <definedName name="OSRRefT22_4x_0" localSheetId="92">'450'!$T$46</definedName>
    <definedName name="OSRRefT22_4x_0" localSheetId="73">'491'!$T$49</definedName>
    <definedName name="OSRRefT22_4x_0" localSheetId="87">'492'!$T$51</definedName>
    <definedName name="OSRRefT22_4x_0" localSheetId="94">'501'!$T$47</definedName>
    <definedName name="OSRRefT22_4x_0" localSheetId="39">'Div 2'!$T$48</definedName>
    <definedName name="OSRRefT22_4x_0" localSheetId="47">'Div 3'!$T$117</definedName>
    <definedName name="OSRRefT22_4x_0" localSheetId="71">'Div 4'!$T$55</definedName>
    <definedName name="OSRRefT22_4x_0" localSheetId="93">'Div 5'!$T$47</definedName>
    <definedName name="OSRRefT22_4x_0" localSheetId="61">'Div 6'!$T$70</definedName>
    <definedName name="OSRRefT22_4x_0" localSheetId="2">Summary!$T$141</definedName>
    <definedName name="OSRRefT22_5x_0" localSheetId="41">'201'!$T$48</definedName>
    <definedName name="OSRRefT22_5x_0" localSheetId="42">'202'!$T$48</definedName>
    <definedName name="OSRRefT22_5x_0" localSheetId="43">'203'!$T$48</definedName>
    <definedName name="OSRRefT22_5x_0" localSheetId="44">'204'!$T$49</definedName>
    <definedName name="OSRRefT22_5x_0" localSheetId="45">'205'!$T$48</definedName>
    <definedName name="OSRRefT22_5x_0" localSheetId="46">'206'!$T$47</definedName>
    <definedName name="OSRRefT22_5x_0" localSheetId="48">'300'!$T$118:$T$119</definedName>
    <definedName name="OSRRefT22_5x_0" localSheetId="49">'300 &amp; 317'!$T$137:$T$138</definedName>
    <definedName name="OSRRefT22_5x_0" localSheetId="50">'301'!$T$49</definedName>
    <definedName name="OSRRefT22_5x_0" localSheetId="52">'307'!$T$48</definedName>
    <definedName name="OSRRefT22_5x_0" localSheetId="53">'308'!$T$73</definedName>
    <definedName name="OSRRefT22_5x_0" localSheetId="65">'309'!$T$46</definedName>
    <definedName name="OSRRefT22_5x_0" localSheetId="64">'310'!$T$50:$T$51</definedName>
    <definedName name="OSRRefT22_5x_0" localSheetId="72">'310 &amp; 491'!$T$52:$T$54</definedName>
    <definedName name="OSRRefT22_5x_0" localSheetId="54">'311'!$T$72</definedName>
    <definedName name="OSRRefT22_5x_0" localSheetId="66">'313'!$T$49</definedName>
    <definedName name="OSRRefT22_5x_0" localSheetId="57">'315'!$T$93</definedName>
    <definedName name="OSRRefT22_5x_0" localSheetId="60">'316'!$T$53</definedName>
    <definedName name="OSRRefT22_5x_0" localSheetId="62">'317'!$T$72</definedName>
    <definedName name="OSRRefT22_5x_0" localSheetId="67">'321'!$T$46</definedName>
    <definedName name="OSRRefT22_5x_0" localSheetId="68">'322'!$T$47</definedName>
    <definedName name="OSRRefT22_5x_0" localSheetId="69">'325'!$T$47</definedName>
    <definedName name="OSRRefT22_5x_0" localSheetId="58">'326'!$T$65</definedName>
    <definedName name="OSRRefT22_5x_0" localSheetId="51">'330'!$T$48</definedName>
    <definedName name="OSRRefT22_5x_0" localSheetId="56">'331'!$T$93</definedName>
    <definedName name="OSRRefT22_5x_0" localSheetId="59">'332'!$T$53</definedName>
    <definedName name="OSRRefT22_5x_0" localSheetId="74">'405'!$T$50</definedName>
    <definedName name="OSRRefT22_5x_0" localSheetId="76">'411'!$T$48</definedName>
    <definedName name="OSRRefT22_5x_0" localSheetId="77">'412'!$T$49</definedName>
    <definedName name="OSRRefT22_5x_0" localSheetId="78">'413'!$T$48:$T$49</definedName>
    <definedName name="OSRRefT22_5x_0" localSheetId="79">'414'!$T$51</definedName>
    <definedName name="OSRRefT22_5x_0" localSheetId="80">'415'!$T$50:$T$51</definedName>
    <definedName name="OSRRefT22_5x_0" localSheetId="81">'418'!$T$49</definedName>
    <definedName name="OSRRefT22_5x_0" localSheetId="83">'423'!$T$47</definedName>
    <definedName name="OSRRefT22_5x_0" localSheetId="88">'430'!$T$50</definedName>
    <definedName name="OSRRefT22_5x_0" localSheetId="89">'433'!$T$53</definedName>
    <definedName name="OSRRefT22_5x_0" localSheetId="91">'444'!$T$48:$T$50</definedName>
    <definedName name="OSRRefT22_5x_0" localSheetId="92">'450'!$T$48</definedName>
    <definedName name="OSRRefT22_5x_0" localSheetId="73">'491'!$T$51:$T$53</definedName>
    <definedName name="OSRRefT22_5x_0" localSheetId="87">'492'!$T$53</definedName>
    <definedName name="OSRRefT22_5x_0" localSheetId="94">'501'!$T$49</definedName>
    <definedName name="OSRRefT22_5x_0" localSheetId="39">'Div 2'!$T$50:$T$51</definedName>
    <definedName name="OSRRefT22_5x_0" localSheetId="47">'Div 3'!$T$119:$T$120</definedName>
    <definedName name="OSRRefT22_5x_0" localSheetId="71">'Div 4'!$T$57:$T$59</definedName>
    <definedName name="OSRRefT22_5x_0" localSheetId="93">'Div 5'!$T$49</definedName>
    <definedName name="OSRRefT22_5x_0" localSheetId="61">'Div 6'!$T$72</definedName>
    <definedName name="OSRRefT22_5x_0" localSheetId="2">Summary!$T$143:$T$145</definedName>
    <definedName name="OSRRefT22_6x_0" localSheetId="41">'201'!$T$50</definedName>
    <definedName name="OSRRefT22_6x_0" localSheetId="42">'202'!$T$50</definedName>
    <definedName name="OSRRefT22_6x_0" localSheetId="43">'203'!$T$50:$T$51</definedName>
    <definedName name="OSRRefT22_6x_0" localSheetId="44">'204'!$T$51:$T$53</definedName>
    <definedName name="OSRRefT22_6x_0" localSheetId="45">'205'!$T$50</definedName>
    <definedName name="OSRRefT22_6x_0" localSheetId="46">'206'!$T$49</definedName>
    <definedName name="OSRRefT22_6x_0" localSheetId="48">'300'!$T$121</definedName>
    <definedName name="OSRRefT22_6x_0" localSheetId="49">'300 &amp; 317'!$T$140</definedName>
    <definedName name="OSRRefT22_6x_0" localSheetId="50">'301'!$T$51</definedName>
    <definedName name="OSRRefT22_6x_0" localSheetId="52">'307'!$T$50</definedName>
    <definedName name="OSRRefT22_6x_0" localSheetId="53">'308'!$T$75</definedName>
    <definedName name="OSRRefT22_6x_0" localSheetId="65">'309'!$T$48</definedName>
    <definedName name="OSRRefT22_6x_0" localSheetId="64">'310'!$T$53</definedName>
    <definedName name="OSRRefT22_6x_0" localSheetId="72">'310 &amp; 491'!$T$56</definedName>
    <definedName name="OSRRefT22_6x_0" localSheetId="54">'311'!$T$74</definedName>
    <definedName name="OSRRefT22_6x_0" localSheetId="66">'313'!$T$51:$T$53</definedName>
    <definedName name="OSRRefT22_6x_0" localSheetId="57">'315'!$T$95</definedName>
    <definedName name="OSRRefT22_6x_0" localSheetId="60">'316'!$T$55:$T$56</definedName>
    <definedName name="OSRRefT22_6x_0" localSheetId="62">'317'!$T$74:$T$75</definedName>
    <definedName name="OSRRefT22_6x_0" localSheetId="67">'321'!$T$48:$T$49</definedName>
    <definedName name="OSRRefT22_6x_0" localSheetId="68">'322'!$T$49</definedName>
    <definedName name="OSRRefT22_6x_0" localSheetId="69">'325'!$T$49</definedName>
    <definedName name="OSRRefT22_6x_0" localSheetId="58">'326'!$T$67</definedName>
    <definedName name="OSRRefT22_6x_0" localSheetId="51">'330'!$T$50</definedName>
    <definedName name="OSRRefT22_6x_0" localSheetId="56">'331'!$T$95</definedName>
    <definedName name="OSRRefT22_6x_0" localSheetId="59">'332'!$T$55:$T$56</definedName>
    <definedName name="OSRRefT22_6x_0" localSheetId="74">'405'!$T$52</definedName>
    <definedName name="OSRRefT22_6x_0" localSheetId="76">'411'!$T$50:$T$51</definedName>
    <definedName name="OSRRefT22_6x_0" localSheetId="77">'412'!$T$51</definedName>
    <definedName name="OSRRefT22_6x_0" localSheetId="78">'413'!$T$51</definedName>
    <definedName name="OSRRefT22_6x_0" localSheetId="79">'414'!$T$53</definedName>
    <definedName name="OSRRefT22_6x_0" localSheetId="80">'415'!$T$53</definedName>
    <definedName name="OSRRefT22_6x_0" localSheetId="81">'418'!$T$51</definedName>
    <definedName name="OSRRefT22_6x_0" localSheetId="83">'423'!$T$49</definedName>
    <definedName name="OSRRefT22_6x_0" localSheetId="89">'433'!$T$55</definedName>
    <definedName name="OSRRefT22_6x_0" localSheetId="91">'444'!$T$52:$T$54</definedName>
    <definedName name="OSRRefT22_6x_0" localSheetId="92">'450'!$T$50</definedName>
    <definedName name="OSRRefT22_6x_0" localSheetId="73">'491'!$T$55</definedName>
    <definedName name="OSRRefT22_6x_0" localSheetId="87">'492'!$T$55</definedName>
    <definedName name="OSRRefT22_6x_0" localSheetId="94">'501'!$T$51</definedName>
    <definedName name="OSRRefT22_6x_0" localSheetId="39">'Div 2'!$T$53</definedName>
    <definedName name="OSRRefT22_6x_0" localSheetId="47">'Div 3'!$T$122</definedName>
    <definedName name="OSRRefT22_6x_0" localSheetId="71">'Div 4'!$T$61</definedName>
    <definedName name="OSRRefT22_6x_0" localSheetId="93">'Div 5'!$T$51</definedName>
    <definedName name="OSRRefT22_6x_0" localSheetId="61">'Div 6'!$T$74:$T$75</definedName>
    <definedName name="OSRRefT22_6x_0" localSheetId="2">Summary!$T$147</definedName>
    <definedName name="OSRRefT22_7x_0" localSheetId="41">'201'!$T$52</definedName>
    <definedName name="OSRRefT22_7x_0" localSheetId="42">'202'!$T$52:$T$53</definedName>
    <definedName name="OSRRefT22_7x_0" localSheetId="43">'203'!$T$53:$T$55</definedName>
    <definedName name="OSRRefT22_7x_0" localSheetId="44">'204'!$T$55:$T$56</definedName>
    <definedName name="OSRRefT22_7x_0" localSheetId="46">'206'!$T$51</definedName>
    <definedName name="OSRRefT22_7x_0" localSheetId="48">'300'!$T$123:$T$124</definedName>
    <definedName name="OSRRefT22_7x_0" localSheetId="49">'300 &amp; 317'!$T$142:$T$143</definedName>
    <definedName name="OSRRefT22_7x_0" localSheetId="50">'301'!$T$53</definedName>
    <definedName name="OSRRefT22_7x_0" localSheetId="52">'307'!$T$52:$T$53</definedName>
    <definedName name="OSRRefT22_7x_0" localSheetId="53">'308'!$T$77</definedName>
    <definedName name="OSRRefT22_7x_0" localSheetId="64">'310'!$T$55</definedName>
    <definedName name="OSRRefT22_7x_0" localSheetId="72">'310 &amp; 491'!$T$58</definedName>
    <definedName name="OSRRefT22_7x_0" localSheetId="54">'311'!$T$76</definedName>
    <definedName name="OSRRefT22_7x_0" localSheetId="66">'313'!$T$55:$T$56</definedName>
    <definedName name="OSRRefT22_7x_0" localSheetId="57">'315'!$T$97:$T$98</definedName>
    <definedName name="OSRRefT22_7x_0" localSheetId="60">'316'!$T$58</definedName>
    <definedName name="OSRRefT22_7x_0" localSheetId="62">'317'!$T$77</definedName>
    <definedName name="OSRRefT22_7x_0" localSheetId="67">'321'!$T$51</definedName>
    <definedName name="OSRRefT22_7x_0" localSheetId="68">'322'!$T$51</definedName>
    <definedName name="OSRRefT22_7x_0" localSheetId="69">'325'!$T$51</definedName>
    <definedName name="OSRRefT22_7x_0" localSheetId="58">'326'!$T$69</definedName>
    <definedName name="OSRRefT22_7x_0" localSheetId="51">'330'!$T$52:$T$53</definedName>
    <definedName name="OSRRefT22_7x_0" localSheetId="56">'331'!$T$97</definedName>
    <definedName name="OSRRefT22_7x_0" localSheetId="59">'332'!$T$58</definedName>
    <definedName name="OSRRefT22_7x_0" localSheetId="74">'405'!$T$54</definedName>
    <definedName name="OSRRefT22_7x_0" localSheetId="76">'411'!$T$53:$T$56</definedName>
    <definedName name="OSRRefT22_7x_0" localSheetId="77">'412'!$T$53</definedName>
    <definedName name="OSRRefT22_7x_0" localSheetId="78">'413'!$T$53:$T$54</definedName>
    <definedName name="OSRRefT22_7x_0" localSheetId="79">'414'!$T$55</definedName>
    <definedName name="OSRRefT22_7x_0" localSheetId="80">'415'!$T$55</definedName>
    <definedName name="OSRRefT22_7x_0" localSheetId="81">'418'!$T$53:$T$54</definedName>
    <definedName name="OSRRefT22_7x_0" localSheetId="89">'433'!$T$57</definedName>
    <definedName name="OSRRefT22_7x_0" localSheetId="91">'444'!$T$56:$T$58</definedName>
    <definedName name="OSRRefT22_7x_0" localSheetId="92">'450'!$T$52:$T$54</definedName>
    <definedName name="OSRRefT22_7x_0" localSheetId="73">'491'!$T$57</definedName>
    <definedName name="OSRRefT22_7x_0" localSheetId="87">'492'!$T$57</definedName>
    <definedName name="OSRRefT22_7x_0" localSheetId="94">'501'!$T$53</definedName>
    <definedName name="OSRRefT22_7x_0" localSheetId="39">'Div 2'!$T$55</definedName>
    <definedName name="OSRRefT22_7x_0" localSheetId="47">'Div 3'!$T$124:$T$125</definedName>
    <definedName name="OSRRefT22_7x_0" localSheetId="71">'Div 4'!$T$63</definedName>
    <definedName name="OSRRefT22_7x_0" localSheetId="93">'Div 5'!$T$53</definedName>
    <definedName name="OSRRefT22_7x_0" localSheetId="61">'Div 6'!$T$77</definedName>
    <definedName name="OSRRefT22_7x_0" localSheetId="2">Summary!$T$149:$T$150</definedName>
    <definedName name="OSRRefT22_8x_0" localSheetId="41">'201'!$T$54</definedName>
    <definedName name="OSRRefT22_8x_0" localSheetId="42">'202'!$T$55</definedName>
    <definedName name="OSRRefT22_8x_0" localSheetId="43">'203'!$T$57</definedName>
    <definedName name="OSRRefT22_8x_0" localSheetId="44">'204'!$T$58</definedName>
    <definedName name="OSRRefT22_8x_0" localSheetId="46">'206'!$T$53:$T$54</definedName>
    <definedName name="OSRRefT22_8x_0" localSheetId="48">'300'!$T$126</definedName>
    <definedName name="OSRRefT22_8x_0" localSheetId="49">'300 &amp; 317'!$T$145</definedName>
    <definedName name="OSRRefT22_8x_0" localSheetId="50">'301'!$T$55</definedName>
    <definedName name="OSRRefT22_8x_0" localSheetId="52">'307'!$T$55</definedName>
    <definedName name="OSRRefT22_8x_0" localSheetId="53">'308'!$T$79</definedName>
    <definedName name="OSRRefT22_8x_0" localSheetId="64">'310'!$T$57</definedName>
    <definedName name="OSRRefT22_8x_0" localSheetId="72">'310 &amp; 491'!$T$60</definedName>
    <definedName name="OSRRefT22_8x_0" localSheetId="54">'311'!$T$78</definedName>
    <definedName name="OSRRefT22_8x_0" localSheetId="57">'315'!$T$100</definedName>
    <definedName name="OSRRefT22_8x_0" localSheetId="60">'316'!$T$60</definedName>
    <definedName name="OSRRefT22_8x_0" localSheetId="62">'317'!$T$79</definedName>
    <definedName name="OSRRefT22_8x_0" localSheetId="68">'322'!$T$53</definedName>
    <definedName name="OSRRefT22_8x_0" localSheetId="69">'325'!$T$53</definedName>
    <definedName name="OSRRefT22_8x_0" localSheetId="58">'326'!$T$71:$T$72</definedName>
    <definedName name="OSRRefT22_8x_0" localSheetId="51">'330'!$T$55</definedName>
    <definedName name="OSRRefT22_8x_0" localSheetId="56">'331'!$T$99:$T$100</definedName>
    <definedName name="OSRRefT22_8x_0" localSheetId="59">'332'!$T$60</definedName>
    <definedName name="OSRRefT22_8x_0" localSheetId="74">'405'!$T$56:$T$57</definedName>
    <definedName name="OSRRefT22_8x_0" localSheetId="76">'411'!$T$58:$T$64</definedName>
    <definedName name="OSRRefT22_8x_0" localSheetId="77">'412'!$T$55</definedName>
    <definedName name="OSRRefT22_8x_0" localSheetId="78">'413'!$T$56:$T$57</definedName>
    <definedName name="OSRRefT22_8x_0" localSheetId="79">'414'!$T$57</definedName>
    <definedName name="OSRRefT22_8x_0" localSheetId="80">'415'!$T$57</definedName>
    <definedName name="OSRRefT22_8x_0" localSheetId="81">'418'!$T$56:$T$63</definedName>
    <definedName name="OSRRefT22_8x_0" localSheetId="89">'433'!$T$59</definedName>
    <definedName name="OSRRefT22_8x_0" localSheetId="91">'444'!$T$60:$T$61</definedName>
    <definedName name="OSRRefT22_8x_0" localSheetId="92">'450'!$T$56</definedName>
    <definedName name="OSRRefT22_8x_0" localSheetId="73">'491'!$T$59</definedName>
    <definedName name="OSRRefT22_8x_0" localSheetId="87">'492'!$T$59</definedName>
    <definedName name="OSRRefT22_8x_0" localSheetId="94">'501'!$T$55</definedName>
    <definedName name="OSRRefT22_8x_0" localSheetId="39">'Div 2'!$T$57</definedName>
    <definedName name="OSRRefT22_8x_0" localSheetId="47">'Div 3'!$T$127</definedName>
    <definedName name="OSRRefT22_8x_0" localSheetId="71">'Div 4'!$T$65</definedName>
    <definedName name="OSRRefT22_8x_0" localSheetId="93">'Div 5'!$T$55</definedName>
    <definedName name="OSRRefT22_8x_0" localSheetId="61">'Div 6'!$T$79</definedName>
    <definedName name="OSRRefT22_8x_0" localSheetId="2">Summary!$T$152</definedName>
    <definedName name="OSRRefT22_9x_0" localSheetId="41">'201'!$T$56</definedName>
    <definedName name="OSRRefT22_9x_0" localSheetId="42">'202'!$T$57:$T$59</definedName>
    <definedName name="OSRRefT22_9x_0" localSheetId="43">'203'!$T$59</definedName>
    <definedName name="OSRRefT22_9x_0" localSheetId="44">'204'!$T$60:$T$61</definedName>
    <definedName name="OSRRefT22_9x_0" localSheetId="46">'206'!$T$56</definedName>
    <definedName name="OSRRefT22_9x_0" localSheetId="48">'300'!$T$128</definedName>
    <definedName name="OSRRefT22_9x_0" localSheetId="49">'300 &amp; 317'!$T$147</definedName>
    <definedName name="OSRRefT22_9x_0" localSheetId="50">'301'!$T$57</definedName>
    <definedName name="OSRRefT22_9x_0" localSheetId="52">'307'!$T$57:$T$58</definedName>
    <definedName name="OSRRefT22_9x_0" localSheetId="53">'308'!$T$81:$T$82</definedName>
    <definedName name="OSRRefT22_9x_0" localSheetId="64">'310'!$T$59</definedName>
    <definedName name="OSRRefT22_9x_0" localSheetId="72">'310 &amp; 491'!$T$62</definedName>
    <definedName name="OSRRefT22_9x_0" localSheetId="54">'311'!$T$80:$T$81</definedName>
    <definedName name="OSRRefT22_9x_0" localSheetId="57">'315'!$T$102</definedName>
    <definedName name="OSRRefT22_9x_0" localSheetId="60">'316'!$T$62:$T$65</definedName>
    <definedName name="OSRRefT22_9x_0" localSheetId="62">'317'!$T$81</definedName>
    <definedName name="OSRRefT22_9x_0" localSheetId="68">'322'!$T$55:$T$56</definedName>
    <definedName name="OSRRefT22_9x_0" localSheetId="69">'325'!$T$55:$T$57</definedName>
    <definedName name="OSRRefT22_9x_0" localSheetId="58">'326'!$T$74</definedName>
    <definedName name="OSRRefT22_9x_0" localSheetId="51">'330'!$T$57:$T$58</definedName>
    <definedName name="OSRRefT22_9x_0" localSheetId="56">'331'!$T$102:$T$103</definedName>
    <definedName name="OSRRefT22_9x_0" localSheetId="59">'332'!$T$62:$T$65</definedName>
    <definedName name="OSRRefT22_9x_0" localSheetId="74">'405'!$T$59:$T$62</definedName>
    <definedName name="OSRRefT22_9x_0" localSheetId="76">'411'!$T$66</definedName>
    <definedName name="OSRRefT22_9x_0" localSheetId="77">'412'!$T$57</definedName>
    <definedName name="OSRRefT22_9x_0" localSheetId="79">'414'!$T$59:$T$61</definedName>
    <definedName name="OSRRefT22_9x_0" localSheetId="80">'415'!$T$59</definedName>
    <definedName name="OSRRefT22_9x_0" localSheetId="81">'418'!$T$65:$T$66</definedName>
    <definedName name="OSRRefT22_9x_0" localSheetId="89">'433'!$T$61</definedName>
    <definedName name="OSRRefT22_9x_0" localSheetId="92">'450'!$T$58:$T$59</definedName>
    <definedName name="OSRRefT22_9x_0" localSheetId="73">'491'!$T$61</definedName>
    <definedName name="OSRRefT22_9x_0" localSheetId="87">'492'!$T$61</definedName>
    <definedName name="OSRRefT22_9x_0" localSheetId="94">'501'!$T$57</definedName>
    <definedName name="OSRRefT22_9x_0" localSheetId="39">'Div 2'!$T$59</definedName>
    <definedName name="OSRRefT22_9x_0" localSheetId="47">'Div 3'!$T$129</definedName>
    <definedName name="OSRRefT22_9x_0" localSheetId="71">'Div 4'!$T$67</definedName>
    <definedName name="OSRRefT22_9x_0" localSheetId="93">'Div 5'!$T$57</definedName>
    <definedName name="OSRRefT22_9x_0" localSheetId="61">'Div 6'!$T$81</definedName>
    <definedName name="OSRRefT22_9x_0" localSheetId="2">Summary!$T$154</definedName>
    <definedName name="OSRRefT22x_0" localSheetId="40">'200'!$T$20,'200'!$T$22,'200'!$T$24,'200'!$T$26:$T$27</definedName>
    <definedName name="OSRRefT22x_0" localSheetId="41">'201'!$T$21:$T$29,'201'!$T$31:$T$40,'201'!$T$42,'201'!$T$44,'201'!$T$46,'201'!$T$48,'201'!$T$50,'201'!$T$52,'201'!$T$54,'201'!$T$56,'201'!$T$58,'201'!$T$60:$T$62,'201'!$T$64</definedName>
    <definedName name="OSRRefT22x_0" localSheetId="42">'202'!$T$21:$T$29,'202'!$T$31:$T$40,'202'!$T$42,'202'!$T$44,'202'!$T$46,'202'!$T$48,'202'!$T$50,'202'!$T$52:$T$53,'202'!$T$55,'202'!$T$57:$T$59,'202'!$T$61,'202'!$T$63,'202'!$T$65</definedName>
    <definedName name="OSRRefT22x_0" localSheetId="43">'203'!$T$20:$T$29,'203'!$T$31:$T$40,'203'!$T$42,'203'!$T$44,'203'!$T$46,'203'!$T$48,'203'!$T$50:$T$51,'203'!$T$53:$T$55,'203'!$T$57,'203'!$T$59,'203'!$T$61:$T$63,'203'!$T$65,'203'!$T$67</definedName>
    <definedName name="OSRRefT22x_0" localSheetId="44">'204'!$T$20:$T$29,'204'!$T$31:$T$40,'204'!$T$42,'204'!$T$44:$T$45,'204'!$T$47,'204'!$T$49,'204'!$T$51:$T$53,'204'!$T$55:$T$56,'204'!$T$58,'204'!$T$60:$T$61,'204'!$T$63</definedName>
    <definedName name="OSRRefT22x_0" localSheetId="45">'205'!$T$20:$T$28,'205'!$T$30:$T$39,'205'!$T$41,'205'!$T$43:$T$44,'205'!$T$46,'205'!$T$48,'205'!$T$50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$89:$T$98,'300'!$T$100:$T$109,'300'!$T$111,'300'!$T$113:$T$114,'300'!$T$116,'300'!$T$118:$T$119,'300'!$T$121,'300'!$T$123:$T$124,'300'!$T$126,'300'!$T$128,'300'!$T$130:$T$131,'300'!$T$133:$T$134,'300'!$T$136,'300'!$T$138,'300'!$T$140,'300'!$T$142,'300'!$T$144:$T$146,'300'!$T$148:$T$151,'300'!$T$153:$T$156,'300'!$T$158:$T$159,'300'!$T$161:$T$169,'300'!$T$171:$T$172,'300'!$T$174,'300'!$T$176:$T$178,'300'!$T$180</definedName>
    <definedName name="OSRRefT22x_0" localSheetId="49">'300 &amp; 317'!$T$108:$T$117,'300 &amp; 317'!$T$119:$T$128,'300 &amp; 317'!$T$130,'300 &amp; 317'!$T$132:$T$133,'300 &amp; 317'!$T$135,'300 &amp; 317'!$T$137:$T$138,'300 &amp; 317'!$T$140,'300 &amp; 317'!$T$142:$T$143,'300 &amp; 317'!$T$145,'300 &amp; 317'!$T$147,'300 &amp; 317'!$T$149:$T$150,'300 &amp; 317'!$T$152:$T$153,'300 &amp; 317'!$T$155,'300 &amp; 317'!$T$157,'300 &amp; 317'!$T$159,'300 &amp; 317'!$T$161,'300 &amp; 317'!$T$163:$T$165,'300 &amp; 317'!$T$167:$T$170,'300 &amp; 317'!$T$172:$T$175,'300 &amp; 317'!$T$177:$T$178,'300 &amp; 317'!$T$180:$T$188,'300 &amp; 317'!$T$190:$T$191,'300 &amp; 317'!$T$193,'300 &amp; 317'!$T$195:$T$197,'300 &amp; 317'!$T$199</definedName>
    <definedName name="OSRRefT22x_0" localSheetId="50">'301'!$T$20:$T$28,'301'!$T$30:$T$39,'301'!$T$41:$T$42,'301'!$T$44,'301'!$T$46:$T$47,'301'!$T$49,'301'!$T$51,'301'!$T$53,'301'!$T$55,'301'!$T$57,'301'!$T$59,'301'!$T$61,'301'!$T$63,'301'!$T$65:$T$67,'301'!$T$69:$T$71,'301'!$T$73,'301'!$T$75:$T$80,'301'!$T$82,'301'!$T$84,'301'!$T$86,'301'!$T$88</definedName>
    <definedName name="OSRRefT22x_0" localSheetId="52">'307'!$T$22:$T$29,'307'!$T$31:$T$40,'307'!$T$42,'307'!$T$44,'307'!$T$46,'307'!$T$48,'307'!$T$50,'307'!$T$52:$T$53,'307'!$T$55,'307'!$T$57:$T$58</definedName>
    <definedName name="OSRRefT22x_0" localSheetId="53">'308'!$T$45:$T$54,'308'!$T$56:$T$65,'308'!$T$67,'308'!$T$69,'308'!$T$71,'308'!$T$73,'308'!$T$75,'308'!$T$77,'308'!$T$79,'308'!$T$81:$T$82,'308'!$T$84,'308'!$T$86:$T$88,'308'!$T$90:$T$91,'308'!$T$93</definedName>
    <definedName name="OSRRefT22x_0" localSheetId="65">'309'!$T$20:$T$27,'309'!$T$29:$T$38,'309'!$T$40,'309'!$T$42,'309'!$T$44,'309'!$T$46,'309'!$T$48</definedName>
    <definedName name="OSRRefT22x_0" localSheetId="64">'310'!$T$23:$T$31,'310'!$T$33:$T$42,'310'!$T$44,'310'!$T$46,'310'!$T$48,'310'!$T$50:$T$51,'310'!$T$53,'310'!$T$55,'310'!$T$57,'310'!$T$59,'310'!$T$61,'310'!$T$63:$T$66,'310'!$T$68,'310'!$T$70:$T$72,'310'!$T$74:$T$75,'310'!$T$77</definedName>
    <definedName name="OSRRefT22x_0" localSheetId="72">'310 &amp; 491'!$T$25:$T$33,'310 &amp; 491'!$T$35:$T$44,'310 &amp; 491'!$T$46,'310 &amp; 491'!$T$48,'310 &amp; 491'!$T$50,'310 &amp; 491'!$T$52:$T$54,'310 &amp; 491'!$T$56,'310 &amp; 491'!$T$58,'310 &amp; 491'!$T$60,'310 &amp; 491'!$T$62,'310 &amp; 491'!$T$64,'310 &amp; 491'!$T$66,'310 &amp; 491'!$T$68:$T$69,'310 &amp; 491'!$T$71:$T$72,'310 &amp; 491'!$T$74:$T$78,'310 &amp; 491'!$T$80,'310 &amp; 491'!$T$82:$T$92,'310 &amp; 491'!$T$94:$T$95,'310 &amp; 491'!$T$97,'310 &amp; 491'!$T$99:$T$100,'310 &amp; 491'!$T$102</definedName>
    <definedName name="OSRRefT22x_0" localSheetId="54">'311'!$T$44:$T$53,'311'!$T$55:$T$64,'311'!$T$66,'311'!$T$68,'311'!$T$70,'311'!$T$72,'311'!$T$74,'311'!$T$76,'311'!$T$78,'311'!$T$80:$T$81,'311'!$T$83,'311'!$T$85:$T$87,'311'!$T$89:$T$90,'311'!$T$92</definedName>
    <definedName name="OSRRefT22x_0" localSheetId="66">'313'!$T$22:$T$30,'313'!$T$32:$T$41,'313'!$T$43,'313'!$T$45,'313'!$T$47,'313'!$T$49,'313'!$T$51:$T$53,'313'!$T$55:$T$56</definedName>
    <definedName name="OSRRefT22x_0" localSheetId="57">'315'!$T$66:$T$74,'315'!$T$76:$T$85,'315'!$T$87,'315'!$T$89,'315'!$T$91,'315'!$T$93,'315'!$T$95,'315'!$T$97:$T$98,'315'!$T$100,'315'!$T$102,'315'!$T$104,'315'!$T$106,'315'!$T$108:$T$110,'315'!$T$112,'315'!$T$114:$T$120,'315'!$T$122,'315'!$T$124:$T$125</definedName>
    <definedName name="OSRRefT22x_0" localSheetId="60">'316'!$T$26:$T$34,'316'!$T$36:$T$45,'316'!$T$47,'316'!$T$49,'316'!$T$51,'316'!$T$53,'316'!$T$55:$T$56,'316'!$T$58,'316'!$T$60,'316'!$T$62:$T$65,'316'!$T$67</definedName>
    <definedName name="OSRRefT22x_0" localSheetId="62">'317'!$T$44:$T$53,'317'!$T$55:$T$64,'317'!$T$66,'317'!$T$68,'317'!$T$70,'317'!$T$72,'317'!$T$74:$T$75,'317'!$T$77,'317'!$T$79,'317'!$T$81,'317'!$T$83:$T$85,'317'!$T$87</definedName>
    <definedName name="OSRRefT22x_0" localSheetId="67">'321'!$T$20:$T$27,'321'!$T$29:$T$38,'321'!$T$40,'321'!$T$42,'321'!$T$44,'321'!$T$46,'321'!$T$48:$T$49,'321'!$T$51</definedName>
    <definedName name="OSRRefT22x_0" localSheetId="68">'322'!$T$21:$T$28,'322'!$T$30:$T$39,'322'!$T$41,'322'!$T$43,'322'!$T$45,'322'!$T$47,'322'!$T$49,'322'!$T$51,'322'!$T$53,'322'!$T$55:$T$56,'322'!$T$58,'322'!$T$60</definedName>
    <definedName name="OSRRefT22x_0" localSheetId="55">'324'!$T$27:$T$34,'324'!$T$36:$T$45</definedName>
    <definedName name="OSRRefT22x_0" localSheetId="69">'325'!$T$20:$T$27,'325'!$T$29:$T$38,'325'!$T$40,'325'!$T$42,'325'!$T$44:$T$45,'325'!$T$47,'325'!$T$49,'325'!$T$51,'325'!$T$53,'325'!$T$55:$T$57,'325'!$T$59,'325'!$T$61:$T$62,'325'!$T$64:$T$65,'325'!$T$67</definedName>
    <definedName name="OSRRefT22x_0" localSheetId="58">'326'!$T$38:$T$46,'326'!$T$48:$T$57,'326'!$T$59,'326'!$T$61,'326'!$T$63,'326'!$T$65,'326'!$T$67,'326'!$T$69,'326'!$T$71:$T$72,'326'!$T$74,'326'!$T$76,'326'!$T$78,'326'!$T$80,'326'!$T$82,'326'!$T$84:$T$86,'326'!$T$88:$T$89,'326'!$T$91:$T$96,'326'!$T$98:$T$99,'326'!$T$101,'326'!$T$103:$T$104,'326'!$T$106</definedName>
    <definedName name="OSRRefT22x_0" localSheetId="70">'327'!$T$22</definedName>
    <definedName name="OSRRefT22x_0" localSheetId="51">'330'!$T$22:$T$29,'330'!$T$31:$T$40,'330'!$T$42,'330'!$T$44,'330'!$T$46,'330'!$T$48,'330'!$T$50,'330'!$T$52:$T$53,'330'!$T$55,'330'!$T$57:$T$58</definedName>
    <definedName name="OSRRefT22x_0" localSheetId="56">'331'!$T$66:$T$74,'331'!$T$76:$T$85,'331'!$T$87,'331'!$T$89,'331'!$T$91,'331'!$T$93,'331'!$T$95,'331'!$T$97,'331'!$T$99:$T$100,'331'!$T$102:$T$103,'331'!$T$105,'331'!$T$107,'331'!$T$109,'331'!$T$111,'331'!$T$113,'331'!$T$115:$T$117,'331'!$T$119:$T$121,'331'!$T$123:$T$124,'331'!$T$126:$T$133,'331'!$T$135:$T$136,'331'!$T$138,'331'!$T$140:$T$141,'331'!$T$143</definedName>
    <definedName name="OSRRefT22x_0" localSheetId="59">'332'!$T$26:$T$34,'332'!$T$36:$T$45,'332'!$T$47,'332'!$T$49,'332'!$T$51,'332'!$T$53,'332'!$T$55:$T$56,'332'!$T$58,'332'!$T$60,'332'!$T$62:$T$65,'332'!$T$67</definedName>
    <definedName name="OSRRefT22x_0" localSheetId="74">'405'!$T$23:$T$30,'405'!$T$32:$T$41,'405'!$T$43,'405'!$T$45,'405'!$T$47:$T$48,'405'!$T$50,'405'!$T$52,'405'!$T$54,'405'!$T$56:$T$57,'405'!$T$59:$T$62,'405'!$T$64,'405'!$T$66:$T$74,'405'!$T$76,'405'!$T$78,'405'!$T$80</definedName>
    <definedName name="OSRRefT22x_0" localSheetId="75">'406'!$T$20,'406'!$T$22,'406'!$T$24,'406'!$T$26</definedName>
    <definedName name="OSRRefT22x_0" localSheetId="76">'411'!$T$20:$T$28,'411'!$T$30:$T$39,'411'!$T$41,'411'!$T$43:$T$44,'411'!$T$46,'411'!$T$48,'411'!$T$50:$T$51,'411'!$T$53:$T$56,'411'!$T$58:$T$64,'411'!$T$66,'411'!$T$68,'411'!$T$70</definedName>
    <definedName name="OSRRefT22x_0" localSheetId="77">'412'!$T$22:$T$29,'412'!$T$31:$T$40,'412'!$T$42,'412'!$T$44,'412'!$T$46:$T$47,'412'!$T$49,'412'!$T$51,'412'!$T$53,'412'!$T$55,'412'!$T$57,'412'!$T$59:$T$62,'412'!$T$64:$T$65,'412'!$T$67:$T$68,'412'!$T$70</definedName>
    <definedName name="OSRRefT22x_0" localSheetId="78">'413'!$T$21:$T$29,'413'!$T$31:$T$40,'413'!$T$42,'413'!$T$44,'413'!$T$46,'413'!$T$48:$T$49,'413'!$T$51,'413'!$T$53:$T$54,'413'!$T$56:$T$57</definedName>
    <definedName name="OSRRefT22x_0" localSheetId="79">'414'!$T$24:$T$32,'414'!$T$34:$T$43,'414'!$T$45,'414'!$T$47,'414'!$T$49,'414'!$T$51,'414'!$T$53,'414'!$T$55,'414'!$T$57,'414'!$T$59:$T$61,'414'!$T$63,'414'!$T$65,'414'!$T$67</definedName>
    <definedName name="OSRRefT22x_0" localSheetId="80">'415'!$T$23:$T$31,'415'!$T$33:$T$42,'415'!$T$44,'415'!$T$46,'415'!$T$48,'415'!$T$50:$T$51,'415'!$T$53,'415'!$T$55,'415'!$T$57,'415'!$T$59,'415'!$T$61:$T$62,'415'!$T$64:$T$67,'415'!$T$69,'415'!$T$71:$T$75,'415'!$T$77:$T$78,'415'!$T$80</definedName>
    <definedName name="OSRRefT22x_0" localSheetId="81">'418'!$T$22:$T$29,'418'!$T$31:$T$40,'418'!$T$42,'418'!$T$44:$T$45,'418'!$T$47,'418'!$T$49,'418'!$T$51,'418'!$T$53:$T$54,'418'!$T$56:$T$63,'418'!$T$65:$T$66,'418'!$T$68</definedName>
    <definedName name="OSRRefT22x_0" localSheetId="83">'423'!$T$20:$T$27,'423'!$T$29:$T$38,'423'!$T$40,'423'!$T$42:$T$43,'423'!$T$45,'423'!$T$47,'423'!$T$49</definedName>
    <definedName name="OSRRefT22x_0" localSheetId="84">'424'!$T$20,'424'!$T$22,'424'!$T$24</definedName>
    <definedName name="OSRRefT22x_0" localSheetId="85">'425'!$T$20:$T$24,'425'!$T$26,'425'!$T$28,'425'!$T$30</definedName>
    <definedName name="OSRRefT22x_0" localSheetId="88">'430'!$T$20:$T$28,'430'!$T$30:$T$39,'430'!$T$41:$T$43,'430'!$T$45:$T$46,'430'!$T$48,'430'!$T$50</definedName>
    <definedName name="OSRRefT22x_0" localSheetId="89">'433'!$T$25:$T$34,'433'!$T$36:$T$45,'433'!$T$47,'433'!$T$49,'433'!$T$51,'433'!$T$53,'433'!$T$55,'433'!$T$57,'433'!$T$59,'433'!$T$61,'433'!$T$63:$T$66,'433'!$T$68:$T$75,'433'!$T$77</definedName>
    <definedName name="OSRRefT22x_0" localSheetId="90">'435'!$T$20</definedName>
    <definedName name="OSRRefT22x_0" localSheetId="91">'444'!$T$20:$T$29,'444'!$T$31:$T$40,'444'!$T$42,'444'!$T$44,'444'!$T$46,'444'!$T$48:$T$50,'444'!$T$52:$T$54,'444'!$T$56:$T$58,'444'!$T$60:$T$61</definedName>
    <definedName name="OSRRefT22x_0" localSheetId="92">'450'!$T$20:$T$29,'450'!$T$31:$T$40,'450'!$T$42,'450'!$T$44,'450'!$T$46,'450'!$T$48,'450'!$T$50,'450'!$T$52:$T$54,'450'!$T$56,'450'!$T$58:$T$59,'450'!$T$61</definedName>
    <definedName name="OSRRefT22x_0" localSheetId="73">'491'!$T$24:$T$32,'491'!$T$34:$T$43,'491'!$T$45,'491'!$T$47,'491'!$T$49,'491'!$T$51:$T$53,'491'!$T$55,'491'!$T$57,'491'!$T$59,'491'!$T$61,'491'!$T$63,'491'!$T$65,'491'!$T$67:$T$68,'491'!$T$70:$T$71,'491'!$T$73:$T$77,'491'!$T$79,'491'!$T$81:$T$91,'491'!$T$93:$T$94,'491'!$T$96,'491'!$T$98:$T$99,'491'!$T$101</definedName>
    <definedName name="OSRRefT22x_0" localSheetId="87">'492'!$T$25:$T$34,'492'!$T$36:$T$45,'492'!$T$47,'492'!$T$49,'492'!$T$51,'492'!$T$53,'492'!$T$55,'492'!$T$57,'492'!$T$59,'492'!$T$61,'492'!$T$63,'492'!$T$65:$T$67,'492'!$T$69:$T$72,'492'!$T$74:$T$82,'492'!$T$84:$T$85,'492'!$T$87,'492'!$T$89</definedName>
    <definedName name="OSRRefT22x_0" localSheetId="94">'501'!$T$21:$T$30,'501'!$T$32:$T$41,'501'!$T$43,'501'!$T$45,'501'!$T$47,'501'!$T$49,'501'!$T$51,'501'!$T$53,'501'!$T$55,'501'!$T$57,'501'!$T$59:$T$60,'501'!$T$62</definedName>
    <definedName name="OSRRefT22x_0" localSheetId="39">'Div 2'!$T$21:$T$31,'Div 2'!$T$33:$T$42,'Div 2'!$T$44,'Div 2'!$T$46,'Div 2'!$T$48,'Div 2'!$T$50:$T$51,'Div 2'!$T$53,'Div 2'!$T$55,'Div 2'!$T$57,'Div 2'!$T$59,'Div 2'!$T$61,'Div 2'!$T$63:$T$64,'Div 2'!$T$66:$T$69,'Div 2'!$T$71:$T$74,'Div 2'!$T$76:$T$77,'Div 2'!$T$79:$T$80,'Div 2'!$T$82:$T$86,'Div 2'!$T$88:$T$89,'Div 2'!$T$91,'Div 2'!$T$93:$T$94</definedName>
    <definedName name="OSRRefT22x_0" localSheetId="47">'Div 3'!$T$90:$T$99,'Div 3'!$T$101:$T$110,'Div 3'!$T$112,'Div 3'!$T$114:$T$115,'Div 3'!$T$117,'Div 3'!$T$119:$T$120,'Div 3'!$T$122,'Div 3'!$T$124:$T$125,'Div 3'!$T$127,'Div 3'!$T$129,'Div 3'!$T$131:$T$132,'Div 3'!$T$134:$T$135,'Div 3'!$T$137,'Div 3'!$T$139,'Div 3'!$T$141,'Div 3'!$T$143,'Div 3'!$T$145,'Div 3'!$T$147:$T$149,'Div 3'!$T$151:$T$154,'Div 3'!$T$156:$T$160,'Div 3'!$T$162:$T$163,'Div 3'!$T$165:$T$173,'Div 3'!$T$175:$T$176,'Div 3'!$T$178,'Div 3'!$T$180:$T$182,'Div 3'!$T$184</definedName>
    <definedName name="OSRRefT22x_0" localSheetId="71">'Div 4'!$T$29:$T$38,'Div 4'!$T$40:$T$49,'Div 4'!$T$51,'Div 4'!$T$53,'Div 4'!$T$55,'Div 4'!$T$57:$T$59,'Div 4'!$T$61,'Div 4'!$T$63,'Div 4'!$T$65,'Div 4'!$T$67,'Div 4'!$T$69,'Div 4'!$T$71,'Div 4'!$T$73,'Div 4'!$T$75:$T$77,'Div 4'!$T$79:$T$80,'Div 4'!$T$82:$T$86,'Div 4'!$T$88,'Div 4'!$T$90:$T$100,'Div 4'!$T$102:$T$103,'Div 4'!$T$105,'Div 4'!$T$107:$T$108,'Div 4'!$T$110</definedName>
    <definedName name="OSRRefT22x_0" localSheetId="93">'Div 5'!$T$21:$T$30,'Div 5'!$T$32:$T$41,'Div 5'!$T$43,'Div 5'!$T$45,'Div 5'!$T$47,'Div 5'!$T$49,'Div 5'!$T$51,'Div 5'!$T$53,'Div 5'!$T$55,'Div 5'!$T$57,'Div 5'!$T$59:$T$60,'Div 5'!$T$62</definedName>
    <definedName name="OSRRefT22x_0" localSheetId="61">'Div 6'!$T$44:$T$53,'Div 6'!$T$55:$T$64,'Div 6'!$T$66,'Div 6'!$T$68,'Div 6'!$T$70,'Div 6'!$T$72,'Div 6'!$T$74:$T$75,'Div 6'!$T$77,'Div 6'!$T$79,'Div 6'!$T$81,'Div 6'!$T$83:$T$85,'Div 6'!$T$87</definedName>
    <definedName name="OSRRefT22x_0" localSheetId="2">Summary!$T$114:$T$123,Summary!$T$125:$T$134,Summary!$T$136,Summary!$T$138:$T$139,Summary!$T$141,Summary!$T$143:$T$145,Summary!$T$147,Summary!$T$149:$T$150,Summary!$T$152,Summary!$T$154,Summary!$T$156:$T$157,Summary!$T$159:$T$160,Summary!$T$162,Summary!$T$164,Summary!$T$166,Summary!$T$168,Summary!$T$170,Summary!$T$172,Summary!$T$174:$T$177,Summary!$T$179:$T$182,Summary!$T$184:$T$188,Summary!$T$190:$T$191,Summary!$T$193:$T$203,Summary!$T$205:$T$206,Summary!$T$208,Summary!$T$210:$T$212,Summary!$T$214</definedName>
    <definedName name="OSRRefT25x_0" localSheetId="42">'202'!$T$68:$T$70</definedName>
    <definedName name="OSRRefT25x_0" localSheetId="44">'204'!$T$66</definedName>
    <definedName name="OSRRefT25x_0" localSheetId="48">'300'!$T$183:$T$186</definedName>
    <definedName name="OSRRefT25x_0" localSheetId="49">'300 &amp; 317'!$T$202:$T$206</definedName>
    <definedName name="OSRRefT25x_0" localSheetId="50">'301'!$T$91:$T$92</definedName>
    <definedName name="OSRRefT25x_0" localSheetId="53">'308'!$T$96:$T$98</definedName>
    <definedName name="OSRRefT25x_0" localSheetId="72">'310 &amp; 491'!$T$105:$T$107</definedName>
    <definedName name="OSRRefT25x_0" localSheetId="54">'311'!$T$95:$T$97</definedName>
    <definedName name="OSRRefT25x_0" localSheetId="57">'315'!$T$128:$T$130</definedName>
    <definedName name="OSRRefT25x_0" localSheetId="60">'316'!$T$70</definedName>
    <definedName name="OSRRefT25x_0" localSheetId="62">'317'!$T$90:$T$91</definedName>
    <definedName name="OSRRefT25x_0" localSheetId="56">'331'!$T$146:$T$148</definedName>
    <definedName name="OSRRefT25x_0" localSheetId="59">'332'!$T$70</definedName>
    <definedName name="OSRRefT25x_0" localSheetId="76">'411'!$T$73</definedName>
    <definedName name="OSRRefT25x_0" localSheetId="83">'423'!$T$52</definedName>
    <definedName name="OSRRefT25x_0" localSheetId="86">'455'!$T$21:$T$22</definedName>
    <definedName name="OSRRefT25x_0" localSheetId="73">'491'!$T$104:$T$106</definedName>
    <definedName name="OSRRefT25x_0" localSheetId="94">'501'!$T$65</definedName>
    <definedName name="OSRRefT25x_0" localSheetId="39">'Div 2'!$T$97:$T$99</definedName>
    <definedName name="OSRRefT25x_0" localSheetId="47">'Div 3'!$T$187:$T$190</definedName>
    <definedName name="OSRRefT25x_0" localSheetId="71">'Div 4'!$T$113:$T$115</definedName>
    <definedName name="OSRRefT25x_0" localSheetId="93">'Div 5'!$T$65</definedName>
    <definedName name="OSRRefT25x_0" localSheetId="61">'Div 6'!$T$90:$T$91</definedName>
    <definedName name="OSRRefT25x_0" localSheetId="2">Summary!$T$217:$T$223</definedName>
    <definedName name="_xlnm.Print_Area" localSheetId="38">'100'!$A$1:$Z$34</definedName>
    <definedName name="_xlnm.Print_Area" localSheetId="40">'200'!$A$1:$Z$41</definedName>
    <definedName name="_xlnm.Print_Area" localSheetId="41">'201'!$A$1:$Z$78</definedName>
    <definedName name="_xlnm.Print_Area" localSheetId="42">'202'!$A$1:$Z$82</definedName>
    <definedName name="_xlnm.Print_Area" localSheetId="43">'203'!$A$1:$Z$81</definedName>
    <definedName name="_xlnm.Print_Area" localSheetId="44">'204'!$A$1:$Z$78</definedName>
    <definedName name="_xlnm.Print_Area" localSheetId="45">'205'!$A$1:$Z$64</definedName>
    <definedName name="_xlnm.Print_Area" localSheetId="46">'206'!$A$1:$Z$70</definedName>
    <definedName name="_xlnm.Print_Area" localSheetId="48">'300'!$A$1:$Z$198</definedName>
    <definedName name="_xlnm.Print_Area" localSheetId="49">'300 &amp; 317'!$A$1:$Z$218</definedName>
    <definedName name="_xlnm.Print_Area" localSheetId="50">'301'!$A$1:$Z$104</definedName>
    <definedName name="_xlnm.Print_Area" localSheetId="52">'307'!$A$1:$Z$72</definedName>
    <definedName name="_xlnm.Print_Area" localSheetId="53">'308'!$A$1:$Z$110</definedName>
    <definedName name="_xlnm.Print_Area" localSheetId="65">'309'!$A$1:$Z$62</definedName>
    <definedName name="_xlnm.Print_Area" localSheetId="64">'310'!$A$1:$Z$91</definedName>
    <definedName name="_xlnm.Print_Area" localSheetId="72">'310 &amp; 491'!$A$1:$Z$119</definedName>
    <definedName name="_xlnm.Print_Area" localSheetId="54">'311'!$A$1:$Z$109</definedName>
    <definedName name="_xlnm.Print_Area" localSheetId="66">'313'!$A$1:$Z$70</definedName>
    <definedName name="_xlnm.Print_Area" localSheetId="57">'315'!$A$1:$Z$142</definedName>
    <definedName name="_xlnm.Print_Area" localSheetId="60">'316'!$A$1:$Z$82</definedName>
    <definedName name="_xlnm.Print_Area" localSheetId="62">'317'!$A$1:$Z$103</definedName>
    <definedName name="_xlnm.Print_Area" localSheetId="63">'318'!$A$1:$Z$32</definedName>
    <definedName name="_xlnm.Print_Area" localSheetId="67">'321'!$A$1:$Z$65</definedName>
    <definedName name="_xlnm.Print_Area" localSheetId="68">'322'!$A$1:$Z$74</definedName>
    <definedName name="_xlnm.Print_Area" localSheetId="55">'324'!$A$1:$Z$59</definedName>
    <definedName name="_xlnm.Print_Area" localSheetId="69">'325'!$A$1:$Z$81</definedName>
    <definedName name="_xlnm.Print_Area" localSheetId="58">'326'!$A$1:$Z$120</definedName>
    <definedName name="_xlnm.Print_Area" localSheetId="70">'327'!$A$1:$Z$36</definedName>
    <definedName name="_xlnm.Print_Area" localSheetId="51">'330'!$A$1:$Z$72</definedName>
    <definedName name="_xlnm.Print_Area" localSheetId="56">'331'!$A$1:$Z$160</definedName>
    <definedName name="_xlnm.Print_Area" localSheetId="59">'332'!$A$1:$Z$82</definedName>
    <definedName name="_xlnm.Print_Area" localSheetId="74">'405'!$A$1:$Z$94</definedName>
    <definedName name="_xlnm.Print_Area" localSheetId="75">'406'!$A$1:$Z$40</definedName>
    <definedName name="_xlnm.Print_Area" localSheetId="76">'411'!$A$1:$Z$85</definedName>
    <definedName name="_xlnm.Print_Area" localSheetId="77">'412'!$A$1:$Z$84</definedName>
    <definedName name="_xlnm.Print_Area" localSheetId="78">'413'!$A$1:$Z$71</definedName>
    <definedName name="_xlnm.Print_Area" localSheetId="79">'414'!$A$1:$Z$81</definedName>
    <definedName name="_xlnm.Print_Area" localSheetId="80">'415'!$A$1:$Z$94</definedName>
    <definedName name="_xlnm.Print_Area" localSheetId="81">'418'!$A$1:$Z$82</definedName>
    <definedName name="_xlnm.Print_Area" localSheetId="82">'420'!$A$1:$Z$32</definedName>
    <definedName name="_xlnm.Print_Area" localSheetId="83">'423'!$A$1:$Z$64</definedName>
    <definedName name="_xlnm.Print_Area" localSheetId="84">'424'!$A$1:$Z$38</definedName>
    <definedName name="_xlnm.Print_Area" localSheetId="85">'425'!$A$1:$Z$44</definedName>
    <definedName name="_xlnm.Print_Area" localSheetId="88">'430'!$A$1:$Z$64</definedName>
    <definedName name="_xlnm.Print_Area" localSheetId="89">'433'!$A$1:$Z$91</definedName>
    <definedName name="_xlnm.Print_Area" localSheetId="90">'435'!$A$1:$Z$34</definedName>
    <definedName name="_xlnm.Print_Area" localSheetId="91">'444'!$A$1:$Z$75</definedName>
    <definedName name="_xlnm.Print_Area" localSheetId="92">'450'!$A$1:$Z$75</definedName>
    <definedName name="_xlnm.Print_Area" localSheetId="86">'455'!$A$1:$Z$34</definedName>
    <definedName name="_xlnm.Print_Area" localSheetId="73">'491'!$A$1:$Z$118</definedName>
    <definedName name="_xlnm.Print_Area" localSheetId="87">'492'!$A$1:$Z$103</definedName>
    <definedName name="_xlnm.Print_Area" localSheetId="94">'501'!$A$1:$Z$77</definedName>
    <definedName name="_xlnm.Print_Area" localSheetId="95">Dept!$A$1:$Z$39</definedName>
    <definedName name="_xlnm.Print_Area" localSheetId="37">'Div 1'!$A$1:$Z$34</definedName>
    <definedName name="_xlnm.Print_Area" localSheetId="39">'Div 2'!$A$1:$Z$111</definedName>
    <definedName name="_xlnm.Print_Area" localSheetId="47">'Div 3'!$A$1:$Z$202</definedName>
    <definedName name="_xlnm.Print_Area" localSheetId="71">'Div 4'!$A$1:$Z$127</definedName>
    <definedName name="_xlnm.Print_Area" localSheetId="93">'Div 5'!$A$1:$Z$77</definedName>
    <definedName name="_xlnm.Print_Area" localSheetId="61">'Div 6'!$A$1:$Z$103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6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7">'OSR_Summary (...56e5d78f_5JEYZH'!$A$1:$Z$39</definedName>
    <definedName name="_xlnm.Print_Area" localSheetId="3">OSR_Summary_18VAVWG!$A$1:$Z$39</definedName>
    <definedName name="_xlnm.Print_Area" localSheetId="2">Summary!$A$1:$Z$237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2">'310 &amp; 491'!$A:$C,'310 &amp; 491'!$1:$10</definedName>
    <definedName name="_xlnm.Print_Titles" localSheetId="54">'311'!$A:$C,'311'!$1:$10</definedName>
    <definedName name="_xlnm.Print_Titles" localSheetId="66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3">'318'!$A:$C,'318'!$1:$10</definedName>
    <definedName name="_xlnm.Print_Titles" localSheetId="67">'321'!$A:$C,'321'!$1:$10</definedName>
    <definedName name="_xlnm.Print_Titles" localSheetId="68">'322'!$A:$C,'322'!$1:$10</definedName>
    <definedName name="_xlnm.Print_Titles" localSheetId="55">'324'!$A:$C,'324'!$1:$10</definedName>
    <definedName name="_xlnm.Print_Titles" localSheetId="69">'325'!$A:$C,'325'!$1:$10</definedName>
    <definedName name="_xlnm.Print_Titles" localSheetId="58">'326'!$A:$C,'326'!$1:$10</definedName>
    <definedName name="_xlnm.Print_Titles" localSheetId="70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4">'405'!$A:$C,'405'!$1:$10</definedName>
    <definedName name="_xlnm.Print_Titles" localSheetId="75">'406'!$A:$C,'406'!$1:$10</definedName>
    <definedName name="_xlnm.Print_Titles" localSheetId="76">'411'!$A:$C,'411'!$1:$10</definedName>
    <definedName name="_xlnm.Print_Titles" localSheetId="77">'412'!$A:$C,'412'!$1:$10</definedName>
    <definedName name="_xlnm.Print_Titles" localSheetId="78">'413'!$A:$C,'413'!$1:$10</definedName>
    <definedName name="_xlnm.Print_Titles" localSheetId="79">'414'!$A:$C,'414'!$1:$10</definedName>
    <definedName name="_xlnm.Print_Titles" localSheetId="80">'415'!$A:$C,'415'!$1:$10</definedName>
    <definedName name="_xlnm.Print_Titles" localSheetId="81">'418'!$A:$C,'418'!$1:$10</definedName>
    <definedName name="_xlnm.Print_Titles" localSheetId="82">'420'!$A:$C,'420'!$1:$10</definedName>
    <definedName name="_xlnm.Print_Titles" localSheetId="83">'423'!$A:$C,'423'!$1:$10</definedName>
    <definedName name="_xlnm.Print_Titles" localSheetId="84">'424'!$A:$C,'424'!$1:$10</definedName>
    <definedName name="_xlnm.Print_Titles" localSheetId="85">'425'!$A:$C,'425'!$1:$10</definedName>
    <definedName name="_xlnm.Print_Titles" localSheetId="88">'430'!$A:$C,'430'!$1:$10</definedName>
    <definedName name="_xlnm.Print_Titles" localSheetId="89">'433'!$A:$C,'433'!$1:$10</definedName>
    <definedName name="_xlnm.Print_Titles" localSheetId="90">'435'!$A:$C,'435'!$1:$10</definedName>
    <definedName name="_xlnm.Print_Titles" localSheetId="91">'444'!$A:$C,'444'!$1:$10</definedName>
    <definedName name="_xlnm.Print_Titles" localSheetId="92">'450'!$A:$C,'450'!$1:$10</definedName>
    <definedName name="_xlnm.Print_Titles" localSheetId="86">'455'!$A:$C,'455'!$1:$10</definedName>
    <definedName name="_xlnm.Print_Titles" localSheetId="73">'491'!$A:$C,'491'!$1:$10</definedName>
    <definedName name="_xlnm.Print_Titles" localSheetId="87">'492'!$A:$C,'492'!$1:$10</definedName>
    <definedName name="_xlnm.Print_Titles" localSheetId="94">'501'!$A:$C,'501'!$1:$10</definedName>
    <definedName name="_xlnm.Print_Titles" localSheetId="95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1">'Div 4'!$A:$C,'Div 4'!$1:$10</definedName>
    <definedName name="_xlnm.Print_Titles" localSheetId="93">'Div 5'!$A:$C,'Div 5'!$1:$10</definedName>
    <definedName name="_xlnm.Print_Titles" localSheetId="61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6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7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69" i="109" l="1"/>
  <c r="X69" i="109"/>
  <c r="L69" i="109"/>
  <c r="N69" i="109" s="1"/>
  <c r="P65" i="109"/>
  <c r="X65" i="109" s="1"/>
  <c r="Z65" i="109" s="1"/>
  <c r="D65" i="109"/>
  <c r="B65" i="109"/>
  <c r="T64" i="109"/>
  <c r="P64" i="109"/>
  <c r="X64" i="109" s="1"/>
  <c r="H64" i="109"/>
  <c r="X62" i="109"/>
  <c r="Z62" i="109" s="1"/>
  <c r="L62" i="109"/>
  <c r="N62" i="109" s="1"/>
  <c r="B62" i="109"/>
  <c r="X61" i="109"/>
  <c r="Z61" i="109" s="1"/>
  <c r="T61" i="109"/>
  <c r="P61" i="109"/>
  <c r="H61" i="109"/>
  <c r="D61" i="109"/>
  <c r="L61" i="109" s="1"/>
  <c r="B61" i="109"/>
  <c r="Z60" i="109"/>
  <c r="X60" i="109"/>
  <c r="N60" i="109"/>
  <c r="L60" i="109"/>
  <c r="B60" i="109"/>
  <c r="X59" i="109"/>
  <c r="Z59" i="109" s="1"/>
  <c r="N59" i="109"/>
  <c r="L59" i="109"/>
  <c r="B59" i="109"/>
  <c r="T58" i="109"/>
  <c r="P58" i="109"/>
  <c r="X58" i="109" s="1"/>
  <c r="N58" i="109"/>
  <c r="L58" i="109"/>
  <c r="H58" i="109"/>
  <c r="D58" i="109"/>
  <c r="B58" i="109"/>
  <c r="X57" i="109"/>
  <c r="Z57" i="109" s="1"/>
  <c r="L57" i="109"/>
  <c r="N57" i="109" s="1"/>
  <c r="B57" i="109"/>
  <c r="X56" i="109"/>
  <c r="V56" i="109"/>
  <c r="T56" i="109"/>
  <c r="Z56" i="109" s="1"/>
  <c r="P56" i="109"/>
  <c r="H56" i="109"/>
  <c r="D56" i="109"/>
  <c r="L56" i="109" s="1"/>
  <c r="N56" i="109" s="1"/>
  <c r="B56" i="109"/>
  <c r="X55" i="109"/>
  <c r="Z55" i="109" s="1"/>
  <c r="L55" i="109"/>
  <c r="N55" i="109" s="1"/>
  <c r="J55" i="109"/>
  <c r="B55" i="109"/>
  <c r="X54" i="109"/>
  <c r="T54" i="109"/>
  <c r="P54" i="109"/>
  <c r="H54" i="109"/>
  <c r="D54" i="109"/>
  <c r="L54" i="109" s="1"/>
  <c r="B54" i="109"/>
  <c r="Z53" i="109"/>
  <c r="X53" i="109"/>
  <c r="L53" i="109"/>
  <c r="N53" i="109" s="1"/>
  <c r="B53" i="109"/>
  <c r="T52" i="109"/>
  <c r="X52" i="109" s="1"/>
  <c r="P52" i="109"/>
  <c r="N52" i="109"/>
  <c r="H52" i="109"/>
  <c r="D52" i="109"/>
  <c r="L52" i="109" s="1"/>
  <c r="B52" i="109"/>
  <c r="X51" i="109"/>
  <c r="Z51" i="109" s="1"/>
  <c r="V51" i="109"/>
  <c r="L51" i="109"/>
  <c r="N51" i="109" s="1"/>
  <c r="B51" i="109"/>
  <c r="V50" i="109"/>
  <c r="T50" i="109"/>
  <c r="P50" i="109"/>
  <c r="X50" i="109" s="1"/>
  <c r="Z50" i="109" s="1"/>
  <c r="N50" i="109"/>
  <c r="H50" i="109"/>
  <c r="D50" i="109"/>
  <c r="L50" i="109" s="1"/>
  <c r="B50" i="109"/>
  <c r="X49" i="109"/>
  <c r="Z49" i="109" s="1"/>
  <c r="N49" i="109"/>
  <c r="L49" i="109"/>
  <c r="B49" i="109"/>
  <c r="T48" i="109"/>
  <c r="P48" i="109"/>
  <c r="H48" i="109"/>
  <c r="D48" i="109"/>
  <c r="L48" i="109" s="1"/>
  <c r="N48" i="109" s="1"/>
  <c r="B48" i="109"/>
  <c r="Z47" i="109"/>
  <c r="X47" i="109"/>
  <c r="V47" i="109"/>
  <c r="L47" i="109"/>
  <c r="N47" i="109" s="1"/>
  <c r="B47" i="109"/>
  <c r="T46" i="109"/>
  <c r="X46" i="109" s="1"/>
  <c r="Z46" i="109" s="1"/>
  <c r="P46" i="109"/>
  <c r="H46" i="109"/>
  <c r="N46" i="109" s="1"/>
  <c r="D46" i="109"/>
  <c r="L46" i="109" s="1"/>
  <c r="B46" i="109"/>
  <c r="Z45" i="109"/>
  <c r="X45" i="109"/>
  <c r="V45" i="109"/>
  <c r="R45" i="109"/>
  <c r="N45" i="109"/>
  <c r="L45" i="109"/>
  <c r="B45" i="109"/>
  <c r="T44" i="109"/>
  <c r="Z44" i="109" s="1"/>
  <c r="P44" i="109"/>
  <c r="X44" i="109" s="1"/>
  <c r="L44" i="109"/>
  <c r="N44" i="109" s="1"/>
  <c r="J44" i="109"/>
  <c r="H44" i="109"/>
  <c r="D44" i="109"/>
  <c r="B44" i="109"/>
  <c r="X43" i="109"/>
  <c r="Z43" i="109" s="1"/>
  <c r="N43" i="109"/>
  <c r="L43" i="109"/>
  <c r="B43" i="109"/>
  <c r="X42" i="109"/>
  <c r="Z42" i="109" s="1"/>
  <c r="V42" i="109"/>
  <c r="T42" i="109"/>
  <c r="P42" i="109"/>
  <c r="H42" i="109"/>
  <c r="D42" i="109"/>
  <c r="B42" i="109"/>
  <c r="Z41" i="109"/>
  <c r="X41" i="109"/>
  <c r="N41" i="109"/>
  <c r="L41" i="109"/>
  <c r="B41" i="109"/>
  <c r="Z40" i="109"/>
  <c r="X40" i="109"/>
  <c r="N40" i="109"/>
  <c r="L40" i="109"/>
  <c r="B40" i="109"/>
  <c r="Z39" i="109"/>
  <c r="X39" i="109"/>
  <c r="N39" i="109"/>
  <c r="L39" i="109"/>
  <c r="J39" i="109"/>
  <c r="B39" i="109"/>
  <c r="Z38" i="109"/>
  <c r="X38" i="109"/>
  <c r="N38" i="109"/>
  <c r="L38" i="109"/>
  <c r="B38" i="109"/>
  <c r="Z37" i="109"/>
  <c r="X37" i="109"/>
  <c r="R37" i="109"/>
  <c r="N37" i="109"/>
  <c r="L37" i="109"/>
  <c r="B37" i="109"/>
  <c r="Z36" i="109"/>
  <c r="X36" i="109"/>
  <c r="N36" i="109"/>
  <c r="L36" i="109"/>
  <c r="J36" i="109"/>
  <c r="F36" i="109"/>
  <c r="B36" i="109"/>
  <c r="Z35" i="109"/>
  <c r="X35" i="109"/>
  <c r="L35" i="109"/>
  <c r="N35" i="109" s="1"/>
  <c r="B35" i="109"/>
  <c r="Z34" i="109"/>
  <c r="X34" i="109"/>
  <c r="V34" i="109"/>
  <c r="R34" i="109"/>
  <c r="N34" i="109"/>
  <c r="L34" i="109"/>
  <c r="B34" i="109"/>
  <c r="X33" i="109"/>
  <c r="Z33" i="109" s="1"/>
  <c r="N33" i="109"/>
  <c r="L33" i="109"/>
  <c r="J33" i="109"/>
  <c r="F33" i="109"/>
  <c r="B33" i="109"/>
  <c r="Z32" i="109"/>
  <c r="X32" i="109"/>
  <c r="N32" i="109"/>
  <c r="L32" i="109"/>
  <c r="B32" i="109"/>
  <c r="X31" i="109"/>
  <c r="Z31" i="109" s="1"/>
  <c r="V31" i="109"/>
  <c r="T31" i="109"/>
  <c r="P31" i="109"/>
  <c r="L31" i="109"/>
  <c r="H31" i="109"/>
  <c r="N31" i="109" s="1"/>
  <c r="D31" i="109"/>
  <c r="B31" i="109"/>
  <c r="X30" i="109"/>
  <c r="Z30" i="109" s="1"/>
  <c r="V30" i="109"/>
  <c r="N30" i="109"/>
  <c r="L30" i="109"/>
  <c r="B30" i="109"/>
  <c r="Z29" i="109"/>
  <c r="X29" i="109"/>
  <c r="N29" i="109"/>
  <c r="L29" i="109"/>
  <c r="B29" i="109"/>
  <c r="Z28" i="109"/>
  <c r="X28" i="109"/>
  <c r="N28" i="109"/>
  <c r="L28" i="109"/>
  <c r="B28" i="109"/>
  <c r="Z27" i="109"/>
  <c r="X27" i="109"/>
  <c r="V27" i="109"/>
  <c r="N27" i="109"/>
  <c r="L27" i="109"/>
  <c r="B27" i="109"/>
  <c r="Z26" i="109"/>
  <c r="X26" i="109"/>
  <c r="V26" i="109"/>
  <c r="N26" i="109"/>
  <c r="L26" i="109"/>
  <c r="J26" i="109"/>
  <c r="B26" i="109"/>
  <c r="Z25" i="109"/>
  <c r="X25" i="109"/>
  <c r="L25" i="109"/>
  <c r="N25" i="109" s="1"/>
  <c r="B25" i="109"/>
  <c r="Z24" i="109"/>
  <c r="X24" i="109"/>
  <c r="V24" i="109"/>
  <c r="N24" i="109"/>
  <c r="L24" i="109"/>
  <c r="B24" i="109"/>
  <c r="X23" i="109"/>
  <c r="Z23" i="109" s="1"/>
  <c r="L23" i="109"/>
  <c r="N23" i="109" s="1"/>
  <c r="J23" i="109"/>
  <c r="F23" i="109"/>
  <c r="B23" i="109"/>
  <c r="Z22" i="109"/>
  <c r="X22" i="109"/>
  <c r="N22" i="109"/>
  <c r="L22" i="109"/>
  <c r="B22" i="109"/>
  <c r="Z21" i="109"/>
  <c r="X21" i="109"/>
  <c r="V21" i="109"/>
  <c r="R21" i="109"/>
  <c r="N21" i="109"/>
  <c r="L21" i="109"/>
  <c r="B21" i="109"/>
  <c r="T20" i="109"/>
  <c r="P20" i="109"/>
  <c r="X20" i="109" s="1"/>
  <c r="Z20" i="109" s="1"/>
  <c r="L20" i="109"/>
  <c r="N20" i="109" s="1"/>
  <c r="J20" i="109"/>
  <c r="H20" i="109"/>
  <c r="D20" i="109"/>
  <c r="B20" i="109"/>
  <c r="T19" i="109"/>
  <c r="P19" i="109"/>
  <c r="X19" i="109" s="1"/>
  <c r="H19" i="109"/>
  <c r="F19" i="109"/>
  <c r="D19" i="109"/>
  <c r="T17" i="109"/>
  <c r="X15" i="109"/>
  <c r="V15" i="109"/>
  <c r="T15" i="109"/>
  <c r="Z15" i="109" s="1"/>
  <c r="P15" i="109"/>
  <c r="N15" i="109"/>
  <c r="L15" i="109"/>
  <c r="H15" i="109"/>
  <c r="D15" i="109"/>
  <c r="X13" i="109"/>
  <c r="Z13" i="109" s="1"/>
  <c r="P13" i="109"/>
  <c r="P12" i="109" s="1"/>
  <c r="R40" i="109" s="1"/>
  <c r="N13" i="109"/>
  <c r="L13" i="109"/>
  <c r="D13" i="109"/>
  <c r="D12" i="109" s="1"/>
  <c r="B13" i="109"/>
  <c r="T12" i="109"/>
  <c r="V52" i="109" s="1"/>
  <c r="H12" i="109"/>
  <c r="J64" i="109" s="1"/>
  <c r="D6" i="109"/>
  <c r="D4" i="109"/>
  <c r="F31" i="108"/>
  <c r="V28" i="108"/>
  <c r="R28" i="108"/>
  <c r="F28" i="108"/>
  <c r="Z26" i="108"/>
  <c r="X26" i="108"/>
  <c r="V26" i="108"/>
  <c r="N26" i="108"/>
  <c r="L26" i="108"/>
  <c r="R24" i="108"/>
  <c r="F24" i="108"/>
  <c r="Z22" i="108"/>
  <c r="X22" i="108"/>
  <c r="P22" i="108"/>
  <c r="N22" i="108"/>
  <c r="L22" i="108"/>
  <c r="D22" i="108"/>
  <c r="B22" i="108"/>
  <c r="Z21" i="108"/>
  <c r="X21" i="108"/>
  <c r="V21" i="108"/>
  <c r="R21" i="108"/>
  <c r="P21" i="108"/>
  <c r="N21" i="108"/>
  <c r="D21" i="108"/>
  <c r="L21" i="108" s="1"/>
  <c r="B21" i="108"/>
  <c r="T20" i="108"/>
  <c r="Z20" i="108" s="1"/>
  <c r="R20" i="108"/>
  <c r="P20" i="108"/>
  <c r="X20" i="108" s="1"/>
  <c r="N20" i="108"/>
  <c r="H20" i="108"/>
  <c r="F20" i="108"/>
  <c r="D20" i="108"/>
  <c r="L20" i="108" s="1"/>
  <c r="Z18" i="108"/>
  <c r="V18" i="108"/>
  <c r="T18" i="108"/>
  <c r="R18" i="108"/>
  <c r="P18" i="108"/>
  <c r="X18" i="108" s="1"/>
  <c r="N18" i="108"/>
  <c r="L18" i="108"/>
  <c r="H18" i="108"/>
  <c r="F18" i="108"/>
  <c r="D18" i="108"/>
  <c r="P16" i="108"/>
  <c r="D16" i="108"/>
  <c r="T14" i="108"/>
  <c r="Z14" i="108" s="1"/>
  <c r="P14" i="108"/>
  <c r="N14" i="108"/>
  <c r="L14" i="108"/>
  <c r="J14" i="108"/>
  <c r="H14" i="108"/>
  <c r="F14" i="108"/>
  <c r="D14" i="108"/>
  <c r="Z12" i="108"/>
  <c r="T12" i="108"/>
  <c r="V31" i="108" s="1"/>
  <c r="P12" i="108"/>
  <c r="R14" i="108" s="1"/>
  <c r="N12" i="108"/>
  <c r="H12" i="108"/>
  <c r="J24" i="108" s="1"/>
  <c r="D12" i="108"/>
  <c r="D6" i="108"/>
  <c r="D4" i="108"/>
  <c r="F69" i="107"/>
  <c r="Z67" i="107"/>
  <c r="X67" i="107"/>
  <c r="V67" i="107"/>
  <c r="N67" i="107"/>
  <c r="L67" i="107"/>
  <c r="J65" i="107"/>
  <c r="Z63" i="107"/>
  <c r="X63" i="107"/>
  <c r="V63" i="107"/>
  <c r="T63" i="107"/>
  <c r="P63" i="107"/>
  <c r="N63" i="107"/>
  <c r="H63" i="107"/>
  <c r="F63" i="107"/>
  <c r="D63" i="107"/>
  <c r="Z61" i="107"/>
  <c r="X61" i="107"/>
  <c r="R61" i="107"/>
  <c r="L61" i="107"/>
  <c r="N61" i="107" s="1"/>
  <c r="F61" i="107"/>
  <c r="B61" i="107"/>
  <c r="Z60" i="107"/>
  <c r="T60" i="107"/>
  <c r="X60" i="107" s="1"/>
  <c r="P60" i="107"/>
  <c r="H60" i="107"/>
  <c r="F60" i="107"/>
  <c r="D60" i="107"/>
  <c r="L60" i="107" s="1"/>
  <c r="N60" i="107" s="1"/>
  <c r="B60" i="107"/>
  <c r="Z59" i="107"/>
  <c r="X59" i="107"/>
  <c r="V59" i="107"/>
  <c r="N59" i="107"/>
  <c r="L59" i="107"/>
  <c r="F59" i="107"/>
  <c r="B59" i="107"/>
  <c r="Z58" i="107"/>
  <c r="X58" i="107"/>
  <c r="V58" i="107"/>
  <c r="L58" i="107"/>
  <c r="N58" i="107" s="1"/>
  <c r="B58" i="107"/>
  <c r="T57" i="107"/>
  <c r="R57" i="107"/>
  <c r="P57" i="107"/>
  <c r="X57" i="107" s="1"/>
  <c r="H57" i="107"/>
  <c r="D57" i="107"/>
  <c r="L57" i="107" s="1"/>
  <c r="N57" i="107" s="1"/>
  <c r="B57" i="107"/>
  <c r="Z56" i="107"/>
  <c r="X56" i="107"/>
  <c r="V56" i="107"/>
  <c r="R56" i="107"/>
  <c r="N56" i="107"/>
  <c r="L56" i="107"/>
  <c r="F56" i="107"/>
  <c r="B56" i="107"/>
  <c r="T55" i="107"/>
  <c r="Z55" i="107" s="1"/>
  <c r="P55" i="107"/>
  <c r="X55" i="107" s="1"/>
  <c r="L55" i="107"/>
  <c r="N55" i="107" s="1"/>
  <c r="H55" i="107"/>
  <c r="F55" i="107"/>
  <c r="D55" i="107"/>
  <c r="B55" i="107"/>
  <c r="Z54" i="107"/>
  <c r="X54" i="107"/>
  <c r="V54" i="107"/>
  <c r="L54" i="107"/>
  <c r="N54" i="107" s="1"/>
  <c r="F54" i="107"/>
  <c r="B54" i="107"/>
  <c r="Z53" i="107"/>
  <c r="X53" i="107"/>
  <c r="R53" i="107"/>
  <c r="L53" i="107"/>
  <c r="N53" i="107" s="1"/>
  <c r="F53" i="107"/>
  <c r="B53" i="107"/>
  <c r="Z52" i="107"/>
  <c r="X52" i="107"/>
  <c r="R52" i="107"/>
  <c r="N52" i="107"/>
  <c r="L52" i="107"/>
  <c r="J52" i="107"/>
  <c r="B52" i="107"/>
  <c r="X51" i="107"/>
  <c r="V51" i="107"/>
  <c r="T51" i="107"/>
  <c r="R51" i="107"/>
  <c r="P51" i="107"/>
  <c r="H51" i="107"/>
  <c r="D51" i="107"/>
  <c r="B51" i="107"/>
  <c r="X50" i="107"/>
  <c r="Z50" i="107" s="1"/>
  <c r="V50" i="107"/>
  <c r="R50" i="107"/>
  <c r="L50" i="107"/>
  <c r="N50" i="107" s="1"/>
  <c r="B50" i="107"/>
  <c r="T49" i="107"/>
  <c r="R49" i="107"/>
  <c r="P49" i="107"/>
  <c r="X49" i="107" s="1"/>
  <c r="J49" i="107"/>
  <c r="H49" i="107"/>
  <c r="D49" i="107"/>
  <c r="L49" i="107" s="1"/>
  <c r="N49" i="107" s="1"/>
  <c r="B49" i="107"/>
  <c r="Z48" i="107"/>
  <c r="X48" i="107"/>
  <c r="V48" i="107"/>
  <c r="R48" i="107"/>
  <c r="N48" i="107"/>
  <c r="L48" i="107"/>
  <c r="F48" i="107"/>
  <c r="B48" i="107"/>
  <c r="X47" i="107"/>
  <c r="T47" i="107"/>
  <c r="Z47" i="107" s="1"/>
  <c r="P47" i="107"/>
  <c r="L47" i="107"/>
  <c r="N47" i="107" s="1"/>
  <c r="H47" i="107"/>
  <c r="F47" i="107"/>
  <c r="D47" i="107"/>
  <c r="B47" i="107"/>
  <c r="Z46" i="107"/>
  <c r="X46" i="107"/>
  <c r="V46" i="107"/>
  <c r="L46" i="107"/>
  <c r="N46" i="107" s="1"/>
  <c r="F46" i="107"/>
  <c r="B46" i="107"/>
  <c r="T45" i="107"/>
  <c r="P45" i="107"/>
  <c r="H45" i="107"/>
  <c r="F45" i="107"/>
  <c r="D45" i="107"/>
  <c r="B45" i="107"/>
  <c r="Z44" i="107"/>
  <c r="X44" i="107"/>
  <c r="V44" i="107"/>
  <c r="N44" i="107"/>
  <c r="L44" i="107"/>
  <c r="F44" i="107"/>
  <c r="B44" i="107"/>
  <c r="V43" i="107"/>
  <c r="T43" i="107"/>
  <c r="P43" i="107"/>
  <c r="X43" i="107" s="1"/>
  <c r="Z43" i="107" s="1"/>
  <c r="L43" i="107"/>
  <c r="H43" i="107"/>
  <c r="F43" i="107"/>
  <c r="D43" i="107"/>
  <c r="B43" i="107"/>
  <c r="X42" i="107"/>
  <c r="Z42" i="107" s="1"/>
  <c r="N42" i="107"/>
  <c r="L42" i="107"/>
  <c r="B42" i="107"/>
  <c r="X41" i="107"/>
  <c r="Z41" i="107" s="1"/>
  <c r="V41" i="107"/>
  <c r="T41" i="107"/>
  <c r="R41" i="107"/>
  <c r="P41" i="107"/>
  <c r="H41" i="107"/>
  <c r="D41" i="107"/>
  <c r="B41" i="107"/>
  <c r="Z40" i="107"/>
  <c r="X40" i="107"/>
  <c r="R40" i="107"/>
  <c r="N40" i="107"/>
  <c r="L40" i="107"/>
  <c r="B40" i="107"/>
  <c r="Z39" i="107"/>
  <c r="X39" i="107"/>
  <c r="V39" i="107"/>
  <c r="R39" i="107"/>
  <c r="N39" i="107"/>
  <c r="L39" i="107"/>
  <c r="F39" i="107"/>
  <c r="B39" i="107"/>
  <c r="Z38" i="107"/>
  <c r="X38" i="107"/>
  <c r="V38" i="107"/>
  <c r="N38" i="107"/>
  <c r="L38" i="107"/>
  <c r="F38" i="107"/>
  <c r="B38" i="107"/>
  <c r="Z37" i="107"/>
  <c r="X37" i="107"/>
  <c r="R37" i="107"/>
  <c r="N37" i="107"/>
  <c r="L37" i="107"/>
  <c r="F37" i="107"/>
  <c r="B37" i="107"/>
  <c r="Z36" i="107"/>
  <c r="X36" i="107"/>
  <c r="R36" i="107"/>
  <c r="N36" i="107"/>
  <c r="L36" i="107"/>
  <c r="B36" i="107"/>
  <c r="Z35" i="107"/>
  <c r="X35" i="107"/>
  <c r="V35" i="107"/>
  <c r="R35" i="107"/>
  <c r="N35" i="107"/>
  <c r="L35" i="107"/>
  <c r="F35" i="107"/>
  <c r="B35" i="107"/>
  <c r="Z34" i="107"/>
  <c r="X34" i="107"/>
  <c r="V34" i="107"/>
  <c r="L34" i="107"/>
  <c r="N34" i="107" s="1"/>
  <c r="J34" i="107"/>
  <c r="F34" i="107"/>
  <c r="B34" i="107"/>
  <c r="Z33" i="107"/>
  <c r="X33" i="107"/>
  <c r="R33" i="107"/>
  <c r="N33" i="107"/>
  <c r="L33" i="107"/>
  <c r="F33" i="107"/>
  <c r="B33" i="107"/>
  <c r="X32" i="107"/>
  <c r="Z32" i="107" s="1"/>
  <c r="R32" i="107"/>
  <c r="N32" i="107"/>
  <c r="L32" i="107"/>
  <c r="J32" i="107"/>
  <c r="B32" i="107"/>
  <c r="Z31" i="107"/>
  <c r="X31" i="107"/>
  <c r="V31" i="107"/>
  <c r="R31" i="107"/>
  <c r="N31" i="107"/>
  <c r="L31" i="107"/>
  <c r="J31" i="107"/>
  <c r="F31" i="107"/>
  <c r="B31" i="107"/>
  <c r="Z30" i="107"/>
  <c r="V30" i="107"/>
  <c r="T30" i="107"/>
  <c r="R30" i="107"/>
  <c r="P30" i="107"/>
  <c r="X30" i="107" s="1"/>
  <c r="H30" i="107"/>
  <c r="F30" i="107"/>
  <c r="D30" i="107"/>
  <c r="B30" i="107"/>
  <c r="Z29" i="107"/>
  <c r="X29" i="107"/>
  <c r="R29" i="107"/>
  <c r="N29" i="107"/>
  <c r="L29" i="107"/>
  <c r="F29" i="107"/>
  <c r="B29" i="107"/>
  <c r="Z28" i="107"/>
  <c r="X28" i="107"/>
  <c r="V28" i="107"/>
  <c r="N28" i="107"/>
  <c r="L28" i="107"/>
  <c r="F28" i="107"/>
  <c r="B28" i="107"/>
  <c r="Z27" i="107"/>
  <c r="X27" i="107"/>
  <c r="V27" i="107"/>
  <c r="L27" i="107"/>
  <c r="N27" i="107" s="1"/>
  <c r="F27" i="107"/>
  <c r="B27" i="107"/>
  <c r="Z26" i="107"/>
  <c r="X26" i="107"/>
  <c r="V26" i="107"/>
  <c r="R26" i="107"/>
  <c r="N26" i="107"/>
  <c r="L26" i="107"/>
  <c r="F26" i="107"/>
  <c r="B26" i="107"/>
  <c r="Z25" i="107"/>
  <c r="X25" i="107"/>
  <c r="R25" i="107"/>
  <c r="N25" i="107"/>
  <c r="L25" i="107"/>
  <c r="J25" i="107"/>
  <c r="F25" i="107"/>
  <c r="B25" i="107"/>
  <c r="Z24" i="107"/>
  <c r="X24" i="107"/>
  <c r="V24" i="107"/>
  <c r="N24" i="107"/>
  <c r="L24" i="107"/>
  <c r="F24" i="107"/>
  <c r="B24" i="107"/>
  <c r="Z23" i="107"/>
  <c r="X23" i="107"/>
  <c r="V23" i="107"/>
  <c r="L23" i="107"/>
  <c r="N23" i="107" s="1"/>
  <c r="F23" i="107"/>
  <c r="B23" i="107"/>
  <c r="Z22" i="107"/>
  <c r="X22" i="107"/>
  <c r="V22" i="107"/>
  <c r="R22" i="107"/>
  <c r="L22" i="107"/>
  <c r="N22" i="107" s="1"/>
  <c r="F22" i="107"/>
  <c r="B22" i="107"/>
  <c r="X21" i="107"/>
  <c r="Z21" i="107" s="1"/>
  <c r="R21" i="107"/>
  <c r="L21" i="107"/>
  <c r="N21" i="107" s="1"/>
  <c r="F21" i="107"/>
  <c r="B21" i="107"/>
  <c r="Z20" i="107"/>
  <c r="X20" i="107"/>
  <c r="V20" i="107"/>
  <c r="N20" i="107"/>
  <c r="L20" i="107"/>
  <c r="J20" i="107"/>
  <c r="F20" i="107"/>
  <c r="B20" i="107"/>
  <c r="Z19" i="107"/>
  <c r="V19" i="107"/>
  <c r="T19" i="107"/>
  <c r="P19" i="107"/>
  <c r="X19" i="107" s="1"/>
  <c r="H19" i="107"/>
  <c r="F19" i="107"/>
  <c r="D19" i="107"/>
  <c r="L19" i="107" s="1"/>
  <c r="B19" i="107"/>
  <c r="X18" i="107"/>
  <c r="T18" i="107"/>
  <c r="R18" i="107"/>
  <c r="P18" i="107"/>
  <c r="N18" i="107"/>
  <c r="H18" i="107"/>
  <c r="F18" i="107"/>
  <c r="D18" i="107"/>
  <c r="L18" i="107" s="1"/>
  <c r="R16" i="107"/>
  <c r="J16" i="107"/>
  <c r="F16" i="107"/>
  <c r="X14" i="107"/>
  <c r="T14" i="107"/>
  <c r="Z14" i="107" s="1"/>
  <c r="R14" i="107"/>
  <c r="P14" i="107"/>
  <c r="H14" i="107"/>
  <c r="N14" i="107" s="1"/>
  <c r="F14" i="107"/>
  <c r="D14" i="107"/>
  <c r="X12" i="107"/>
  <c r="T12" i="107"/>
  <c r="V69" i="107" s="1"/>
  <c r="P12" i="107"/>
  <c r="R67" i="107" s="1"/>
  <c r="N12" i="107"/>
  <c r="H12" i="107"/>
  <c r="J44" i="107" s="1"/>
  <c r="D12" i="107"/>
  <c r="F65" i="107" s="1"/>
  <c r="D6" i="107"/>
  <c r="D4" i="107"/>
  <c r="R69" i="105"/>
  <c r="Z67" i="105"/>
  <c r="X67" i="105"/>
  <c r="N67" i="105"/>
  <c r="L67" i="105"/>
  <c r="T63" i="105"/>
  <c r="Z63" i="105" s="1"/>
  <c r="P63" i="105"/>
  <c r="N63" i="105"/>
  <c r="J63" i="105"/>
  <c r="H63" i="105"/>
  <c r="D63" i="105"/>
  <c r="L63" i="105" s="1"/>
  <c r="Z61" i="105"/>
  <c r="X61" i="105"/>
  <c r="N61" i="105"/>
  <c r="L61" i="105"/>
  <c r="B61" i="105"/>
  <c r="X60" i="105"/>
  <c r="Z60" i="105" s="1"/>
  <c r="N60" i="105"/>
  <c r="L60" i="105"/>
  <c r="B60" i="105"/>
  <c r="T59" i="105"/>
  <c r="R59" i="105"/>
  <c r="P59" i="105"/>
  <c r="X59" i="105" s="1"/>
  <c r="L59" i="105"/>
  <c r="H59" i="105"/>
  <c r="D59" i="105"/>
  <c r="B59" i="105"/>
  <c r="X58" i="105"/>
  <c r="Z58" i="105" s="1"/>
  <c r="N58" i="105"/>
  <c r="L58" i="105"/>
  <c r="J58" i="105"/>
  <c r="B58" i="105"/>
  <c r="Z57" i="105"/>
  <c r="X57" i="105"/>
  <c r="N57" i="105"/>
  <c r="L57" i="105"/>
  <c r="B57" i="105"/>
  <c r="Z56" i="105"/>
  <c r="X56" i="105"/>
  <c r="V56" i="105"/>
  <c r="R56" i="105"/>
  <c r="L56" i="105"/>
  <c r="N56" i="105" s="1"/>
  <c r="B56" i="105"/>
  <c r="Z55" i="105"/>
  <c r="X55" i="105"/>
  <c r="T55" i="105"/>
  <c r="P55" i="105"/>
  <c r="H55" i="105"/>
  <c r="D55" i="105"/>
  <c r="L55" i="105" s="1"/>
  <c r="N55" i="105" s="1"/>
  <c r="B55" i="105"/>
  <c r="Z54" i="105"/>
  <c r="X54" i="105"/>
  <c r="V54" i="105"/>
  <c r="N54" i="105"/>
  <c r="L54" i="105"/>
  <c r="B54" i="105"/>
  <c r="Z53" i="105"/>
  <c r="X53" i="105"/>
  <c r="V53" i="105"/>
  <c r="R53" i="105"/>
  <c r="L53" i="105"/>
  <c r="N53" i="105" s="1"/>
  <c r="B53" i="105"/>
  <c r="X52" i="105"/>
  <c r="Z52" i="105" s="1"/>
  <c r="N52" i="105"/>
  <c r="L52" i="105"/>
  <c r="B52" i="105"/>
  <c r="X51" i="105"/>
  <c r="Z51" i="105" s="1"/>
  <c r="V51" i="105"/>
  <c r="T51" i="105"/>
  <c r="R51" i="105"/>
  <c r="P51" i="105"/>
  <c r="L51" i="105"/>
  <c r="H51" i="105"/>
  <c r="N51" i="105" s="1"/>
  <c r="D51" i="105"/>
  <c r="B51" i="105"/>
  <c r="Z50" i="105"/>
  <c r="X50" i="105"/>
  <c r="R50" i="105"/>
  <c r="L50" i="105"/>
  <c r="N50" i="105" s="1"/>
  <c r="B50" i="105"/>
  <c r="X49" i="105"/>
  <c r="Z49" i="105" s="1"/>
  <c r="N49" i="105"/>
  <c r="L49" i="105"/>
  <c r="B49" i="105"/>
  <c r="X48" i="105"/>
  <c r="Z48" i="105" s="1"/>
  <c r="V48" i="105"/>
  <c r="N48" i="105"/>
  <c r="L48" i="105"/>
  <c r="B48" i="105"/>
  <c r="Z47" i="105"/>
  <c r="T47" i="105"/>
  <c r="P47" i="105"/>
  <c r="X47" i="105" s="1"/>
  <c r="H47" i="105"/>
  <c r="D47" i="105"/>
  <c r="B47" i="105"/>
  <c r="X46" i="105"/>
  <c r="Z46" i="105" s="1"/>
  <c r="V46" i="105"/>
  <c r="N46" i="105"/>
  <c r="L46" i="105"/>
  <c r="B46" i="105"/>
  <c r="Z45" i="105"/>
  <c r="T45" i="105"/>
  <c r="R45" i="105"/>
  <c r="P45" i="105"/>
  <c r="X45" i="105" s="1"/>
  <c r="H45" i="105"/>
  <c r="D45" i="105"/>
  <c r="L45" i="105" s="1"/>
  <c r="N45" i="105" s="1"/>
  <c r="B45" i="105"/>
  <c r="Z44" i="105"/>
  <c r="X44" i="105"/>
  <c r="N44" i="105"/>
  <c r="L44" i="105"/>
  <c r="B44" i="105"/>
  <c r="V43" i="105"/>
  <c r="T43" i="105"/>
  <c r="R43" i="105"/>
  <c r="P43" i="105"/>
  <c r="L43" i="105"/>
  <c r="H43" i="105"/>
  <c r="N43" i="105" s="1"/>
  <c r="D43" i="105"/>
  <c r="B43" i="105"/>
  <c r="Z42" i="105"/>
  <c r="X42" i="105"/>
  <c r="V42" i="105"/>
  <c r="R42" i="105"/>
  <c r="N42" i="105"/>
  <c r="L42" i="105"/>
  <c r="B42" i="105"/>
  <c r="V41" i="105"/>
  <c r="T41" i="105"/>
  <c r="Z41" i="105" s="1"/>
  <c r="R41" i="105"/>
  <c r="P41" i="105"/>
  <c r="X41" i="105" s="1"/>
  <c r="N41" i="105"/>
  <c r="H41" i="105"/>
  <c r="D41" i="105"/>
  <c r="L41" i="105" s="1"/>
  <c r="B41" i="105"/>
  <c r="Z40" i="105"/>
  <c r="X40" i="105"/>
  <c r="V40" i="105"/>
  <c r="N40" i="105"/>
  <c r="L40" i="105"/>
  <c r="B40" i="105"/>
  <c r="Z39" i="105"/>
  <c r="X39" i="105"/>
  <c r="V39" i="105"/>
  <c r="N39" i="105"/>
  <c r="L39" i="105"/>
  <c r="B39" i="105"/>
  <c r="Z38" i="105"/>
  <c r="X38" i="105"/>
  <c r="N38" i="105"/>
  <c r="L38" i="105"/>
  <c r="B38" i="105"/>
  <c r="Z37" i="105"/>
  <c r="X37" i="105"/>
  <c r="V37" i="105"/>
  <c r="N37" i="105"/>
  <c r="L37" i="105"/>
  <c r="B37" i="105"/>
  <c r="Z36" i="105"/>
  <c r="X36" i="105"/>
  <c r="N36" i="105"/>
  <c r="L36" i="105"/>
  <c r="B36" i="105"/>
  <c r="Z35" i="105"/>
  <c r="X35" i="105"/>
  <c r="R35" i="105"/>
  <c r="N35" i="105"/>
  <c r="L35" i="105"/>
  <c r="B35" i="105"/>
  <c r="X34" i="105"/>
  <c r="Z34" i="105" s="1"/>
  <c r="V34" i="105"/>
  <c r="R34" i="105"/>
  <c r="N34" i="105"/>
  <c r="L34" i="105"/>
  <c r="J34" i="105"/>
  <c r="B34" i="105"/>
  <c r="Z33" i="105"/>
  <c r="X33" i="105"/>
  <c r="V33" i="105"/>
  <c r="N33" i="105"/>
  <c r="L33" i="105"/>
  <c r="B33" i="105"/>
  <c r="Z32" i="105"/>
  <c r="X32" i="105"/>
  <c r="V32" i="105"/>
  <c r="L32" i="105"/>
  <c r="N32" i="105" s="1"/>
  <c r="B32" i="105"/>
  <c r="Z31" i="105"/>
  <c r="X31" i="105"/>
  <c r="R31" i="105"/>
  <c r="N31" i="105"/>
  <c r="L31" i="105"/>
  <c r="B31" i="105"/>
  <c r="X30" i="105"/>
  <c r="V30" i="105"/>
  <c r="T30" i="105"/>
  <c r="P30" i="105"/>
  <c r="N30" i="105"/>
  <c r="L30" i="105"/>
  <c r="H30" i="105"/>
  <c r="D30" i="105"/>
  <c r="B30" i="105"/>
  <c r="Z29" i="105"/>
  <c r="X29" i="105"/>
  <c r="V29" i="105"/>
  <c r="L29" i="105"/>
  <c r="N29" i="105" s="1"/>
  <c r="B29" i="105"/>
  <c r="X28" i="105"/>
  <c r="Z28" i="105" s="1"/>
  <c r="V28" i="105"/>
  <c r="R28" i="105"/>
  <c r="L28" i="105"/>
  <c r="N28" i="105" s="1"/>
  <c r="B28" i="105"/>
  <c r="X27" i="105"/>
  <c r="Z27" i="105" s="1"/>
  <c r="V27" i="105"/>
  <c r="N27" i="105"/>
  <c r="L27" i="105"/>
  <c r="B27" i="105"/>
  <c r="Z26" i="105"/>
  <c r="X26" i="105"/>
  <c r="V26" i="105"/>
  <c r="N26" i="105"/>
  <c r="L26" i="105"/>
  <c r="B26" i="105"/>
  <c r="Z25" i="105"/>
  <c r="X25" i="105"/>
  <c r="V25" i="105"/>
  <c r="N25" i="105"/>
  <c r="L25" i="105"/>
  <c r="B25" i="105"/>
  <c r="X24" i="105"/>
  <c r="Z24" i="105" s="1"/>
  <c r="V24" i="105"/>
  <c r="R24" i="105"/>
  <c r="N24" i="105"/>
  <c r="L24" i="105"/>
  <c r="B24" i="105"/>
  <c r="X23" i="105"/>
  <c r="Z23" i="105" s="1"/>
  <c r="V23" i="105"/>
  <c r="N23" i="105"/>
  <c r="L23" i="105"/>
  <c r="B23" i="105"/>
  <c r="X22" i="105"/>
  <c r="Z22" i="105" s="1"/>
  <c r="V22" i="105"/>
  <c r="N22" i="105"/>
  <c r="L22" i="105"/>
  <c r="B22" i="105"/>
  <c r="Z21" i="105"/>
  <c r="X21" i="105"/>
  <c r="V21" i="105"/>
  <c r="L21" i="105"/>
  <c r="N21" i="105" s="1"/>
  <c r="B21" i="105"/>
  <c r="X20" i="105"/>
  <c r="Z20" i="105" s="1"/>
  <c r="V20" i="105"/>
  <c r="R20" i="105"/>
  <c r="L20" i="105"/>
  <c r="N20" i="105" s="1"/>
  <c r="B20" i="105"/>
  <c r="X19" i="105"/>
  <c r="Z19" i="105" s="1"/>
  <c r="V19" i="105"/>
  <c r="T19" i="105"/>
  <c r="P19" i="105"/>
  <c r="H19" i="105"/>
  <c r="D19" i="105"/>
  <c r="L19" i="105" s="1"/>
  <c r="N19" i="105" s="1"/>
  <c r="B19" i="105"/>
  <c r="T18" i="105"/>
  <c r="P18" i="105"/>
  <c r="X18" i="105" s="1"/>
  <c r="Z18" i="105" s="1"/>
  <c r="N18" i="105"/>
  <c r="L18" i="105"/>
  <c r="H18" i="105"/>
  <c r="D18" i="105"/>
  <c r="Z14" i="105"/>
  <c r="T14" i="105"/>
  <c r="T16" i="105" s="1"/>
  <c r="P14" i="105"/>
  <c r="N14" i="105"/>
  <c r="L14" i="105"/>
  <c r="H14" i="105"/>
  <c r="D14" i="105"/>
  <c r="Z12" i="105"/>
  <c r="T12" i="105"/>
  <c r="V59" i="105" s="1"/>
  <c r="P12" i="105"/>
  <c r="R63" i="105" s="1"/>
  <c r="H12" i="105"/>
  <c r="D12" i="105"/>
  <c r="D6" i="105"/>
  <c r="D4" i="105"/>
  <c r="J31" i="104"/>
  <c r="J28" i="104"/>
  <c r="Z26" i="104"/>
  <c r="X26" i="104"/>
  <c r="N26" i="104"/>
  <c r="L26" i="104"/>
  <c r="F26" i="104"/>
  <c r="Z22" i="104"/>
  <c r="X22" i="104"/>
  <c r="T22" i="104"/>
  <c r="P22" i="104"/>
  <c r="N22" i="104"/>
  <c r="H22" i="104"/>
  <c r="D22" i="104"/>
  <c r="L22" i="104" s="1"/>
  <c r="Z20" i="104"/>
  <c r="X20" i="104"/>
  <c r="N20" i="104"/>
  <c r="L20" i="104"/>
  <c r="B20" i="104"/>
  <c r="T19" i="104"/>
  <c r="P19" i="104"/>
  <c r="L19" i="104"/>
  <c r="H19" i="104"/>
  <c r="N19" i="104" s="1"/>
  <c r="D19" i="104"/>
  <c r="B19" i="104"/>
  <c r="X18" i="104"/>
  <c r="T18" i="104"/>
  <c r="Z18" i="104" s="1"/>
  <c r="P18" i="104"/>
  <c r="N18" i="104"/>
  <c r="L18" i="104"/>
  <c r="H18" i="104"/>
  <c r="D18" i="104"/>
  <c r="V16" i="104"/>
  <c r="X14" i="104"/>
  <c r="T14" i="104"/>
  <c r="Z14" i="104" s="1"/>
  <c r="P14" i="104"/>
  <c r="N14" i="104"/>
  <c r="L14" i="104"/>
  <c r="H14" i="104"/>
  <c r="D14" i="104"/>
  <c r="X12" i="104"/>
  <c r="T12" i="104"/>
  <c r="P12" i="104"/>
  <c r="R24" i="104" s="1"/>
  <c r="H12" i="104"/>
  <c r="D12" i="104"/>
  <c r="F31" i="104" s="1"/>
  <c r="D6" i="104"/>
  <c r="D4" i="104"/>
  <c r="Z83" i="103"/>
  <c r="X83" i="103"/>
  <c r="N83" i="103"/>
  <c r="L83" i="103"/>
  <c r="Z79" i="103"/>
  <c r="X79" i="103"/>
  <c r="T79" i="103"/>
  <c r="P79" i="103"/>
  <c r="L79" i="103"/>
  <c r="H79" i="103"/>
  <c r="N79" i="103" s="1"/>
  <c r="D79" i="103"/>
  <c r="Z77" i="103"/>
  <c r="X77" i="103"/>
  <c r="L77" i="103"/>
  <c r="N77" i="103" s="1"/>
  <c r="F77" i="103"/>
  <c r="B77" i="103"/>
  <c r="T76" i="103"/>
  <c r="P76" i="103"/>
  <c r="H76" i="103"/>
  <c r="D76" i="103"/>
  <c r="L76" i="103" s="1"/>
  <c r="N76" i="103" s="1"/>
  <c r="B76" i="103"/>
  <c r="X75" i="103"/>
  <c r="Z75" i="103" s="1"/>
  <c r="N75" i="103"/>
  <c r="L75" i="103"/>
  <c r="B75" i="103"/>
  <c r="Z74" i="103"/>
  <c r="X74" i="103"/>
  <c r="L74" i="103"/>
  <c r="N74" i="103" s="1"/>
  <c r="B74" i="103"/>
  <c r="X73" i="103"/>
  <c r="Z73" i="103" s="1"/>
  <c r="L73" i="103"/>
  <c r="N73" i="103" s="1"/>
  <c r="B73" i="103"/>
  <c r="Z72" i="103"/>
  <c r="X72" i="103"/>
  <c r="N72" i="103"/>
  <c r="L72" i="103"/>
  <c r="B72" i="103"/>
  <c r="X71" i="103"/>
  <c r="Z71" i="103" s="1"/>
  <c r="N71" i="103"/>
  <c r="L71" i="103"/>
  <c r="B71" i="103"/>
  <c r="Z70" i="103"/>
  <c r="X70" i="103"/>
  <c r="L70" i="103"/>
  <c r="N70" i="103" s="1"/>
  <c r="B70" i="103"/>
  <c r="X69" i="103"/>
  <c r="Z69" i="103" s="1"/>
  <c r="L69" i="103"/>
  <c r="N69" i="103" s="1"/>
  <c r="B69" i="103"/>
  <c r="Z68" i="103"/>
  <c r="X68" i="103"/>
  <c r="N68" i="103"/>
  <c r="L68" i="103"/>
  <c r="B68" i="103"/>
  <c r="V67" i="103"/>
  <c r="T67" i="103"/>
  <c r="P67" i="103"/>
  <c r="X67" i="103" s="1"/>
  <c r="H67" i="103"/>
  <c r="F67" i="103"/>
  <c r="D67" i="103"/>
  <c r="B67" i="103"/>
  <c r="X66" i="103"/>
  <c r="Z66" i="103" s="1"/>
  <c r="N66" i="103"/>
  <c r="L66" i="103"/>
  <c r="B66" i="103"/>
  <c r="Z65" i="103"/>
  <c r="X65" i="103"/>
  <c r="L65" i="103"/>
  <c r="N65" i="103" s="1"/>
  <c r="B65" i="103"/>
  <c r="Z64" i="103"/>
  <c r="X64" i="103"/>
  <c r="N64" i="103"/>
  <c r="L64" i="103"/>
  <c r="B64" i="103"/>
  <c r="Z63" i="103"/>
  <c r="X63" i="103"/>
  <c r="L63" i="103"/>
  <c r="N63" i="103" s="1"/>
  <c r="J63" i="103"/>
  <c r="F63" i="103"/>
  <c r="B63" i="103"/>
  <c r="X62" i="103"/>
  <c r="T62" i="103"/>
  <c r="Z62" i="103" s="1"/>
  <c r="P62" i="103"/>
  <c r="H62" i="103"/>
  <c r="D62" i="103"/>
  <c r="B62" i="103"/>
  <c r="X61" i="103"/>
  <c r="Z61" i="103" s="1"/>
  <c r="L61" i="103"/>
  <c r="N61" i="103" s="1"/>
  <c r="B61" i="103"/>
  <c r="T60" i="103"/>
  <c r="P60" i="103"/>
  <c r="X60" i="103" s="1"/>
  <c r="Z60" i="103" s="1"/>
  <c r="H60" i="103"/>
  <c r="D60" i="103"/>
  <c r="L60" i="103" s="1"/>
  <c r="N60" i="103" s="1"/>
  <c r="B60" i="103"/>
  <c r="Z59" i="103"/>
  <c r="X59" i="103"/>
  <c r="N59" i="103"/>
  <c r="L59" i="103"/>
  <c r="B59" i="103"/>
  <c r="Z58" i="103"/>
  <c r="T58" i="103"/>
  <c r="P58" i="103"/>
  <c r="X58" i="103" s="1"/>
  <c r="N58" i="103"/>
  <c r="L58" i="103"/>
  <c r="H58" i="103"/>
  <c r="D58" i="103"/>
  <c r="B58" i="103"/>
  <c r="Z57" i="103"/>
  <c r="X57" i="103"/>
  <c r="N57" i="103"/>
  <c r="L57" i="103"/>
  <c r="B57" i="103"/>
  <c r="V56" i="103"/>
  <c r="T56" i="103"/>
  <c r="P56" i="103"/>
  <c r="L56" i="103"/>
  <c r="H56" i="103"/>
  <c r="N56" i="103" s="1"/>
  <c r="D56" i="103"/>
  <c r="B56" i="103"/>
  <c r="X55" i="103"/>
  <c r="Z55" i="103" s="1"/>
  <c r="L55" i="103"/>
  <c r="N55" i="103" s="1"/>
  <c r="J55" i="103"/>
  <c r="F55" i="103"/>
  <c r="B55" i="103"/>
  <c r="T54" i="103"/>
  <c r="P54" i="103"/>
  <c r="X54" i="103" s="1"/>
  <c r="Z54" i="103" s="1"/>
  <c r="H54" i="103"/>
  <c r="D54" i="103"/>
  <c r="B54" i="103"/>
  <c r="X53" i="103"/>
  <c r="Z53" i="103" s="1"/>
  <c r="N53" i="103"/>
  <c r="L53" i="103"/>
  <c r="B53" i="103"/>
  <c r="Z52" i="103"/>
  <c r="X52" i="103"/>
  <c r="T52" i="103"/>
  <c r="P52" i="103"/>
  <c r="H52" i="103"/>
  <c r="D52" i="103"/>
  <c r="L52" i="103" s="1"/>
  <c r="N52" i="103" s="1"/>
  <c r="B52" i="103"/>
  <c r="Z51" i="103"/>
  <c r="X51" i="103"/>
  <c r="L51" i="103"/>
  <c r="N51" i="103" s="1"/>
  <c r="B51" i="103"/>
  <c r="X50" i="103"/>
  <c r="T50" i="103"/>
  <c r="P50" i="103"/>
  <c r="J50" i="103"/>
  <c r="H50" i="103"/>
  <c r="D50" i="103"/>
  <c r="B50" i="103"/>
  <c r="Z49" i="103"/>
  <c r="X49" i="103"/>
  <c r="L49" i="103"/>
  <c r="N49" i="103" s="1"/>
  <c r="B49" i="103"/>
  <c r="T48" i="103"/>
  <c r="P48" i="103"/>
  <c r="H48" i="103"/>
  <c r="D48" i="103"/>
  <c r="L48" i="103" s="1"/>
  <c r="N48" i="103" s="1"/>
  <c r="B48" i="103"/>
  <c r="X47" i="103"/>
  <c r="Z47" i="103" s="1"/>
  <c r="V47" i="103"/>
  <c r="N47" i="103"/>
  <c r="L47" i="103"/>
  <c r="B47" i="103"/>
  <c r="Z46" i="103"/>
  <c r="X46" i="103"/>
  <c r="T46" i="103"/>
  <c r="P46" i="103"/>
  <c r="N46" i="103"/>
  <c r="L46" i="103"/>
  <c r="H46" i="103"/>
  <c r="D46" i="103"/>
  <c r="B46" i="103"/>
  <c r="Z45" i="103"/>
  <c r="X45" i="103"/>
  <c r="N45" i="103"/>
  <c r="L45" i="103"/>
  <c r="B45" i="103"/>
  <c r="Z44" i="103"/>
  <c r="X44" i="103"/>
  <c r="N44" i="103"/>
  <c r="L44" i="103"/>
  <c r="F44" i="103"/>
  <c r="B44" i="103"/>
  <c r="Z43" i="103"/>
  <c r="X43" i="103"/>
  <c r="N43" i="103"/>
  <c r="L43" i="103"/>
  <c r="B43" i="103"/>
  <c r="Z42" i="103"/>
  <c r="X42" i="103"/>
  <c r="N42" i="103"/>
  <c r="L42" i="103"/>
  <c r="B42" i="103"/>
  <c r="Z41" i="103"/>
  <c r="X41" i="103"/>
  <c r="N41" i="103"/>
  <c r="L41" i="103"/>
  <c r="B41" i="103"/>
  <c r="Z40" i="103"/>
  <c r="X40" i="103"/>
  <c r="V40" i="103"/>
  <c r="N40" i="103"/>
  <c r="L40" i="103"/>
  <c r="B40" i="103"/>
  <c r="Z39" i="103"/>
  <c r="X39" i="103"/>
  <c r="L39" i="103"/>
  <c r="N39" i="103" s="1"/>
  <c r="B39" i="103"/>
  <c r="Z38" i="103"/>
  <c r="X38" i="103"/>
  <c r="V38" i="103"/>
  <c r="N38" i="103"/>
  <c r="L38" i="103"/>
  <c r="B38" i="103"/>
  <c r="Z37" i="103"/>
  <c r="X37" i="103"/>
  <c r="N37" i="103"/>
  <c r="L37" i="103"/>
  <c r="B37" i="103"/>
  <c r="Z36" i="103"/>
  <c r="X36" i="103"/>
  <c r="V36" i="103"/>
  <c r="N36" i="103"/>
  <c r="L36" i="103"/>
  <c r="B36" i="103"/>
  <c r="Z35" i="103"/>
  <c r="T35" i="103"/>
  <c r="P35" i="103"/>
  <c r="X35" i="103" s="1"/>
  <c r="N35" i="103"/>
  <c r="L35" i="103"/>
  <c r="H35" i="103"/>
  <c r="D35" i="103"/>
  <c r="B35" i="103"/>
  <c r="Z34" i="103"/>
  <c r="X34" i="103"/>
  <c r="L34" i="103"/>
  <c r="N34" i="103" s="1"/>
  <c r="B34" i="103"/>
  <c r="Z33" i="103"/>
  <c r="X33" i="103"/>
  <c r="V33" i="103"/>
  <c r="L33" i="103"/>
  <c r="N33" i="103" s="1"/>
  <c r="B33" i="103"/>
  <c r="Z32" i="103"/>
  <c r="X32" i="103"/>
  <c r="N32" i="103"/>
  <c r="L32" i="103"/>
  <c r="B32" i="103"/>
  <c r="Z31" i="103"/>
  <c r="X31" i="103"/>
  <c r="V31" i="103"/>
  <c r="N31" i="103"/>
  <c r="L31" i="103"/>
  <c r="B31" i="103"/>
  <c r="Z30" i="103"/>
  <c r="X30" i="103"/>
  <c r="N30" i="103"/>
  <c r="L30" i="103"/>
  <c r="J30" i="103"/>
  <c r="B30" i="103"/>
  <c r="Z29" i="103"/>
  <c r="X29" i="103"/>
  <c r="V29" i="103"/>
  <c r="L29" i="103"/>
  <c r="N29" i="103" s="1"/>
  <c r="B29" i="103"/>
  <c r="Z28" i="103"/>
  <c r="X28" i="103"/>
  <c r="L28" i="103"/>
  <c r="N28" i="103" s="1"/>
  <c r="B28" i="103"/>
  <c r="X27" i="103"/>
  <c r="Z27" i="103" s="1"/>
  <c r="L27" i="103"/>
  <c r="N27" i="103" s="1"/>
  <c r="B27" i="103"/>
  <c r="Z26" i="103"/>
  <c r="X26" i="103"/>
  <c r="V26" i="103"/>
  <c r="N26" i="103"/>
  <c r="L26" i="103"/>
  <c r="B26" i="103"/>
  <c r="X25" i="103"/>
  <c r="Z25" i="103" s="1"/>
  <c r="V25" i="103"/>
  <c r="L25" i="103"/>
  <c r="N25" i="103" s="1"/>
  <c r="B25" i="103"/>
  <c r="T24" i="103"/>
  <c r="P24" i="103"/>
  <c r="H24" i="103"/>
  <c r="D24" i="103"/>
  <c r="L24" i="103" s="1"/>
  <c r="N24" i="103" s="1"/>
  <c r="B24" i="103"/>
  <c r="T23" i="103"/>
  <c r="P23" i="103"/>
  <c r="H23" i="103"/>
  <c r="F23" i="103"/>
  <c r="D23" i="103"/>
  <c r="Z19" i="103"/>
  <c r="X19" i="103"/>
  <c r="V19" i="103"/>
  <c r="N19" i="103"/>
  <c r="L19" i="103"/>
  <c r="B19" i="103"/>
  <c r="Z18" i="103"/>
  <c r="X18" i="103"/>
  <c r="N18" i="103"/>
  <c r="L18" i="103"/>
  <c r="J18" i="103"/>
  <c r="F18" i="103"/>
  <c r="B18" i="103"/>
  <c r="V17" i="103"/>
  <c r="T17" i="103"/>
  <c r="Z17" i="103" s="1"/>
  <c r="P17" i="103"/>
  <c r="X17" i="103" s="1"/>
  <c r="H17" i="103"/>
  <c r="N17" i="103" s="1"/>
  <c r="D17" i="103"/>
  <c r="L17" i="103" s="1"/>
  <c r="Z15" i="103"/>
  <c r="X15" i="103"/>
  <c r="P15" i="103"/>
  <c r="N15" i="103"/>
  <c r="D15" i="103"/>
  <c r="L15" i="103" s="1"/>
  <c r="B15" i="103"/>
  <c r="Z14" i="103"/>
  <c r="X14" i="103"/>
  <c r="P14" i="103"/>
  <c r="N14" i="103"/>
  <c r="L14" i="103"/>
  <c r="D14" i="103"/>
  <c r="B14" i="103"/>
  <c r="Z13" i="103"/>
  <c r="P13" i="103"/>
  <c r="N13" i="103"/>
  <c r="D13" i="103"/>
  <c r="L13" i="103" s="1"/>
  <c r="B13" i="103"/>
  <c r="Z12" i="103"/>
  <c r="T12" i="103"/>
  <c r="N12" i="103"/>
  <c r="L12" i="103"/>
  <c r="H12" i="103"/>
  <c r="D12" i="103"/>
  <c r="F61" i="103" s="1"/>
  <c r="D6" i="103"/>
  <c r="D4" i="103"/>
  <c r="J61" i="102"/>
  <c r="J58" i="102"/>
  <c r="F58" i="102"/>
  <c r="Z56" i="102"/>
  <c r="X56" i="102"/>
  <c r="N56" i="102"/>
  <c r="L56" i="102"/>
  <c r="X52" i="102"/>
  <c r="T52" i="102"/>
  <c r="Z52" i="102" s="1"/>
  <c r="P52" i="102"/>
  <c r="N52" i="102"/>
  <c r="L52" i="102"/>
  <c r="H52" i="102"/>
  <c r="D52" i="102"/>
  <c r="X50" i="102"/>
  <c r="Z50" i="102" s="1"/>
  <c r="N50" i="102"/>
  <c r="L50" i="102"/>
  <c r="B50" i="102"/>
  <c r="T49" i="102"/>
  <c r="P49" i="102"/>
  <c r="X49" i="102" s="1"/>
  <c r="Z49" i="102" s="1"/>
  <c r="N49" i="102"/>
  <c r="L49" i="102"/>
  <c r="H49" i="102"/>
  <c r="D49" i="102"/>
  <c r="B49" i="102"/>
  <c r="Z48" i="102"/>
  <c r="X48" i="102"/>
  <c r="N48" i="102"/>
  <c r="L48" i="102"/>
  <c r="B48" i="102"/>
  <c r="T47" i="102"/>
  <c r="P47" i="102"/>
  <c r="N47" i="102"/>
  <c r="L47" i="102"/>
  <c r="J47" i="102"/>
  <c r="H47" i="102"/>
  <c r="D47" i="102"/>
  <c r="B47" i="102"/>
  <c r="Z46" i="102"/>
  <c r="X46" i="102"/>
  <c r="L46" i="102"/>
  <c r="N46" i="102" s="1"/>
  <c r="J46" i="102"/>
  <c r="F46" i="102"/>
  <c r="B46" i="102"/>
  <c r="X45" i="102"/>
  <c r="Z45" i="102" s="1"/>
  <c r="L45" i="102"/>
  <c r="N45" i="102" s="1"/>
  <c r="B45" i="102"/>
  <c r="Z44" i="102"/>
  <c r="X44" i="102"/>
  <c r="T44" i="102"/>
  <c r="P44" i="102"/>
  <c r="J44" i="102"/>
  <c r="H44" i="102"/>
  <c r="D44" i="102"/>
  <c r="L44" i="102" s="1"/>
  <c r="N44" i="102" s="1"/>
  <c r="B44" i="102"/>
  <c r="Z43" i="102"/>
  <c r="X43" i="102"/>
  <c r="L43" i="102"/>
  <c r="N43" i="102" s="1"/>
  <c r="F43" i="102"/>
  <c r="B43" i="102"/>
  <c r="X42" i="102"/>
  <c r="Z42" i="102" s="1"/>
  <c r="N42" i="102"/>
  <c r="L42" i="102"/>
  <c r="B42" i="102"/>
  <c r="X41" i="102"/>
  <c r="Z41" i="102" s="1"/>
  <c r="N41" i="102"/>
  <c r="L41" i="102"/>
  <c r="J41" i="102"/>
  <c r="B41" i="102"/>
  <c r="X40" i="102"/>
  <c r="Z40" i="102" s="1"/>
  <c r="T40" i="102"/>
  <c r="P40" i="102"/>
  <c r="L40" i="102"/>
  <c r="J40" i="102"/>
  <c r="H40" i="102"/>
  <c r="D40" i="102"/>
  <c r="B40" i="102"/>
  <c r="Z39" i="102"/>
  <c r="X39" i="102"/>
  <c r="N39" i="102"/>
  <c r="L39" i="102"/>
  <c r="J39" i="102"/>
  <c r="F39" i="102"/>
  <c r="B39" i="102"/>
  <c r="Z38" i="102"/>
  <c r="X38" i="102"/>
  <c r="N38" i="102"/>
  <c r="L38" i="102"/>
  <c r="J38" i="102"/>
  <c r="B38" i="102"/>
  <c r="Z37" i="102"/>
  <c r="X37" i="102"/>
  <c r="N37" i="102"/>
  <c r="L37" i="102"/>
  <c r="B37" i="102"/>
  <c r="Z36" i="102"/>
  <c r="X36" i="102"/>
  <c r="R36" i="102"/>
  <c r="N36" i="102"/>
  <c r="L36" i="102"/>
  <c r="B36" i="102"/>
  <c r="Z35" i="102"/>
  <c r="X35" i="102"/>
  <c r="N35" i="102"/>
  <c r="L35" i="102"/>
  <c r="J35" i="102"/>
  <c r="F35" i="102"/>
  <c r="B35" i="102"/>
  <c r="Z34" i="102"/>
  <c r="X34" i="102"/>
  <c r="N34" i="102"/>
  <c r="L34" i="102"/>
  <c r="J34" i="102"/>
  <c r="B34" i="102"/>
  <c r="Z33" i="102"/>
  <c r="X33" i="102"/>
  <c r="N33" i="102"/>
  <c r="L33" i="102"/>
  <c r="B33" i="102"/>
  <c r="Z32" i="102"/>
  <c r="X32" i="102"/>
  <c r="R32" i="102"/>
  <c r="N32" i="102"/>
  <c r="L32" i="102"/>
  <c r="B32" i="102"/>
  <c r="X31" i="102"/>
  <c r="Z31" i="102" s="1"/>
  <c r="L31" i="102"/>
  <c r="N31" i="102" s="1"/>
  <c r="J31" i="102"/>
  <c r="F31" i="102"/>
  <c r="B31" i="102"/>
  <c r="Z30" i="102"/>
  <c r="X30" i="102"/>
  <c r="N30" i="102"/>
  <c r="L30" i="102"/>
  <c r="J30" i="102"/>
  <c r="B30" i="102"/>
  <c r="Z29" i="102"/>
  <c r="X29" i="102"/>
  <c r="T29" i="102"/>
  <c r="P29" i="102"/>
  <c r="H29" i="102"/>
  <c r="D29" i="102"/>
  <c r="B29" i="102"/>
  <c r="Z28" i="102"/>
  <c r="X28" i="102"/>
  <c r="N28" i="102"/>
  <c r="L28" i="102"/>
  <c r="B28" i="102"/>
  <c r="X27" i="102"/>
  <c r="Z27" i="102" s="1"/>
  <c r="N27" i="102"/>
  <c r="L27" i="102"/>
  <c r="B27" i="102"/>
  <c r="Z26" i="102"/>
  <c r="X26" i="102"/>
  <c r="L26" i="102"/>
  <c r="N26" i="102" s="1"/>
  <c r="J26" i="102"/>
  <c r="F26" i="102"/>
  <c r="B26" i="102"/>
  <c r="Z25" i="102"/>
  <c r="X25" i="102"/>
  <c r="N25" i="102"/>
  <c r="L25" i="102"/>
  <c r="B25" i="102"/>
  <c r="X24" i="102"/>
  <c r="Z24" i="102" s="1"/>
  <c r="L24" i="102"/>
  <c r="N24" i="102" s="1"/>
  <c r="J24" i="102"/>
  <c r="B24" i="102"/>
  <c r="X23" i="102"/>
  <c r="Z23" i="102" s="1"/>
  <c r="N23" i="102"/>
  <c r="L23" i="102"/>
  <c r="B23" i="102"/>
  <c r="Z22" i="102"/>
  <c r="X22" i="102"/>
  <c r="L22" i="102"/>
  <c r="N22" i="102" s="1"/>
  <c r="J22" i="102"/>
  <c r="F22" i="102"/>
  <c r="B22" i="102"/>
  <c r="X21" i="102"/>
  <c r="Z21" i="102" s="1"/>
  <c r="L21" i="102"/>
  <c r="N21" i="102" s="1"/>
  <c r="B21" i="102"/>
  <c r="X20" i="102"/>
  <c r="Z20" i="102" s="1"/>
  <c r="L20" i="102"/>
  <c r="N20" i="102" s="1"/>
  <c r="J20" i="102"/>
  <c r="B20" i="102"/>
  <c r="T19" i="102"/>
  <c r="P19" i="102"/>
  <c r="X19" i="102" s="1"/>
  <c r="J19" i="102"/>
  <c r="H19" i="102"/>
  <c r="D19" i="102"/>
  <c r="L19" i="102" s="1"/>
  <c r="B19" i="102"/>
  <c r="V18" i="102"/>
  <c r="T18" i="102"/>
  <c r="P18" i="102"/>
  <c r="L18" i="102"/>
  <c r="N18" i="102" s="1"/>
  <c r="J18" i="102"/>
  <c r="H18" i="102"/>
  <c r="F18" i="102"/>
  <c r="D18" i="102"/>
  <c r="J16" i="102"/>
  <c r="F16" i="102"/>
  <c r="X14" i="102"/>
  <c r="V14" i="102"/>
  <c r="T14" i="102"/>
  <c r="Z14" i="102" s="1"/>
  <c r="P14" i="102"/>
  <c r="N14" i="102"/>
  <c r="L14" i="102"/>
  <c r="J14" i="102"/>
  <c r="H14" i="102"/>
  <c r="F14" i="102"/>
  <c r="D14" i="102"/>
  <c r="T12" i="102"/>
  <c r="P12" i="102"/>
  <c r="N12" i="102"/>
  <c r="H12" i="102"/>
  <c r="J48" i="102" s="1"/>
  <c r="D12" i="102"/>
  <c r="F61" i="102" s="1"/>
  <c r="D6" i="102"/>
  <c r="D4" i="102"/>
  <c r="R41" i="101"/>
  <c r="F41" i="101"/>
  <c r="R38" i="101"/>
  <c r="F38" i="101"/>
  <c r="Z36" i="101"/>
  <c r="X36" i="101"/>
  <c r="N36" i="101"/>
  <c r="L36" i="101"/>
  <c r="V34" i="101"/>
  <c r="J34" i="101"/>
  <c r="F34" i="101"/>
  <c r="Z32" i="101"/>
  <c r="X32" i="101"/>
  <c r="V32" i="101"/>
  <c r="T32" i="101"/>
  <c r="P32" i="101"/>
  <c r="J32" i="101"/>
  <c r="H32" i="101"/>
  <c r="F32" i="101"/>
  <c r="D32" i="101"/>
  <c r="Z30" i="101"/>
  <c r="X30" i="101"/>
  <c r="V30" i="101"/>
  <c r="N30" i="101"/>
  <c r="L30" i="101"/>
  <c r="F30" i="101"/>
  <c r="B30" i="101"/>
  <c r="Z29" i="101"/>
  <c r="T29" i="101"/>
  <c r="P29" i="101"/>
  <c r="X29" i="101" s="1"/>
  <c r="N29" i="101"/>
  <c r="L29" i="101"/>
  <c r="H29" i="101"/>
  <c r="F29" i="101"/>
  <c r="D29" i="101"/>
  <c r="B29" i="101"/>
  <c r="Z28" i="101"/>
  <c r="X28" i="101"/>
  <c r="V28" i="101"/>
  <c r="N28" i="101"/>
  <c r="L28" i="101"/>
  <c r="J28" i="101"/>
  <c r="F28" i="101"/>
  <c r="B28" i="101"/>
  <c r="Z27" i="101"/>
  <c r="X27" i="101"/>
  <c r="V27" i="101"/>
  <c r="T27" i="101"/>
  <c r="P27" i="101"/>
  <c r="H27" i="101"/>
  <c r="F27" i="101"/>
  <c r="D27" i="101"/>
  <c r="B27" i="101"/>
  <c r="Z26" i="101"/>
  <c r="X26" i="101"/>
  <c r="V26" i="101"/>
  <c r="N26" i="101"/>
  <c r="L26" i="101"/>
  <c r="J26" i="101"/>
  <c r="F26" i="101"/>
  <c r="B26" i="101"/>
  <c r="V25" i="101"/>
  <c r="T25" i="101"/>
  <c r="Z25" i="101" s="1"/>
  <c r="P25" i="101"/>
  <c r="H25" i="101"/>
  <c r="N25" i="101" s="1"/>
  <c r="F25" i="101"/>
  <c r="D25" i="101"/>
  <c r="L25" i="101" s="1"/>
  <c r="B25" i="101"/>
  <c r="Z24" i="101"/>
  <c r="X24" i="101"/>
  <c r="V24" i="101"/>
  <c r="N24" i="101"/>
  <c r="L24" i="101"/>
  <c r="F24" i="101"/>
  <c r="B24" i="101"/>
  <c r="Z23" i="101"/>
  <c r="X23" i="101"/>
  <c r="N23" i="101"/>
  <c r="L23" i="101"/>
  <c r="F23" i="101"/>
  <c r="B23" i="101"/>
  <c r="Z22" i="101"/>
  <c r="X22" i="101"/>
  <c r="V22" i="101"/>
  <c r="N22" i="101"/>
  <c r="L22" i="101"/>
  <c r="F22" i="101"/>
  <c r="B22" i="101"/>
  <c r="Z21" i="101"/>
  <c r="X21" i="101"/>
  <c r="N21" i="101"/>
  <c r="L21" i="101"/>
  <c r="F21" i="101"/>
  <c r="B21" i="101"/>
  <c r="Z20" i="101"/>
  <c r="X20" i="101"/>
  <c r="V20" i="101"/>
  <c r="N20" i="101"/>
  <c r="L20" i="101"/>
  <c r="F20" i="101"/>
  <c r="B20" i="101"/>
  <c r="Z19" i="101"/>
  <c r="V19" i="101"/>
  <c r="T19" i="101"/>
  <c r="P19" i="101"/>
  <c r="X19" i="101" s="1"/>
  <c r="N19" i="101"/>
  <c r="H19" i="101"/>
  <c r="F19" i="101"/>
  <c r="D19" i="101"/>
  <c r="L19" i="101" s="1"/>
  <c r="B19" i="101"/>
  <c r="T18" i="101"/>
  <c r="P18" i="101"/>
  <c r="H18" i="101"/>
  <c r="F18" i="101"/>
  <c r="D18" i="101"/>
  <c r="T16" i="101"/>
  <c r="R16" i="101"/>
  <c r="F16" i="101"/>
  <c r="Z14" i="101"/>
  <c r="T14" i="101"/>
  <c r="R14" i="101"/>
  <c r="P14" i="101"/>
  <c r="X14" i="101" s="1"/>
  <c r="H14" i="101"/>
  <c r="F14" i="101"/>
  <c r="D14" i="101"/>
  <c r="Z12" i="101"/>
  <c r="T12" i="101"/>
  <c r="V29" i="101" s="1"/>
  <c r="P12" i="101"/>
  <c r="R18" i="101" s="1"/>
  <c r="N12" i="101"/>
  <c r="L12" i="101"/>
  <c r="H12" i="101"/>
  <c r="D12" i="101"/>
  <c r="F36" i="101" s="1"/>
  <c r="D6" i="101"/>
  <c r="D4" i="101"/>
  <c r="V35" i="100"/>
  <c r="J35" i="100"/>
  <c r="F35" i="100"/>
  <c r="V32" i="100"/>
  <c r="J32" i="100"/>
  <c r="F32" i="100"/>
  <c r="Z30" i="100"/>
  <c r="X30" i="100"/>
  <c r="V30" i="100"/>
  <c r="N30" i="100"/>
  <c r="L30" i="100"/>
  <c r="J30" i="100"/>
  <c r="F30" i="100"/>
  <c r="V28" i="100"/>
  <c r="T28" i="100"/>
  <c r="R28" i="100"/>
  <c r="F28" i="100"/>
  <c r="V26" i="100"/>
  <c r="T26" i="100"/>
  <c r="Z26" i="100" s="1"/>
  <c r="R26" i="100"/>
  <c r="P26" i="100"/>
  <c r="H26" i="100"/>
  <c r="N26" i="100" s="1"/>
  <c r="F26" i="100"/>
  <c r="D26" i="100"/>
  <c r="Z24" i="100"/>
  <c r="X24" i="100"/>
  <c r="V24" i="100"/>
  <c r="R24" i="100"/>
  <c r="N24" i="100"/>
  <c r="L24" i="100"/>
  <c r="F24" i="100"/>
  <c r="B24" i="100"/>
  <c r="Z23" i="100"/>
  <c r="X23" i="100"/>
  <c r="V23" i="100"/>
  <c r="T23" i="100"/>
  <c r="P23" i="100"/>
  <c r="N23" i="100"/>
  <c r="L23" i="100"/>
  <c r="H23" i="100"/>
  <c r="F23" i="100"/>
  <c r="D23" i="100"/>
  <c r="B23" i="100"/>
  <c r="Z22" i="100"/>
  <c r="X22" i="100"/>
  <c r="V22" i="100"/>
  <c r="N22" i="100"/>
  <c r="L22" i="100"/>
  <c r="J22" i="100"/>
  <c r="F22" i="100"/>
  <c r="B22" i="100"/>
  <c r="V21" i="100"/>
  <c r="T21" i="100"/>
  <c r="Z21" i="100" s="1"/>
  <c r="R21" i="100"/>
  <c r="P21" i="100"/>
  <c r="J21" i="100"/>
  <c r="H21" i="100"/>
  <c r="N21" i="100" s="1"/>
  <c r="F21" i="100"/>
  <c r="D21" i="100"/>
  <c r="B21" i="100"/>
  <c r="X20" i="100"/>
  <c r="Z20" i="100" s="1"/>
  <c r="V20" i="100"/>
  <c r="R20" i="100"/>
  <c r="N20" i="100"/>
  <c r="L20" i="100"/>
  <c r="F20" i="100"/>
  <c r="B20" i="100"/>
  <c r="X19" i="100"/>
  <c r="Z19" i="100" s="1"/>
  <c r="V19" i="100"/>
  <c r="T19" i="100"/>
  <c r="R19" i="100"/>
  <c r="P19" i="100"/>
  <c r="H19" i="100"/>
  <c r="F19" i="100"/>
  <c r="D19" i="100"/>
  <c r="L19" i="100" s="1"/>
  <c r="N19" i="100" s="1"/>
  <c r="B19" i="100"/>
  <c r="T18" i="100"/>
  <c r="R18" i="100"/>
  <c r="P18" i="100"/>
  <c r="X18" i="100" s="1"/>
  <c r="H18" i="100"/>
  <c r="F18" i="100"/>
  <c r="D18" i="100"/>
  <c r="T16" i="100"/>
  <c r="Z16" i="100" s="1"/>
  <c r="R16" i="100"/>
  <c r="P16" i="100"/>
  <c r="N16" i="100"/>
  <c r="J16" i="100"/>
  <c r="H16" i="100"/>
  <c r="F16" i="100"/>
  <c r="T14" i="100"/>
  <c r="Z14" i="100" s="1"/>
  <c r="R14" i="100"/>
  <c r="P14" i="100"/>
  <c r="N14" i="100"/>
  <c r="H14" i="100"/>
  <c r="F14" i="100"/>
  <c r="D14" i="100"/>
  <c r="Z12" i="100"/>
  <c r="T12" i="100"/>
  <c r="V18" i="100" s="1"/>
  <c r="P12" i="100"/>
  <c r="N12" i="100"/>
  <c r="L12" i="100"/>
  <c r="H12" i="100"/>
  <c r="J24" i="100" s="1"/>
  <c r="D12" i="100"/>
  <c r="D6" i="100"/>
  <c r="D4" i="100"/>
  <c r="J58" i="99"/>
  <c r="Z56" i="99"/>
  <c r="X56" i="99"/>
  <c r="N56" i="99"/>
  <c r="L56" i="99"/>
  <c r="V54" i="99"/>
  <c r="Z52" i="99"/>
  <c r="P52" i="99"/>
  <c r="N52" i="99"/>
  <c r="L52" i="99"/>
  <c r="D52" i="99"/>
  <c r="B52" i="99"/>
  <c r="Z51" i="99"/>
  <c r="T51" i="99"/>
  <c r="N51" i="99"/>
  <c r="H51" i="99"/>
  <c r="F51" i="99"/>
  <c r="D51" i="99"/>
  <c r="L51" i="99" s="1"/>
  <c r="Z49" i="99"/>
  <c r="X49" i="99"/>
  <c r="N49" i="99"/>
  <c r="L49" i="99"/>
  <c r="F49" i="99"/>
  <c r="B49" i="99"/>
  <c r="T48" i="99"/>
  <c r="R48" i="99"/>
  <c r="P48" i="99"/>
  <c r="L48" i="99"/>
  <c r="H48" i="99"/>
  <c r="N48" i="99" s="1"/>
  <c r="D48" i="99"/>
  <c r="B48" i="99"/>
  <c r="X47" i="99"/>
  <c r="Z47" i="99" s="1"/>
  <c r="V47" i="99"/>
  <c r="R47" i="99"/>
  <c r="L47" i="99"/>
  <c r="N47" i="99" s="1"/>
  <c r="B47" i="99"/>
  <c r="T46" i="99"/>
  <c r="P46" i="99"/>
  <c r="J46" i="99"/>
  <c r="H46" i="99"/>
  <c r="D46" i="99"/>
  <c r="B46" i="99"/>
  <c r="X45" i="99"/>
  <c r="Z45" i="99" s="1"/>
  <c r="N45" i="99"/>
  <c r="L45" i="99"/>
  <c r="B45" i="99"/>
  <c r="X44" i="99"/>
  <c r="Z44" i="99" s="1"/>
  <c r="T44" i="99"/>
  <c r="P44" i="99"/>
  <c r="J44" i="99"/>
  <c r="H44" i="99"/>
  <c r="D44" i="99"/>
  <c r="L44" i="99" s="1"/>
  <c r="N44" i="99" s="1"/>
  <c r="B44" i="99"/>
  <c r="Z43" i="99"/>
  <c r="X43" i="99"/>
  <c r="N43" i="99"/>
  <c r="L43" i="99"/>
  <c r="B43" i="99"/>
  <c r="Z42" i="99"/>
  <c r="X42" i="99"/>
  <c r="R42" i="99"/>
  <c r="N42" i="99"/>
  <c r="L42" i="99"/>
  <c r="B42" i="99"/>
  <c r="T41" i="99"/>
  <c r="Z41" i="99" s="1"/>
  <c r="P41" i="99"/>
  <c r="X41" i="99" s="1"/>
  <c r="L41" i="99"/>
  <c r="H41" i="99"/>
  <c r="N41" i="99" s="1"/>
  <c r="D41" i="99"/>
  <c r="B41" i="99"/>
  <c r="Z40" i="99"/>
  <c r="X40" i="99"/>
  <c r="R40" i="99"/>
  <c r="L40" i="99"/>
  <c r="N40" i="99" s="1"/>
  <c r="J40" i="99"/>
  <c r="B40" i="99"/>
  <c r="Z39" i="99"/>
  <c r="T39" i="99"/>
  <c r="P39" i="99"/>
  <c r="X39" i="99" s="1"/>
  <c r="J39" i="99"/>
  <c r="H39" i="99"/>
  <c r="D39" i="99"/>
  <c r="L39" i="99" s="1"/>
  <c r="N39" i="99" s="1"/>
  <c r="B39" i="99"/>
  <c r="Z38" i="99"/>
  <c r="X38" i="99"/>
  <c r="N38" i="99"/>
  <c r="L38" i="99"/>
  <c r="B38" i="99"/>
  <c r="Z37" i="99"/>
  <c r="X37" i="99"/>
  <c r="R37" i="99"/>
  <c r="N37" i="99"/>
  <c r="L37" i="99"/>
  <c r="B37" i="99"/>
  <c r="Z36" i="99"/>
  <c r="X36" i="99"/>
  <c r="N36" i="99"/>
  <c r="L36" i="99"/>
  <c r="B36" i="99"/>
  <c r="Z35" i="99"/>
  <c r="X35" i="99"/>
  <c r="N35" i="99"/>
  <c r="L35" i="99"/>
  <c r="B35" i="99"/>
  <c r="Z34" i="99"/>
  <c r="X34" i="99"/>
  <c r="N34" i="99"/>
  <c r="L34" i="99"/>
  <c r="J34" i="99"/>
  <c r="B34" i="99"/>
  <c r="Z33" i="99"/>
  <c r="X33" i="99"/>
  <c r="N33" i="99"/>
  <c r="L33" i="99"/>
  <c r="B33" i="99"/>
  <c r="Z32" i="99"/>
  <c r="X32" i="99"/>
  <c r="N32" i="99"/>
  <c r="L32" i="99"/>
  <c r="B32" i="99"/>
  <c r="Z31" i="99"/>
  <c r="X31" i="99"/>
  <c r="V31" i="99"/>
  <c r="R31" i="99"/>
  <c r="N31" i="99"/>
  <c r="L31" i="99"/>
  <c r="B31" i="99"/>
  <c r="Z30" i="99"/>
  <c r="X30" i="99"/>
  <c r="N30" i="99"/>
  <c r="L30" i="99"/>
  <c r="J30" i="99"/>
  <c r="F30" i="99"/>
  <c r="B30" i="99"/>
  <c r="Z29" i="99"/>
  <c r="X29" i="99"/>
  <c r="R29" i="99"/>
  <c r="N29" i="99"/>
  <c r="L29" i="99"/>
  <c r="F29" i="99"/>
  <c r="B29" i="99"/>
  <c r="T28" i="99"/>
  <c r="P28" i="99"/>
  <c r="L28" i="99"/>
  <c r="N28" i="99" s="1"/>
  <c r="H28" i="99"/>
  <c r="F28" i="99"/>
  <c r="D28" i="99"/>
  <c r="B28" i="99"/>
  <c r="Z27" i="99"/>
  <c r="X27" i="99"/>
  <c r="N27" i="99"/>
  <c r="L27" i="99"/>
  <c r="B27" i="99"/>
  <c r="Z26" i="99"/>
  <c r="X26" i="99"/>
  <c r="R26" i="99"/>
  <c r="L26" i="99"/>
  <c r="N26" i="99" s="1"/>
  <c r="B26" i="99"/>
  <c r="Z25" i="99"/>
  <c r="X25" i="99"/>
  <c r="N25" i="99"/>
  <c r="L25" i="99"/>
  <c r="F25" i="99"/>
  <c r="B25" i="99"/>
  <c r="Z24" i="99"/>
  <c r="X24" i="99"/>
  <c r="R24" i="99"/>
  <c r="N24" i="99"/>
  <c r="L24" i="99"/>
  <c r="F24" i="99"/>
  <c r="B24" i="99"/>
  <c r="X23" i="99"/>
  <c r="Z23" i="99" s="1"/>
  <c r="R23" i="99"/>
  <c r="N23" i="99"/>
  <c r="L23" i="99"/>
  <c r="F23" i="99"/>
  <c r="B23" i="99"/>
  <c r="X22" i="99"/>
  <c r="Z22" i="99" s="1"/>
  <c r="R22" i="99"/>
  <c r="N22" i="99"/>
  <c r="L22" i="99"/>
  <c r="J22" i="99"/>
  <c r="B22" i="99"/>
  <c r="X21" i="99"/>
  <c r="Z21" i="99" s="1"/>
  <c r="N21" i="99"/>
  <c r="L21" i="99"/>
  <c r="F21" i="99"/>
  <c r="B21" i="99"/>
  <c r="Z20" i="99"/>
  <c r="X20" i="99"/>
  <c r="R20" i="99"/>
  <c r="N20" i="99"/>
  <c r="L20" i="99"/>
  <c r="F20" i="99"/>
  <c r="B20" i="99"/>
  <c r="T19" i="99"/>
  <c r="P19" i="99"/>
  <c r="L19" i="99"/>
  <c r="N19" i="99" s="1"/>
  <c r="H19" i="99"/>
  <c r="F19" i="99"/>
  <c r="D19" i="99"/>
  <c r="B19" i="99"/>
  <c r="X18" i="99"/>
  <c r="Z18" i="99" s="1"/>
  <c r="T18" i="99"/>
  <c r="P18" i="99"/>
  <c r="H18" i="99"/>
  <c r="D18" i="99"/>
  <c r="L18" i="99" s="1"/>
  <c r="V16" i="99"/>
  <c r="H16" i="99"/>
  <c r="Z14" i="99"/>
  <c r="X14" i="99"/>
  <c r="T14" i="99"/>
  <c r="P14" i="99"/>
  <c r="P16" i="99" s="1"/>
  <c r="H14" i="99"/>
  <c r="N14" i="99" s="1"/>
  <c r="D14" i="99"/>
  <c r="L14" i="99" s="1"/>
  <c r="Z12" i="99"/>
  <c r="X12" i="99"/>
  <c r="T12" i="99"/>
  <c r="P12" i="99"/>
  <c r="R43" i="99" s="1"/>
  <c r="H12" i="99"/>
  <c r="J43" i="99" s="1"/>
  <c r="D12" i="99"/>
  <c r="F48" i="99" s="1"/>
  <c r="D6" i="99"/>
  <c r="D4" i="99"/>
  <c r="V29" i="98"/>
  <c r="V26" i="98"/>
  <c r="Z24" i="98"/>
  <c r="X24" i="98"/>
  <c r="V24" i="98"/>
  <c r="N24" i="98"/>
  <c r="L24" i="98"/>
  <c r="J22" i="98"/>
  <c r="T20" i="98"/>
  <c r="Z20" i="98" s="1"/>
  <c r="P20" i="98"/>
  <c r="X20" i="98" s="1"/>
  <c r="N20" i="98"/>
  <c r="L20" i="98"/>
  <c r="H20" i="98"/>
  <c r="D20" i="98"/>
  <c r="T18" i="98"/>
  <c r="Z18" i="98" s="1"/>
  <c r="P18" i="98"/>
  <c r="X18" i="98" s="1"/>
  <c r="N18" i="98"/>
  <c r="L18" i="98"/>
  <c r="J18" i="98"/>
  <c r="H18" i="98"/>
  <c r="D18" i="98"/>
  <c r="T16" i="98"/>
  <c r="J16" i="98"/>
  <c r="T14" i="98"/>
  <c r="Z14" i="98" s="1"/>
  <c r="P14" i="98"/>
  <c r="X14" i="98" s="1"/>
  <c r="N14" i="98"/>
  <c r="L14" i="98"/>
  <c r="J14" i="98"/>
  <c r="H14" i="98"/>
  <c r="D14" i="98"/>
  <c r="Z12" i="98"/>
  <c r="T12" i="98"/>
  <c r="V22" i="98" s="1"/>
  <c r="P12" i="98"/>
  <c r="H12" i="98"/>
  <c r="D12" i="98"/>
  <c r="D6" i="98"/>
  <c r="D4" i="98"/>
  <c r="Z74" i="97"/>
  <c r="X74" i="97"/>
  <c r="N74" i="97"/>
  <c r="L74" i="97"/>
  <c r="Z70" i="97"/>
  <c r="X70" i="97"/>
  <c r="V70" i="97"/>
  <c r="T70" i="97"/>
  <c r="P70" i="97"/>
  <c r="H70" i="97"/>
  <c r="N70" i="97" s="1"/>
  <c r="D70" i="97"/>
  <c r="Z68" i="97"/>
  <c r="X68" i="97"/>
  <c r="N68" i="97"/>
  <c r="L68" i="97"/>
  <c r="B68" i="97"/>
  <c r="T67" i="97"/>
  <c r="Z67" i="97" s="1"/>
  <c r="R67" i="97"/>
  <c r="P67" i="97"/>
  <c r="H67" i="97"/>
  <c r="N67" i="97" s="1"/>
  <c r="D67" i="97"/>
  <c r="L67" i="97" s="1"/>
  <c r="B67" i="97"/>
  <c r="Z66" i="97"/>
  <c r="X66" i="97"/>
  <c r="R66" i="97"/>
  <c r="N66" i="97"/>
  <c r="L66" i="97"/>
  <c r="B66" i="97"/>
  <c r="Z65" i="97"/>
  <c r="X65" i="97"/>
  <c r="N65" i="97"/>
  <c r="L65" i="97"/>
  <c r="B65" i="97"/>
  <c r="T64" i="97"/>
  <c r="Z64" i="97" s="1"/>
  <c r="P64" i="97"/>
  <c r="X64" i="97" s="1"/>
  <c r="H64" i="97"/>
  <c r="D64" i="97"/>
  <c r="B64" i="97"/>
  <c r="Z63" i="97"/>
  <c r="X63" i="97"/>
  <c r="N63" i="97"/>
  <c r="L63" i="97"/>
  <c r="B63" i="97"/>
  <c r="Z62" i="97"/>
  <c r="X62" i="97"/>
  <c r="N62" i="97"/>
  <c r="L62" i="97"/>
  <c r="B62" i="97"/>
  <c r="Z61" i="97"/>
  <c r="X61" i="97"/>
  <c r="N61" i="97"/>
  <c r="L61" i="97"/>
  <c r="B61" i="97"/>
  <c r="Z60" i="97"/>
  <c r="X60" i="97"/>
  <c r="N60" i="97"/>
  <c r="L60" i="97"/>
  <c r="B60" i="97"/>
  <c r="Z59" i="97"/>
  <c r="X59" i="97"/>
  <c r="N59" i="97"/>
  <c r="L59" i="97"/>
  <c r="B59" i="97"/>
  <c r="Z58" i="97"/>
  <c r="X58" i="97"/>
  <c r="N58" i="97"/>
  <c r="L58" i="97"/>
  <c r="B58" i="97"/>
  <c r="Z57" i="97"/>
  <c r="X57" i="97"/>
  <c r="R57" i="97"/>
  <c r="N57" i="97"/>
  <c r="L57" i="97"/>
  <c r="B57" i="97"/>
  <c r="Z56" i="97"/>
  <c r="X56" i="97"/>
  <c r="N56" i="97"/>
  <c r="L56" i="97"/>
  <c r="B56" i="97"/>
  <c r="Z55" i="97"/>
  <c r="X55" i="97"/>
  <c r="T55" i="97"/>
  <c r="R55" i="97"/>
  <c r="P55" i="97"/>
  <c r="L55" i="97"/>
  <c r="J55" i="97"/>
  <c r="H55" i="97"/>
  <c r="N55" i="97" s="1"/>
  <c r="D55" i="97"/>
  <c r="B55" i="97"/>
  <c r="Z54" i="97"/>
  <c r="X54" i="97"/>
  <c r="N54" i="97"/>
  <c r="L54" i="97"/>
  <c r="B54" i="97"/>
  <c r="Z53" i="97"/>
  <c r="X53" i="97"/>
  <c r="N53" i="97"/>
  <c r="L53" i="97"/>
  <c r="B53" i="97"/>
  <c r="Z52" i="97"/>
  <c r="X52" i="97"/>
  <c r="T52" i="97"/>
  <c r="P52" i="97"/>
  <c r="H52" i="97"/>
  <c r="N52" i="97" s="1"/>
  <c r="D52" i="97"/>
  <c r="L52" i="97" s="1"/>
  <c r="B52" i="97"/>
  <c r="Z51" i="97"/>
  <c r="X51" i="97"/>
  <c r="N51" i="97"/>
  <c r="L51" i="97"/>
  <c r="B51" i="97"/>
  <c r="T50" i="97"/>
  <c r="R50" i="97"/>
  <c r="P50" i="97"/>
  <c r="H50" i="97"/>
  <c r="N50" i="97" s="1"/>
  <c r="D50" i="97"/>
  <c r="L50" i="97" s="1"/>
  <c r="B50" i="97"/>
  <c r="Z49" i="97"/>
  <c r="X49" i="97"/>
  <c r="N49" i="97"/>
  <c r="L49" i="97"/>
  <c r="B49" i="97"/>
  <c r="T48" i="97"/>
  <c r="Z48" i="97" s="1"/>
  <c r="R48" i="97"/>
  <c r="P48" i="97"/>
  <c r="X48" i="97" s="1"/>
  <c r="N48" i="97"/>
  <c r="H48" i="97"/>
  <c r="D48" i="97"/>
  <c r="L48" i="97" s="1"/>
  <c r="B48" i="97"/>
  <c r="Z47" i="97"/>
  <c r="X47" i="97"/>
  <c r="N47" i="97"/>
  <c r="L47" i="97"/>
  <c r="B47" i="97"/>
  <c r="T46" i="97"/>
  <c r="P46" i="97"/>
  <c r="N46" i="97"/>
  <c r="L46" i="97"/>
  <c r="H46" i="97"/>
  <c r="D46" i="97"/>
  <c r="B46" i="97"/>
  <c r="Z45" i="97"/>
  <c r="X45" i="97"/>
  <c r="V45" i="97"/>
  <c r="L45" i="97"/>
  <c r="N45" i="97" s="1"/>
  <c r="J45" i="97"/>
  <c r="F45" i="97"/>
  <c r="B45" i="97"/>
  <c r="Z44" i="97"/>
  <c r="X44" i="97"/>
  <c r="N44" i="97"/>
  <c r="L44" i="97"/>
  <c r="B44" i="97"/>
  <c r="T43" i="97"/>
  <c r="P43" i="97"/>
  <c r="X43" i="97" s="1"/>
  <c r="Z43" i="97" s="1"/>
  <c r="H43" i="97"/>
  <c r="D43" i="97"/>
  <c r="L43" i="97" s="1"/>
  <c r="N43" i="97" s="1"/>
  <c r="B43" i="97"/>
  <c r="Z42" i="97"/>
  <c r="X42" i="97"/>
  <c r="N42" i="97"/>
  <c r="L42" i="97"/>
  <c r="B42" i="97"/>
  <c r="V41" i="97"/>
  <c r="T41" i="97"/>
  <c r="P41" i="97"/>
  <c r="N41" i="97"/>
  <c r="L41" i="97"/>
  <c r="H41" i="97"/>
  <c r="D41" i="97"/>
  <c r="B41" i="97"/>
  <c r="Z40" i="97"/>
  <c r="X40" i="97"/>
  <c r="N40" i="97"/>
  <c r="L40" i="97"/>
  <c r="B40" i="97"/>
  <c r="Z39" i="97"/>
  <c r="X39" i="97"/>
  <c r="N39" i="97"/>
  <c r="L39" i="97"/>
  <c r="B39" i="97"/>
  <c r="Z38" i="97"/>
  <c r="X38" i="97"/>
  <c r="R38" i="97"/>
  <c r="N38" i="97"/>
  <c r="L38" i="97"/>
  <c r="B38" i="97"/>
  <c r="Z37" i="97"/>
  <c r="X37" i="97"/>
  <c r="R37" i="97"/>
  <c r="N37" i="97"/>
  <c r="L37" i="97"/>
  <c r="B37" i="97"/>
  <c r="Z36" i="97"/>
  <c r="X36" i="97"/>
  <c r="N36" i="97"/>
  <c r="L36" i="97"/>
  <c r="B36" i="97"/>
  <c r="Z35" i="97"/>
  <c r="X35" i="97"/>
  <c r="R35" i="97"/>
  <c r="N35" i="97"/>
  <c r="L35" i="97"/>
  <c r="B35" i="97"/>
  <c r="Z34" i="97"/>
  <c r="X34" i="97"/>
  <c r="N34" i="97"/>
  <c r="L34" i="97"/>
  <c r="B34" i="97"/>
  <c r="Z33" i="97"/>
  <c r="X33" i="97"/>
  <c r="R33" i="97"/>
  <c r="N33" i="97"/>
  <c r="L33" i="97"/>
  <c r="B33" i="97"/>
  <c r="Z32" i="97"/>
  <c r="X32" i="97"/>
  <c r="N32" i="97"/>
  <c r="L32" i="97"/>
  <c r="B32" i="97"/>
  <c r="Z31" i="97"/>
  <c r="X31" i="97"/>
  <c r="R31" i="97"/>
  <c r="N31" i="97"/>
  <c r="L31" i="97"/>
  <c r="B31" i="97"/>
  <c r="T30" i="97"/>
  <c r="Z30" i="97" s="1"/>
  <c r="P30" i="97"/>
  <c r="N30" i="97"/>
  <c r="L30" i="97"/>
  <c r="H30" i="97"/>
  <c r="D30" i="97"/>
  <c r="B30" i="97"/>
  <c r="Z29" i="97"/>
  <c r="X29" i="97"/>
  <c r="N29" i="97"/>
  <c r="L29" i="97"/>
  <c r="B29" i="97"/>
  <c r="Z28" i="97"/>
  <c r="X28" i="97"/>
  <c r="N28" i="97"/>
  <c r="L28" i="97"/>
  <c r="B28" i="97"/>
  <c r="Z27" i="97"/>
  <c r="X27" i="97"/>
  <c r="N27" i="97"/>
  <c r="L27" i="97"/>
  <c r="B27" i="97"/>
  <c r="Z26" i="97"/>
  <c r="X26" i="97"/>
  <c r="N26" i="97"/>
  <c r="L26" i="97"/>
  <c r="B26" i="97"/>
  <c r="Z25" i="97"/>
  <c r="X25" i="97"/>
  <c r="V25" i="97"/>
  <c r="N25" i="97"/>
  <c r="L25" i="97"/>
  <c r="B25" i="97"/>
  <c r="Z24" i="97"/>
  <c r="X24" i="97"/>
  <c r="V24" i="97"/>
  <c r="R24" i="97"/>
  <c r="N24" i="97"/>
  <c r="L24" i="97"/>
  <c r="B24" i="97"/>
  <c r="Z23" i="97"/>
  <c r="X23" i="97"/>
  <c r="N23" i="97"/>
  <c r="L23" i="97"/>
  <c r="B23" i="97"/>
  <c r="Z22" i="97"/>
  <c r="X22" i="97"/>
  <c r="R22" i="97"/>
  <c r="N22" i="97"/>
  <c r="L22" i="97"/>
  <c r="B22" i="97"/>
  <c r="Z21" i="97"/>
  <c r="T21" i="97"/>
  <c r="R21" i="97"/>
  <c r="P21" i="97"/>
  <c r="X21" i="97" s="1"/>
  <c r="N21" i="97"/>
  <c r="H21" i="97"/>
  <c r="D21" i="97"/>
  <c r="L21" i="97" s="1"/>
  <c r="B21" i="97"/>
  <c r="T20" i="97"/>
  <c r="P20" i="97"/>
  <c r="X20" i="97" s="1"/>
  <c r="H20" i="97"/>
  <c r="D20" i="97"/>
  <c r="T18" i="97"/>
  <c r="R18" i="97"/>
  <c r="P18" i="97"/>
  <c r="P72" i="97" s="1"/>
  <c r="Z16" i="97"/>
  <c r="X16" i="97"/>
  <c r="R16" i="97"/>
  <c r="N16" i="97"/>
  <c r="L16" i="97"/>
  <c r="B16" i="97"/>
  <c r="Z15" i="97"/>
  <c r="X15" i="97"/>
  <c r="T15" i="97"/>
  <c r="R15" i="97"/>
  <c r="P15" i="97"/>
  <c r="H15" i="97"/>
  <c r="D15" i="97"/>
  <c r="Z13" i="97"/>
  <c r="X13" i="97"/>
  <c r="P13" i="97"/>
  <c r="P12" i="97" s="1"/>
  <c r="R49" i="97" s="1"/>
  <c r="N13" i="97"/>
  <c r="L13" i="97"/>
  <c r="D13" i="97"/>
  <c r="B13" i="97"/>
  <c r="Z12" i="97"/>
  <c r="X12" i="97"/>
  <c r="T12" i="97"/>
  <c r="H12" i="97"/>
  <c r="D12" i="97"/>
  <c r="F21" i="97" s="1"/>
  <c r="D6" i="97"/>
  <c r="D4" i="97"/>
  <c r="X86" i="95"/>
  <c r="Z86" i="95" s="1"/>
  <c r="L86" i="95"/>
  <c r="N86" i="95" s="1"/>
  <c r="Z82" i="95"/>
  <c r="T82" i="95"/>
  <c r="P82" i="95"/>
  <c r="X82" i="95" s="1"/>
  <c r="N82" i="95"/>
  <c r="L82" i="95"/>
  <c r="H82" i="95"/>
  <c r="D82" i="95"/>
  <c r="X80" i="95"/>
  <c r="Z80" i="95" s="1"/>
  <c r="L80" i="95"/>
  <c r="N80" i="95" s="1"/>
  <c r="J80" i="95"/>
  <c r="F80" i="95"/>
  <c r="B80" i="95"/>
  <c r="T79" i="95"/>
  <c r="Z79" i="95" s="1"/>
  <c r="P79" i="95"/>
  <c r="X79" i="95" s="1"/>
  <c r="J79" i="95"/>
  <c r="H79" i="95"/>
  <c r="F79" i="95"/>
  <c r="D79" i="95"/>
  <c r="L79" i="95" s="1"/>
  <c r="B79" i="95"/>
  <c r="Z78" i="95"/>
  <c r="X78" i="95"/>
  <c r="N78" i="95"/>
  <c r="L78" i="95"/>
  <c r="F78" i="95"/>
  <c r="B78" i="95"/>
  <c r="Z77" i="95"/>
  <c r="X77" i="95"/>
  <c r="L77" i="95"/>
  <c r="N77" i="95" s="1"/>
  <c r="B77" i="95"/>
  <c r="T76" i="95"/>
  <c r="P76" i="95"/>
  <c r="H76" i="95"/>
  <c r="D76" i="95"/>
  <c r="L76" i="95" s="1"/>
  <c r="B76" i="95"/>
  <c r="Z75" i="95"/>
  <c r="X75" i="95"/>
  <c r="V75" i="95"/>
  <c r="N75" i="95"/>
  <c r="L75" i="95"/>
  <c r="B75" i="95"/>
  <c r="Z74" i="95"/>
  <c r="X74" i="95"/>
  <c r="L74" i="95"/>
  <c r="N74" i="95" s="1"/>
  <c r="B74" i="95"/>
  <c r="X73" i="95"/>
  <c r="Z73" i="95" s="1"/>
  <c r="N73" i="95"/>
  <c r="L73" i="95"/>
  <c r="J73" i="95"/>
  <c r="F73" i="95"/>
  <c r="B73" i="95"/>
  <c r="Z72" i="95"/>
  <c r="X72" i="95"/>
  <c r="L72" i="95"/>
  <c r="N72" i="95" s="1"/>
  <c r="B72" i="95"/>
  <c r="Z71" i="95"/>
  <c r="X71" i="95"/>
  <c r="V71" i="95"/>
  <c r="N71" i="95"/>
  <c r="L71" i="95"/>
  <c r="B71" i="95"/>
  <c r="T70" i="95"/>
  <c r="P70" i="95"/>
  <c r="X70" i="95" s="1"/>
  <c r="H70" i="95"/>
  <c r="D70" i="95"/>
  <c r="L70" i="95" s="1"/>
  <c r="N70" i="95" s="1"/>
  <c r="B70" i="95"/>
  <c r="Z69" i="95"/>
  <c r="X69" i="95"/>
  <c r="V69" i="95"/>
  <c r="N69" i="95"/>
  <c r="L69" i="95"/>
  <c r="B69" i="95"/>
  <c r="T68" i="95"/>
  <c r="P68" i="95"/>
  <c r="X68" i="95" s="1"/>
  <c r="N68" i="95"/>
  <c r="L68" i="95"/>
  <c r="H68" i="95"/>
  <c r="D68" i="95"/>
  <c r="B68" i="95"/>
  <c r="X67" i="95"/>
  <c r="Z67" i="95" s="1"/>
  <c r="N67" i="95"/>
  <c r="L67" i="95"/>
  <c r="J67" i="95"/>
  <c r="B67" i="95"/>
  <c r="Z66" i="95"/>
  <c r="X66" i="95"/>
  <c r="N66" i="95"/>
  <c r="L66" i="95"/>
  <c r="F66" i="95"/>
  <c r="B66" i="95"/>
  <c r="Z65" i="95"/>
  <c r="X65" i="95"/>
  <c r="L65" i="95"/>
  <c r="N65" i="95" s="1"/>
  <c r="B65" i="95"/>
  <c r="X64" i="95"/>
  <c r="Z64" i="95" s="1"/>
  <c r="V64" i="95"/>
  <c r="N64" i="95"/>
  <c r="L64" i="95"/>
  <c r="B64" i="95"/>
  <c r="T63" i="95"/>
  <c r="P63" i="95"/>
  <c r="X63" i="95" s="1"/>
  <c r="Z63" i="95" s="1"/>
  <c r="N63" i="95"/>
  <c r="H63" i="95"/>
  <c r="D63" i="95"/>
  <c r="L63" i="95" s="1"/>
  <c r="B63" i="95"/>
  <c r="Z62" i="95"/>
  <c r="X62" i="95"/>
  <c r="N62" i="95"/>
  <c r="L62" i="95"/>
  <c r="B62" i="95"/>
  <c r="Z61" i="95"/>
  <c r="X61" i="95"/>
  <c r="N61" i="95"/>
  <c r="L61" i="95"/>
  <c r="J61" i="95"/>
  <c r="F61" i="95"/>
  <c r="B61" i="95"/>
  <c r="T60" i="95"/>
  <c r="P60" i="95"/>
  <c r="X60" i="95" s="1"/>
  <c r="Z60" i="95" s="1"/>
  <c r="H60" i="95"/>
  <c r="F60" i="95"/>
  <c r="D60" i="95"/>
  <c r="B60" i="95"/>
  <c r="Z59" i="95"/>
  <c r="X59" i="95"/>
  <c r="L59" i="95"/>
  <c r="N59" i="95" s="1"/>
  <c r="B59" i="95"/>
  <c r="Z58" i="95"/>
  <c r="X58" i="95"/>
  <c r="T58" i="95"/>
  <c r="P58" i="95"/>
  <c r="H58" i="95"/>
  <c r="N58" i="95" s="1"/>
  <c r="D58" i="95"/>
  <c r="L58" i="95" s="1"/>
  <c r="B58" i="95"/>
  <c r="Z57" i="95"/>
  <c r="X57" i="95"/>
  <c r="L57" i="95"/>
  <c r="N57" i="95" s="1"/>
  <c r="F57" i="95"/>
  <c r="B57" i="95"/>
  <c r="T56" i="95"/>
  <c r="P56" i="95"/>
  <c r="H56" i="95"/>
  <c r="N56" i="95" s="1"/>
  <c r="F56" i="95"/>
  <c r="D56" i="95"/>
  <c r="L56" i="95" s="1"/>
  <c r="B56" i="95"/>
  <c r="Z55" i="95"/>
  <c r="X55" i="95"/>
  <c r="V55" i="95"/>
  <c r="N55" i="95"/>
  <c r="L55" i="95"/>
  <c r="B55" i="95"/>
  <c r="T54" i="95"/>
  <c r="P54" i="95"/>
  <c r="X54" i="95" s="1"/>
  <c r="H54" i="95"/>
  <c r="D54" i="95"/>
  <c r="L54" i="95" s="1"/>
  <c r="N54" i="95" s="1"/>
  <c r="B54" i="95"/>
  <c r="Z53" i="95"/>
  <c r="X53" i="95"/>
  <c r="V53" i="95"/>
  <c r="N53" i="95"/>
  <c r="L53" i="95"/>
  <c r="B53" i="95"/>
  <c r="V52" i="95"/>
  <c r="T52" i="95"/>
  <c r="Z52" i="95" s="1"/>
  <c r="P52" i="95"/>
  <c r="X52" i="95" s="1"/>
  <c r="L52" i="95"/>
  <c r="N52" i="95" s="1"/>
  <c r="H52" i="95"/>
  <c r="D52" i="95"/>
  <c r="B52" i="95"/>
  <c r="X51" i="95"/>
  <c r="Z51" i="95" s="1"/>
  <c r="V51" i="95"/>
  <c r="L51" i="95"/>
  <c r="N51" i="95" s="1"/>
  <c r="J51" i="95"/>
  <c r="B51" i="95"/>
  <c r="Z50" i="95"/>
  <c r="X50" i="95"/>
  <c r="N50" i="95"/>
  <c r="L50" i="95"/>
  <c r="F50" i="95"/>
  <c r="B50" i="95"/>
  <c r="Z49" i="95"/>
  <c r="T49" i="95"/>
  <c r="P49" i="95"/>
  <c r="X49" i="95" s="1"/>
  <c r="H49" i="95"/>
  <c r="F49" i="95"/>
  <c r="D49" i="95"/>
  <c r="L49" i="95" s="1"/>
  <c r="N49" i="95" s="1"/>
  <c r="B49" i="95"/>
  <c r="Z48" i="95"/>
  <c r="X48" i="95"/>
  <c r="N48" i="95"/>
  <c r="L48" i="95"/>
  <c r="F48" i="95"/>
  <c r="B48" i="95"/>
  <c r="Z47" i="95"/>
  <c r="X47" i="95"/>
  <c r="V47" i="95"/>
  <c r="T47" i="95"/>
  <c r="P47" i="95"/>
  <c r="H47" i="95"/>
  <c r="F47" i="95"/>
  <c r="D47" i="95"/>
  <c r="B47" i="95"/>
  <c r="X46" i="95"/>
  <c r="Z46" i="95" s="1"/>
  <c r="N46" i="95"/>
  <c r="L46" i="95"/>
  <c r="B46" i="95"/>
  <c r="T45" i="95"/>
  <c r="P45" i="95"/>
  <c r="X45" i="95" s="1"/>
  <c r="H45" i="95"/>
  <c r="D45" i="95"/>
  <c r="L45" i="95" s="1"/>
  <c r="B45" i="95"/>
  <c r="X44" i="95"/>
  <c r="Z44" i="95" s="1"/>
  <c r="V44" i="95"/>
  <c r="N44" i="95"/>
  <c r="L44" i="95"/>
  <c r="B44" i="95"/>
  <c r="V43" i="95"/>
  <c r="T43" i="95"/>
  <c r="P43" i="95"/>
  <c r="X43" i="95" s="1"/>
  <c r="Z43" i="95" s="1"/>
  <c r="H43" i="95"/>
  <c r="D43" i="95"/>
  <c r="L43" i="95" s="1"/>
  <c r="N43" i="95" s="1"/>
  <c r="B43" i="95"/>
  <c r="Z42" i="95"/>
  <c r="X42" i="95"/>
  <c r="N42" i="95"/>
  <c r="L42" i="95"/>
  <c r="B42" i="95"/>
  <c r="Z41" i="95"/>
  <c r="X41" i="95"/>
  <c r="N41" i="95"/>
  <c r="L41" i="95"/>
  <c r="J41" i="95"/>
  <c r="F41" i="95"/>
  <c r="B41" i="95"/>
  <c r="Z40" i="95"/>
  <c r="X40" i="95"/>
  <c r="N40" i="95"/>
  <c r="L40" i="95"/>
  <c r="F40" i="95"/>
  <c r="B40" i="95"/>
  <c r="X39" i="95"/>
  <c r="Z39" i="95" s="1"/>
  <c r="V39" i="95"/>
  <c r="N39" i="95"/>
  <c r="L39" i="95"/>
  <c r="B39" i="95"/>
  <c r="Z38" i="95"/>
  <c r="X38" i="95"/>
  <c r="N38" i="95"/>
  <c r="L38" i="95"/>
  <c r="B38" i="95"/>
  <c r="X37" i="95"/>
  <c r="Z37" i="95" s="1"/>
  <c r="N37" i="95"/>
  <c r="L37" i="95"/>
  <c r="J37" i="95"/>
  <c r="F37" i="95"/>
  <c r="B37" i="95"/>
  <c r="Z36" i="95"/>
  <c r="X36" i="95"/>
  <c r="N36" i="95"/>
  <c r="L36" i="95"/>
  <c r="F36" i="95"/>
  <c r="B36" i="95"/>
  <c r="Z35" i="95"/>
  <c r="X35" i="95"/>
  <c r="V35" i="95"/>
  <c r="N35" i="95"/>
  <c r="L35" i="95"/>
  <c r="B35" i="95"/>
  <c r="Z34" i="95"/>
  <c r="X34" i="95"/>
  <c r="L34" i="95"/>
  <c r="N34" i="95" s="1"/>
  <c r="B34" i="95"/>
  <c r="Z33" i="95"/>
  <c r="X33" i="95"/>
  <c r="N33" i="95"/>
  <c r="L33" i="95"/>
  <c r="J33" i="95"/>
  <c r="F33" i="95"/>
  <c r="B33" i="95"/>
  <c r="T32" i="95"/>
  <c r="P32" i="95"/>
  <c r="X32" i="95" s="1"/>
  <c r="Z32" i="95" s="1"/>
  <c r="H32" i="95"/>
  <c r="N32" i="95" s="1"/>
  <c r="F32" i="95"/>
  <c r="D32" i="95"/>
  <c r="L32" i="95" s="1"/>
  <c r="B32" i="95"/>
  <c r="Z31" i="95"/>
  <c r="X31" i="95"/>
  <c r="N31" i="95"/>
  <c r="L31" i="95"/>
  <c r="B31" i="95"/>
  <c r="X30" i="95"/>
  <c r="Z30" i="95" s="1"/>
  <c r="N30" i="95"/>
  <c r="L30" i="95"/>
  <c r="B30" i="95"/>
  <c r="Z29" i="95"/>
  <c r="X29" i="95"/>
  <c r="V29" i="95"/>
  <c r="N29" i="95"/>
  <c r="L29" i="95"/>
  <c r="B29" i="95"/>
  <c r="Z28" i="95"/>
  <c r="X28" i="95"/>
  <c r="V28" i="95"/>
  <c r="N28" i="95"/>
  <c r="L28" i="95"/>
  <c r="J28" i="95"/>
  <c r="F28" i="95"/>
  <c r="B28" i="95"/>
  <c r="X27" i="95"/>
  <c r="Z27" i="95" s="1"/>
  <c r="L27" i="95"/>
  <c r="N27" i="95" s="1"/>
  <c r="B27" i="95"/>
  <c r="X26" i="95"/>
  <c r="Z26" i="95" s="1"/>
  <c r="N26" i="95"/>
  <c r="L26" i="95"/>
  <c r="B26" i="95"/>
  <c r="Z25" i="95"/>
  <c r="X25" i="95"/>
  <c r="V25" i="95"/>
  <c r="N25" i="95"/>
  <c r="L25" i="95"/>
  <c r="B25" i="95"/>
  <c r="Z24" i="95"/>
  <c r="X24" i="95"/>
  <c r="V24" i="95"/>
  <c r="L24" i="95"/>
  <c r="N24" i="95" s="1"/>
  <c r="J24" i="95"/>
  <c r="F24" i="95"/>
  <c r="B24" i="95"/>
  <c r="X23" i="95"/>
  <c r="Z23" i="95" s="1"/>
  <c r="L23" i="95"/>
  <c r="N23" i="95" s="1"/>
  <c r="B23" i="95"/>
  <c r="Z22" i="95"/>
  <c r="X22" i="95"/>
  <c r="T22" i="95"/>
  <c r="P22" i="95"/>
  <c r="J22" i="95"/>
  <c r="H22" i="95"/>
  <c r="D22" i="95"/>
  <c r="L22" i="95" s="1"/>
  <c r="B22" i="95"/>
  <c r="Z21" i="95"/>
  <c r="T21" i="95"/>
  <c r="P21" i="95"/>
  <c r="X21" i="95" s="1"/>
  <c r="L21" i="95"/>
  <c r="N21" i="95" s="1"/>
  <c r="H21" i="95"/>
  <c r="F21" i="95"/>
  <c r="D21" i="95"/>
  <c r="F19" i="95"/>
  <c r="D19" i="95"/>
  <c r="D84" i="95" s="1"/>
  <c r="Z17" i="95"/>
  <c r="X17" i="95"/>
  <c r="L17" i="95"/>
  <c r="N17" i="95" s="1"/>
  <c r="F17" i="95"/>
  <c r="B17" i="95"/>
  <c r="X16" i="95"/>
  <c r="T16" i="95"/>
  <c r="P16" i="95"/>
  <c r="H16" i="95"/>
  <c r="F16" i="95"/>
  <c r="D16" i="95"/>
  <c r="L16" i="95" s="1"/>
  <c r="P14" i="95"/>
  <c r="X14" i="95" s="1"/>
  <c r="Z14" i="95" s="1"/>
  <c r="N14" i="95"/>
  <c r="L14" i="95"/>
  <c r="D14" i="95"/>
  <c r="B14" i="95"/>
  <c r="X13" i="95"/>
  <c r="Z13" i="95" s="1"/>
  <c r="P13" i="95"/>
  <c r="N13" i="95"/>
  <c r="L13" i="95"/>
  <c r="D13" i="95"/>
  <c r="B13" i="95"/>
  <c r="T12" i="95"/>
  <c r="V58" i="95" s="1"/>
  <c r="H12" i="95"/>
  <c r="J77" i="95" s="1"/>
  <c r="D12" i="95"/>
  <c r="F77" i="95" s="1"/>
  <c r="D6" i="95"/>
  <c r="D4" i="95"/>
  <c r="V78" i="94"/>
  <c r="V75" i="94"/>
  <c r="J75" i="94"/>
  <c r="Z73" i="94"/>
  <c r="X73" i="94"/>
  <c r="V73" i="94"/>
  <c r="N73" i="94"/>
  <c r="L73" i="94"/>
  <c r="V71" i="94"/>
  <c r="Z69" i="94"/>
  <c r="V69" i="94"/>
  <c r="T69" i="94"/>
  <c r="P69" i="94"/>
  <c r="X69" i="94" s="1"/>
  <c r="N69" i="94"/>
  <c r="L69" i="94"/>
  <c r="H69" i="94"/>
  <c r="D69" i="94"/>
  <c r="Z67" i="94"/>
  <c r="X67" i="94"/>
  <c r="V67" i="94"/>
  <c r="N67" i="94"/>
  <c r="L67" i="94"/>
  <c r="B67" i="94"/>
  <c r="T66" i="94"/>
  <c r="Z66" i="94" s="1"/>
  <c r="P66" i="94"/>
  <c r="J66" i="94"/>
  <c r="H66" i="94"/>
  <c r="N66" i="94" s="1"/>
  <c r="D66" i="94"/>
  <c r="B66" i="94"/>
  <c r="Z65" i="94"/>
  <c r="X65" i="94"/>
  <c r="V65" i="94"/>
  <c r="N65" i="94"/>
  <c r="L65" i="94"/>
  <c r="B65" i="94"/>
  <c r="Z64" i="94"/>
  <c r="X64" i="94"/>
  <c r="T64" i="94"/>
  <c r="P64" i="94"/>
  <c r="N64" i="94"/>
  <c r="H64" i="94"/>
  <c r="D64" i="94"/>
  <c r="L64" i="94" s="1"/>
  <c r="B64" i="94"/>
  <c r="Z63" i="94"/>
  <c r="X63" i="94"/>
  <c r="N63" i="94"/>
  <c r="L63" i="94"/>
  <c r="B63" i="94"/>
  <c r="V62" i="94"/>
  <c r="T62" i="94"/>
  <c r="Z62" i="94" s="1"/>
  <c r="P62" i="94"/>
  <c r="L62" i="94"/>
  <c r="H62" i="94"/>
  <c r="N62" i="94" s="1"/>
  <c r="D62" i="94"/>
  <c r="B62" i="94"/>
  <c r="Z61" i="94"/>
  <c r="X61" i="94"/>
  <c r="V61" i="94"/>
  <c r="N61" i="94"/>
  <c r="L61" i="94"/>
  <c r="B61" i="94"/>
  <c r="Z60" i="94"/>
  <c r="X60" i="94"/>
  <c r="V60" i="94"/>
  <c r="N60" i="94"/>
  <c r="L60" i="94"/>
  <c r="B60" i="94"/>
  <c r="Z59" i="94"/>
  <c r="X59" i="94"/>
  <c r="V59" i="94"/>
  <c r="N59" i="94"/>
  <c r="L59" i="94"/>
  <c r="J59" i="94"/>
  <c r="B59" i="94"/>
  <c r="T58" i="94"/>
  <c r="Z58" i="94" s="1"/>
  <c r="P58" i="94"/>
  <c r="H58" i="94"/>
  <c r="N58" i="94" s="1"/>
  <c r="D58" i="94"/>
  <c r="L58" i="94" s="1"/>
  <c r="B58" i="94"/>
  <c r="Z57" i="94"/>
  <c r="X57" i="94"/>
  <c r="V57" i="94"/>
  <c r="N57" i="94"/>
  <c r="L57" i="94"/>
  <c r="B57" i="94"/>
  <c r="Z56" i="94"/>
  <c r="T56" i="94"/>
  <c r="P56" i="94"/>
  <c r="X56" i="94" s="1"/>
  <c r="N56" i="94"/>
  <c r="L56" i="94"/>
  <c r="J56" i="94"/>
  <c r="H56" i="94"/>
  <c r="D56" i="94"/>
  <c r="B56" i="94"/>
  <c r="Z55" i="94"/>
  <c r="X55" i="94"/>
  <c r="N55" i="94"/>
  <c r="L55" i="94"/>
  <c r="J55" i="94"/>
  <c r="B55" i="94"/>
  <c r="Z54" i="94"/>
  <c r="X54" i="94"/>
  <c r="V54" i="94"/>
  <c r="T54" i="94"/>
  <c r="P54" i="94"/>
  <c r="H54" i="94"/>
  <c r="N54" i="94" s="1"/>
  <c r="D54" i="94"/>
  <c r="B54" i="94"/>
  <c r="Z53" i="94"/>
  <c r="X53" i="94"/>
  <c r="V53" i="94"/>
  <c r="N53" i="94"/>
  <c r="L53" i="94"/>
  <c r="B53" i="94"/>
  <c r="V52" i="94"/>
  <c r="T52" i="94"/>
  <c r="Z52" i="94" s="1"/>
  <c r="P52" i="94"/>
  <c r="X52" i="94" s="1"/>
  <c r="H52" i="94"/>
  <c r="N52" i="94" s="1"/>
  <c r="D52" i="94"/>
  <c r="L52" i="94" s="1"/>
  <c r="B52" i="94"/>
  <c r="Z51" i="94"/>
  <c r="X51" i="94"/>
  <c r="V51" i="94"/>
  <c r="N51" i="94"/>
  <c r="L51" i="94"/>
  <c r="B51" i="94"/>
  <c r="V50" i="94"/>
  <c r="T50" i="94"/>
  <c r="Z50" i="94" s="1"/>
  <c r="P50" i="94"/>
  <c r="X50" i="94" s="1"/>
  <c r="N50" i="94"/>
  <c r="L50" i="94"/>
  <c r="H50" i="94"/>
  <c r="D50" i="94"/>
  <c r="B50" i="94"/>
  <c r="X49" i="94"/>
  <c r="Z49" i="94" s="1"/>
  <c r="V49" i="94"/>
  <c r="L49" i="94"/>
  <c r="N49" i="94" s="1"/>
  <c r="J49" i="94"/>
  <c r="B49" i="94"/>
  <c r="X48" i="94"/>
  <c r="V48" i="94"/>
  <c r="T48" i="94"/>
  <c r="P48" i="94"/>
  <c r="N48" i="94"/>
  <c r="L48" i="94"/>
  <c r="J48" i="94"/>
  <c r="H48" i="94"/>
  <c r="D48" i="94"/>
  <c r="B48" i="94"/>
  <c r="Z47" i="94"/>
  <c r="X47" i="94"/>
  <c r="V47" i="94"/>
  <c r="N47" i="94"/>
  <c r="L47" i="94"/>
  <c r="B47" i="94"/>
  <c r="T46" i="94"/>
  <c r="Z46" i="94" s="1"/>
  <c r="P46" i="94"/>
  <c r="X46" i="94" s="1"/>
  <c r="J46" i="94"/>
  <c r="H46" i="94"/>
  <c r="N46" i="94" s="1"/>
  <c r="D46" i="94"/>
  <c r="B46" i="94"/>
  <c r="Z45" i="94"/>
  <c r="X45" i="94"/>
  <c r="V45" i="94"/>
  <c r="N45" i="94"/>
  <c r="L45" i="94"/>
  <c r="B45" i="94"/>
  <c r="Z44" i="94"/>
  <c r="X44" i="94"/>
  <c r="T44" i="94"/>
  <c r="P44" i="94"/>
  <c r="N44" i="94"/>
  <c r="H44" i="94"/>
  <c r="D44" i="94"/>
  <c r="L44" i="94" s="1"/>
  <c r="B44" i="94"/>
  <c r="Z43" i="94"/>
  <c r="X43" i="94"/>
  <c r="N43" i="94"/>
  <c r="L43" i="94"/>
  <c r="B43" i="94"/>
  <c r="Z42" i="94"/>
  <c r="X42" i="94"/>
  <c r="V42" i="94"/>
  <c r="N42" i="94"/>
  <c r="L42" i="94"/>
  <c r="B42" i="94"/>
  <c r="Z41" i="94"/>
  <c r="X41" i="94"/>
  <c r="V41" i="94"/>
  <c r="N41" i="94"/>
  <c r="L41" i="94"/>
  <c r="J41" i="94"/>
  <c r="B41" i="94"/>
  <c r="Z40" i="94"/>
  <c r="X40" i="94"/>
  <c r="V40" i="94"/>
  <c r="N40" i="94"/>
  <c r="L40" i="94"/>
  <c r="B40" i="94"/>
  <c r="Z39" i="94"/>
  <c r="X39" i="94"/>
  <c r="V39" i="94"/>
  <c r="N39" i="94"/>
  <c r="L39" i="94"/>
  <c r="J39" i="94"/>
  <c r="B39" i="94"/>
  <c r="Z38" i="94"/>
  <c r="X38" i="94"/>
  <c r="V38" i="94"/>
  <c r="N38" i="94"/>
  <c r="L38" i="94"/>
  <c r="B38" i="94"/>
  <c r="Z37" i="94"/>
  <c r="X37" i="94"/>
  <c r="V37" i="94"/>
  <c r="N37" i="94"/>
  <c r="L37" i="94"/>
  <c r="B37" i="94"/>
  <c r="Z36" i="94"/>
  <c r="X36" i="94"/>
  <c r="V36" i="94"/>
  <c r="N36" i="94"/>
  <c r="L36" i="94"/>
  <c r="J36" i="94"/>
  <c r="B36" i="94"/>
  <c r="Z35" i="94"/>
  <c r="X35" i="94"/>
  <c r="V35" i="94"/>
  <c r="N35" i="94"/>
  <c r="L35" i="94"/>
  <c r="B35" i="94"/>
  <c r="Z34" i="94"/>
  <c r="X34" i="94"/>
  <c r="V34" i="94"/>
  <c r="N34" i="94"/>
  <c r="L34" i="94"/>
  <c r="B34" i="94"/>
  <c r="V33" i="94"/>
  <c r="T33" i="94"/>
  <c r="Z33" i="94" s="1"/>
  <c r="P33" i="94"/>
  <c r="X33" i="94" s="1"/>
  <c r="N33" i="94"/>
  <c r="H33" i="94"/>
  <c r="D33" i="94"/>
  <c r="L33" i="94" s="1"/>
  <c r="B33" i="94"/>
  <c r="Z32" i="94"/>
  <c r="X32" i="94"/>
  <c r="V32" i="94"/>
  <c r="N32" i="94"/>
  <c r="L32" i="94"/>
  <c r="B32" i="94"/>
  <c r="Z31" i="94"/>
  <c r="X31" i="94"/>
  <c r="V31" i="94"/>
  <c r="N31" i="94"/>
  <c r="L31" i="94"/>
  <c r="J31" i="94"/>
  <c r="B31" i="94"/>
  <c r="Z30" i="94"/>
  <c r="X30" i="94"/>
  <c r="N30" i="94"/>
  <c r="L30" i="94"/>
  <c r="B30" i="94"/>
  <c r="Z29" i="94"/>
  <c r="X29" i="94"/>
  <c r="V29" i="94"/>
  <c r="N29" i="94"/>
  <c r="L29" i="94"/>
  <c r="J29" i="94"/>
  <c r="B29" i="94"/>
  <c r="Z28" i="94"/>
  <c r="X28" i="94"/>
  <c r="V28" i="94"/>
  <c r="N28" i="94"/>
  <c r="L28" i="94"/>
  <c r="B28" i="94"/>
  <c r="Z27" i="94"/>
  <c r="X27" i="94"/>
  <c r="V27" i="94"/>
  <c r="N27" i="94"/>
  <c r="L27" i="94"/>
  <c r="B27" i="94"/>
  <c r="Z26" i="94"/>
  <c r="X26" i="94"/>
  <c r="V26" i="94"/>
  <c r="N26" i="94"/>
  <c r="L26" i="94"/>
  <c r="B26" i="94"/>
  <c r="Z25" i="94"/>
  <c r="X25" i="94"/>
  <c r="V25" i="94"/>
  <c r="N25" i="94"/>
  <c r="L25" i="94"/>
  <c r="J25" i="94"/>
  <c r="B25" i="94"/>
  <c r="Z24" i="94"/>
  <c r="X24" i="94"/>
  <c r="V24" i="94"/>
  <c r="N24" i="94"/>
  <c r="L24" i="94"/>
  <c r="B24" i="94"/>
  <c r="V23" i="94"/>
  <c r="T23" i="94"/>
  <c r="Z23" i="94" s="1"/>
  <c r="P23" i="94"/>
  <c r="N23" i="94"/>
  <c r="L23" i="94"/>
  <c r="H23" i="94"/>
  <c r="D23" i="94"/>
  <c r="B23" i="94"/>
  <c r="V22" i="94"/>
  <c r="T22" i="94"/>
  <c r="T71" i="94" s="1"/>
  <c r="P22" i="94"/>
  <c r="H22" i="94"/>
  <c r="N22" i="94" s="1"/>
  <c r="D22" i="94"/>
  <c r="L22" i="94" s="1"/>
  <c r="V20" i="94"/>
  <c r="T20" i="94"/>
  <c r="Z20" i="94" s="1"/>
  <c r="Z18" i="94"/>
  <c r="X18" i="94"/>
  <c r="V18" i="94"/>
  <c r="N18" i="94"/>
  <c r="L18" i="94"/>
  <c r="J18" i="94"/>
  <c r="B18" i="94"/>
  <c r="Z17" i="94"/>
  <c r="V17" i="94"/>
  <c r="T17" i="94"/>
  <c r="P17" i="94"/>
  <c r="X17" i="94" s="1"/>
  <c r="J17" i="94"/>
  <c r="H17" i="94"/>
  <c r="D17" i="94"/>
  <c r="Z15" i="94"/>
  <c r="P15" i="94"/>
  <c r="X15" i="94" s="1"/>
  <c r="N15" i="94"/>
  <c r="D15" i="94"/>
  <c r="L15" i="94" s="1"/>
  <c r="B15" i="94"/>
  <c r="Z14" i="94"/>
  <c r="P14" i="94"/>
  <c r="X14" i="94" s="1"/>
  <c r="N14" i="94"/>
  <c r="D14" i="94"/>
  <c r="L14" i="94" s="1"/>
  <c r="B14" i="94"/>
  <c r="Z13" i="94"/>
  <c r="X13" i="94"/>
  <c r="P13" i="94"/>
  <c r="N13" i="94"/>
  <c r="L13" i="94"/>
  <c r="D13" i="94"/>
  <c r="B13" i="94"/>
  <c r="Z12" i="94"/>
  <c r="T12" i="94"/>
  <c r="V64" i="94" s="1"/>
  <c r="P12" i="94"/>
  <c r="R36" i="94" s="1"/>
  <c r="N12" i="94"/>
  <c r="H12" i="94"/>
  <c r="J40" i="94" s="1"/>
  <c r="D6" i="94"/>
  <c r="D4" i="94"/>
  <c r="J65" i="93"/>
  <c r="Z63" i="93"/>
  <c r="X63" i="93"/>
  <c r="R63" i="93"/>
  <c r="N63" i="93"/>
  <c r="L63" i="93"/>
  <c r="J63" i="93"/>
  <c r="F63" i="93"/>
  <c r="F61" i="93"/>
  <c r="D61" i="93"/>
  <c r="Z59" i="93"/>
  <c r="X59" i="93"/>
  <c r="T59" i="93"/>
  <c r="P59" i="93"/>
  <c r="H59" i="93"/>
  <c r="N59" i="93" s="1"/>
  <c r="D59" i="93"/>
  <c r="L59" i="93" s="1"/>
  <c r="Z57" i="93"/>
  <c r="X57" i="93"/>
  <c r="N57" i="93"/>
  <c r="L57" i="93"/>
  <c r="B57" i="93"/>
  <c r="Z56" i="93"/>
  <c r="X56" i="93"/>
  <c r="R56" i="93"/>
  <c r="N56" i="93"/>
  <c r="L56" i="93"/>
  <c r="B56" i="93"/>
  <c r="X55" i="93"/>
  <c r="T55" i="93"/>
  <c r="Z55" i="93" s="1"/>
  <c r="R55" i="93"/>
  <c r="P55" i="93"/>
  <c r="N55" i="93"/>
  <c r="L55" i="93"/>
  <c r="J55" i="93"/>
  <c r="H55" i="93"/>
  <c r="D55" i="93"/>
  <c r="B55" i="93"/>
  <c r="Z54" i="93"/>
  <c r="X54" i="93"/>
  <c r="R54" i="93"/>
  <c r="N54" i="93"/>
  <c r="L54" i="93"/>
  <c r="J54" i="93"/>
  <c r="F54" i="93"/>
  <c r="B54" i="93"/>
  <c r="Z53" i="93"/>
  <c r="X53" i="93"/>
  <c r="N53" i="93"/>
  <c r="L53" i="93"/>
  <c r="J53" i="93"/>
  <c r="B53" i="93"/>
  <c r="Z52" i="93"/>
  <c r="X52" i="93"/>
  <c r="T52" i="93"/>
  <c r="P52" i="93"/>
  <c r="H52" i="93"/>
  <c r="N52" i="93" s="1"/>
  <c r="D52" i="93"/>
  <c r="B52" i="93"/>
  <c r="Z51" i="93"/>
  <c r="X51" i="93"/>
  <c r="V51" i="93"/>
  <c r="N51" i="93"/>
  <c r="L51" i="93"/>
  <c r="B51" i="93"/>
  <c r="T50" i="93"/>
  <c r="Z50" i="93" s="1"/>
  <c r="R50" i="93"/>
  <c r="P50" i="93"/>
  <c r="X50" i="93" s="1"/>
  <c r="N50" i="93"/>
  <c r="H50" i="93"/>
  <c r="D50" i="93"/>
  <c r="L50" i="93" s="1"/>
  <c r="B50" i="93"/>
  <c r="Z49" i="93"/>
  <c r="X49" i="93"/>
  <c r="R49" i="93"/>
  <c r="N49" i="93"/>
  <c r="L49" i="93"/>
  <c r="B49" i="93"/>
  <c r="Z48" i="93"/>
  <c r="X48" i="93"/>
  <c r="R48" i="93"/>
  <c r="N48" i="93"/>
  <c r="L48" i="93"/>
  <c r="J48" i="93"/>
  <c r="F48" i="93"/>
  <c r="B48" i="93"/>
  <c r="Z47" i="93"/>
  <c r="T47" i="93"/>
  <c r="R47" i="93"/>
  <c r="P47" i="93"/>
  <c r="X47" i="93" s="1"/>
  <c r="J47" i="93"/>
  <c r="H47" i="93"/>
  <c r="N47" i="93" s="1"/>
  <c r="F47" i="93"/>
  <c r="D47" i="93"/>
  <c r="B47" i="93"/>
  <c r="Z46" i="93"/>
  <c r="X46" i="93"/>
  <c r="R46" i="93"/>
  <c r="N46" i="93"/>
  <c r="L46" i="93"/>
  <c r="F46" i="93"/>
  <c r="B46" i="93"/>
  <c r="Z45" i="93"/>
  <c r="X45" i="93"/>
  <c r="T45" i="93"/>
  <c r="P45" i="93"/>
  <c r="N45" i="93"/>
  <c r="J45" i="93"/>
  <c r="H45" i="93"/>
  <c r="F45" i="93"/>
  <c r="D45" i="93"/>
  <c r="L45" i="93" s="1"/>
  <c r="B45" i="93"/>
  <c r="Z44" i="93"/>
  <c r="X44" i="93"/>
  <c r="L44" i="93"/>
  <c r="N44" i="93" s="1"/>
  <c r="B44" i="93"/>
  <c r="Z43" i="93"/>
  <c r="X43" i="93"/>
  <c r="T43" i="93"/>
  <c r="P43" i="93"/>
  <c r="J43" i="93"/>
  <c r="H43" i="93"/>
  <c r="D43" i="93"/>
  <c r="B43" i="93"/>
  <c r="Z42" i="93"/>
  <c r="X42" i="93"/>
  <c r="V42" i="93"/>
  <c r="N42" i="93"/>
  <c r="L42" i="93"/>
  <c r="B42" i="93"/>
  <c r="T41" i="93"/>
  <c r="Z41" i="93" s="1"/>
  <c r="R41" i="93"/>
  <c r="P41" i="93"/>
  <c r="N41" i="93"/>
  <c r="H41" i="93"/>
  <c r="D41" i="93"/>
  <c r="L41" i="93" s="1"/>
  <c r="B41" i="93"/>
  <c r="Z40" i="93"/>
  <c r="X40" i="93"/>
  <c r="V40" i="93"/>
  <c r="R40" i="93"/>
  <c r="N40" i="93"/>
  <c r="L40" i="93"/>
  <c r="B40" i="93"/>
  <c r="Z39" i="93"/>
  <c r="X39" i="93"/>
  <c r="N39" i="93"/>
  <c r="L39" i="93"/>
  <c r="J39" i="93"/>
  <c r="F39" i="93"/>
  <c r="B39" i="93"/>
  <c r="Z38" i="93"/>
  <c r="X38" i="93"/>
  <c r="R38" i="93"/>
  <c r="N38" i="93"/>
  <c r="L38" i="93"/>
  <c r="F38" i="93"/>
  <c r="B38" i="93"/>
  <c r="Z37" i="93"/>
  <c r="X37" i="93"/>
  <c r="N37" i="93"/>
  <c r="L37" i="93"/>
  <c r="J37" i="93"/>
  <c r="B37" i="93"/>
  <c r="Z36" i="93"/>
  <c r="X36" i="93"/>
  <c r="V36" i="93"/>
  <c r="R36" i="93"/>
  <c r="N36" i="93"/>
  <c r="L36" i="93"/>
  <c r="B36" i="93"/>
  <c r="Z35" i="93"/>
  <c r="X35" i="93"/>
  <c r="N35" i="93"/>
  <c r="L35" i="93"/>
  <c r="J35" i="93"/>
  <c r="F35" i="93"/>
  <c r="B35" i="93"/>
  <c r="Z34" i="93"/>
  <c r="X34" i="93"/>
  <c r="R34" i="93"/>
  <c r="N34" i="93"/>
  <c r="L34" i="93"/>
  <c r="F34" i="93"/>
  <c r="B34" i="93"/>
  <c r="Z33" i="93"/>
  <c r="X33" i="93"/>
  <c r="N33" i="93"/>
  <c r="L33" i="93"/>
  <c r="J33" i="93"/>
  <c r="B33" i="93"/>
  <c r="Z32" i="93"/>
  <c r="X32" i="93"/>
  <c r="R32" i="93"/>
  <c r="N32" i="93"/>
  <c r="L32" i="93"/>
  <c r="B32" i="93"/>
  <c r="Z31" i="93"/>
  <c r="X31" i="93"/>
  <c r="N31" i="93"/>
  <c r="L31" i="93"/>
  <c r="J31" i="93"/>
  <c r="F31" i="93"/>
  <c r="B31" i="93"/>
  <c r="T30" i="93"/>
  <c r="Z30" i="93" s="1"/>
  <c r="P30" i="93"/>
  <c r="X30" i="93" s="1"/>
  <c r="J30" i="93"/>
  <c r="H30" i="93"/>
  <c r="N30" i="93" s="1"/>
  <c r="F30" i="93"/>
  <c r="D30" i="93"/>
  <c r="B30" i="93"/>
  <c r="Z29" i="93"/>
  <c r="X29" i="93"/>
  <c r="N29" i="93"/>
  <c r="L29" i="93"/>
  <c r="J29" i="93"/>
  <c r="F29" i="93"/>
  <c r="B29" i="93"/>
  <c r="Z28" i="93"/>
  <c r="X28" i="93"/>
  <c r="N28" i="93"/>
  <c r="L28" i="93"/>
  <c r="F28" i="93"/>
  <c r="B28" i="93"/>
  <c r="Z27" i="93"/>
  <c r="X27" i="93"/>
  <c r="R27" i="93"/>
  <c r="N27" i="93"/>
  <c r="L27" i="93"/>
  <c r="B27" i="93"/>
  <c r="Z26" i="93"/>
  <c r="X26" i="93"/>
  <c r="R26" i="93"/>
  <c r="N26" i="93"/>
  <c r="L26" i="93"/>
  <c r="J26" i="93"/>
  <c r="B26" i="93"/>
  <c r="Z25" i="93"/>
  <c r="X25" i="93"/>
  <c r="N25" i="93"/>
  <c r="L25" i="93"/>
  <c r="J25" i="93"/>
  <c r="F25" i="93"/>
  <c r="B25" i="93"/>
  <c r="Z24" i="93"/>
  <c r="X24" i="93"/>
  <c r="N24" i="93"/>
  <c r="L24" i="93"/>
  <c r="F24" i="93"/>
  <c r="B24" i="93"/>
  <c r="Z23" i="93"/>
  <c r="X23" i="93"/>
  <c r="R23" i="93"/>
  <c r="N23" i="93"/>
  <c r="L23" i="93"/>
  <c r="B23" i="93"/>
  <c r="Z22" i="93"/>
  <c r="X22" i="93"/>
  <c r="R22" i="93"/>
  <c r="N22" i="93"/>
  <c r="L22" i="93"/>
  <c r="J22" i="93"/>
  <c r="B22" i="93"/>
  <c r="Z21" i="93"/>
  <c r="X21" i="93"/>
  <c r="N21" i="93"/>
  <c r="L21" i="93"/>
  <c r="J21" i="93"/>
  <c r="F21" i="93"/>
  <c r="B21" i="93"/>
  <c r="Z20" i="93"/>
  <c r="T20" i="93"/>
  <c r="P20" i="93"/>
  <c r="X20" i="93" s="1"/>
  <c r="H20" i="93"/>
  <c r="N20" i="93" s="1"/>
  <c r="F20" i="93"/>
  <c r="D20" i="93"/>
  <c r="L20" i="93" s="1"/>
  <c r="B20" i="93"/>
  <c r="T19" i="93"/>
  <c r="Z19" i="93" s="1"/>
  <c r="R19" i="93"/>
  <c r="P19" i="93"/>
  <c r="X19" i="93" s="1"/>
  <c r="J19" i="93"/>
  <c r="H19" i="93"/>
  <c r="F19" i="93"/>
  <c r="D19" i="93"/>
  <c r="L19" i="93" s="1"/>
  <c r="R17" i="93"/>
  <c r="P17" i="93"/>
  <c r="J17" i="93"/>
  <c r="H17" i="93"/>
  <c r="F17" i="93"/>
  <c r="D17" i="93"/>
  <c r="L17" i="93" s="1"/>
  <c r="Z15" i="93"/>
  <c r="X15" i="93"/>
  <c r="R15" i="93"/>
  <c r="N15" i="93"/>
  <c r="L15" i="93"/>
  <c r="J15" i="93"/>
  <c r="B15" i="93"/>
  <c r="Z14" i="93"/>
  <c r="X14" i="93"/>
  <c r="T14" i="93"/>
  <c r="P14" i="93"/>
  <c r="J14" i="93"/>
  <c r="H14" i="93"/>
  <c r="N14" i="93" s="1"/>
  <c r="D14" i="93"/>
  <c r="L14" i="93" s="1"/>
  <c r="X12" i="93"/>
  <c r="T12" i="93"/>
  <c r="V27" i="93" s="1"/>
  <c r="P12" i="93"/>
  <c r="R52" i="93" s="1"/>
  <c r="H12" i="93"/>
  <c r="J52" i="93" s="1"/>
  <c r="D12" i="93"/>
  <c r="F55" i="93" s="1"/>
  <c r="D6" i="93"/>
  <c r="D4" i="93"/>
  <c r="V81" i="92"/>
  <c r="Z76" i="92"/>
  <c r="X76" i="92"/>
  <c r="V76" i="92"/>
  <c r="N76" i="92"/>
  <c r="L76" i="92"/>
  <c r="T72" i="92"/>
  <c r="Z72" i="92" s="1"/>
  <c r="P72" i="92"/>
  <c r="X72" i="92" s="1"/>
  <c r="N72" i="92"/>
  <c r="L72" i="92"/>
  <c r="J72" i="92"/>
  <c r="H72" i="92"/>
  <c r="D72" i="92"/>
  <c r="Z70" i="92"/>
  <c r="X70" i="92"/>
  <c r="N70" i="92"/>
  <c r="L70" i="92"/>
  <c r="B70" i="92"/>
  <c r="T69" i="92"/>
  <c r="Z69" i="92" s="1"/>
  <c r="P69" i="92"/>
  <c r="X69" i="92" s="1"/>
  <c r="N69" i="92"/>
  <c r="H69" i="92"/>
  <c r="F69" i="92"/>
  <c r="D69" i="92"/>
  <c r="L69" i="92" s="1"/>
  <c r="B69" i="92"/>
  <c r="Z68" i="92"/>
  <c r="X68" i="92"/>
  <c r="N68" i="92"/>
  <c r="L68" i="92"/>
  <c r="F68" i="92"/>
  <c r="B68" i="92"/>
  <c r="Z67" i="92"/>
  <c r="X67" i="92"/>
  <c r="N67" i="92"/>
  <c r="L67" i="92"/>
  <c r="B67" i="92"/>
  <c r="X66" i="92"/>
  <c r="T66" i="92"/>
  <c r="Z66" i="92" s="1"/>
  <c r="P66" i="92"/>
  <c r="H66" i="92"/>
  <c r="N66" i="92" s="1"/>
  <c r="D66" i="92"/>
  <c r="L66" i="92" s="1"/>
  <c r="B66" i="92"/>
  <c r="Z65" i="92"/>
  <c r="X65" i="92"/>
  <c r="N65" i="92"/>
  <c r="L65" i="92"/>
  <c r="B65" i="92"/>
  <c r="Z64" i="92"/>
  <c r="X64" i="92"/>
  <c r="N64" i="92"/>
  <c r="L64" i="92"/>
  <c r="B64" i="92"/>
  <c r="T63" i="92"/>
  <c r="Z63" i="92" s="1"/>
  <c r="P63" i="92"/>
  <c r="H63" i="92"/>
  <c r="D63" i="92"/>
  <c r="B63" i="92"/>
  <c r="Z62" i="92"/>
  <c r="X62" i="92"/>
  <c r="N62" i="92"/>
  <c r="L62" i="92"/>
  <c r="B62" i="92"/>
  <c r="Z61" i="92"/>
  <c r="X61" i="92"/>
  <c r="N61" i="92"/>
  <c r="L61" i="92"/>
  <c r="B61" i="92"/>
  <c r="Z60" i="92"/>
  <c r="X60" i="92"/>
  <c r="N60" i="92"/>
  <c r="L60" i="92"/>
  <c r="B60" i="92"/>
  <c r="Z59" i="92"/>
  <c r="X59" i="92"/>
  <c r="V59" i="92"/>
  <c r="N59" i="92"/>
  <c r="L59" i="92"/>
  <c r="B59" i="92"/>
  <c r="T58" i="92"/>
  <c r="Z58" i="92" s="1"/>
  <c r="P58" i="92"/>
  <c r="N58" i="92"/>
  <c r="L58" i="92"/>
  <c r="H58" i="92"/>
  <c r="D58" i="92"/>
  <c r="B58" i="92"/>
  <c r="Z57" i="92"/>
  <c r="X57" i="92"/>
  <c r="N57" i="92"/>
  <c r="L57" i="92"/>
  <c r="B57" i="92"/>
  <c r="T56" i="92"/>
  <c r="Z56" i="92" s="1"/>
  <c r="P56" i="92"/>
  <c r="X56" i="92" s="1"/>
  <c r="J56" i="92"/>
  <c r="H56" i="92"/>
  <c r="N56" i="92" s="1"/>
  <c r="F56" i="92"/>
  <c r="D56" i="92"/>
  <c r="B56" i="92"/>
  <c r="Z55" i="92"/>
  <c r="X55" i="92"/>
  <c r="N55" i="92"/>
  <c r="L55" i="92"/>
  <c r="B55" i="92"/>
  <c r="Z54" i="92"/>
  <c r="T54" i="92"/>
  <c r="P54" i="92"/>
  <c r="X54" i="92" s="1"/>
  <c r="H54" i="92"/>
  <c r="N54" i="92" s="1"/>
  <c r="F54" i="92"/>
  <c r="D54" i="92"/>
  <c r="L54" i="92" s="1"/>
  <c r="B54" i="92"/>
  <c r="Z53" i="92"/>
  <c r="X53" i="92"/>
  <c r="N53" i="92"/>
  <c r="L53" i="92"/>
  <c r="J53" i="92"/>
  <c r="B53" i="92"/>
  <c r="Z52" i="92"/>
  <c r="X52" i="92"/>
  <c r="T52" i="92"/>
  <c r="P52" i="92"/>
  <c r="L52" i="92"/>
  <c r="H52" i="92"/>
  <c r="N52" i="92" s="1"/>
  <c r="D52" i="92"/>
  <c r="B52" i="92"/>
  <c r="Z51" i="92"/>
  <c r="X51" i="92"/>
  <c r="N51" i="92"/>
  <c r="L51" i="92"/>
  <c r="B51" i="92"/>
  <c r="X50" i="92"/>
  <c r="T50" i="92"/>
  <c r="Z50" i="92" s="1"/>
  <c r="P50" i="92"/>
  <c r="H50" i="92"/>
  <c r="N50" i="92" s="1"/>
  <c r="D50" i="92"/>
  <c r="L50" i="92" s="1"/>
  <c r="B50" i="92"/>
  <c r="Z49" i="92"/>
  <c r="X49" i="92"/>
  <c r="N49" i="92"/>
  <c r="L49" i="92"/>
  <c r="B49" i="92"/>
  <c r="T48" i="92"/>
  <c r="Z48" i="92" s="1"/>
  <c r="P48" i="92"/>
  <c r="X48" i="92" s="1"/>
  <c r="N48" i="92"/>
  <c r="H48" i="92"/>
  <c r="D48" i="92"/>
  <c r="L48" i="92" s="1"/>
  <c r="B48" i="92"/>
  <c r="Z47" i="92"/>
  <c r="X47" i="92"/>
  <c r="N47" i="92"/>
  <c r="L47" i="92"/>
  <c r="B47" i="92"/>
  <c r="X46" i="92"/>
  <c r="Z46" i="92" s="1"/>
  <c r="L46" i="92"/>
  <c r="N46" i="92" s="1"/>
  <c r="B46" i="92"/>
  <c r="T45" i="92"/>
  <c r="Z45" i="92" s="1"/>
  <c r="P45" i="92"/>
  <c r="X45" i="92" s="1"/>
  <c r="H45" i="92"/>
  <c r="N45" i="92" s="1"/>
  <c r="F45" i="92"/>
  <c r="D45" i="92"/>
  <c r="L45" i="92" s="1"/>
  <c r="B45" i="92"/>
  <c r="Z44" i="92"/>
  <c r="X44" i="92"/>
  <c r="N44" i="92"/>
  <c r="L44" i="92"/>
  <c r="F44" i="92"/>
  <c r="B44" i="92"/>
  <c r="Z43" i="92"/>
  <c r="X43" i="92"/>
  <c r="T43" i="92"/>
  <c r="P43" i="92"/>
  <c r="N43" i="92"/>
  <c r="H43" i="92"/>
  <c r="D43" i="92"/>
  <c r="L43" i="92" s="1"/>
  <c r="B43" i="92"/>
  <c r="Z42" i="92"/>
  <c r="X42" i="92"/>
  <c r="N42" i="92"/>
  <c r="L42" i="92"/>
  <c r="F42" i="92"/>
  <c r="B42" i="92"/>
  <c r="Z41" i="92"/>
  <c r="X41" i="92"/>
  <c r="T41" i="92"/>
  <c r="P41" i="92"/>
  <c r="L41" i="92"/>
  <c r="H41" i="92"/>
  <c r="N41" i="92" s="1"/>
  <c r="D41" i="92"/>
  <c r="B41" i="92"/>
  <c r="Z40" i="92"/>
  <c r="X40" i="92"/>
  <c r="N40" i="92"/>
  <c r="L40" i="92"/>
  <c r="F40" i="92"/>
  <c r="B40" i="92"/>
  <c r="Z39" i="92"/>
  <c r="X39" i="92"/>
  <c r="N39" i="92"/>
  <c r="L39" i="92"/>
  <c r="B39" i="92"/>
  <c r="Z38" i="92"/>
  <c r="X38" i="92"/>
  <c r="N38" i="92"/>
  <c r="L38" i="92"/>
  <c r="B38" i="92"/>
  <c r="Z37" i="92"/>
  <c r="X37" i="92"/>
  <c r="N37" i="92"/>
  <c r="L37" i="92"/>
  <c r="J37" i="92"/>
  <c r="B37" i="92"/>
  <c r="Z36" i="92"/>
  <c r="X36" i="92"/>
  <c r="N36" i="92"/>
  <c r="L36" i="92"/>
  <c r="B36" i="92"/>
  <c r="Z35" i="92"/>
  <c r="X35" i="92"/>
  <c r="V35" i="92"/>
  <c r="N35" i="92"/>
  <c r="L35" i="92"/>
  <c r="B35" i="92"/>
  <c r="Z34" i="92"/>
  <c r="X34" i="92"/>
  <c r="N34" i="92"/>
  <c r="L34" i="92"/>
  <c r="J34" i="92"/>
  <c r="F34" i="92"/>
  <c r="B34" i="92"/>
  <c r="Z33" i="92"/>
  <c r="X33" i="92"/>
  <c r="N33" i="92"/>
  <c r="L33" i="92"/>
  <c r="J33" i="92"/>
  <c r="B33" i="92"/>
  <c r="Z32" i="92"/>
  <c r="X32" i="92"/>
  <c r="N32" i="92"/>
  <c r="L32" i="92"/>
  <c r="F32" i="92"/>
  <c r="B32" i="92"/>
  <c r="Z31" i="92"/>
  <c r="X31" i="92"/>
  <c r="N31" i="92"/>
  <c r="L31" i="92"/>
  <c r="B31" i="92"/>
  <c r="T30" i="92"/>
  <c r="Z30" i="92" s="1"/>
  <c r="P30" i="92"/>
  <c r="N30" i="92"/>
  <c r="L30" i="92"/>
  <c r="H30" i="92"/>
  <c r="D30" i="92"/>
  <c r="B30" i="92"/>
  <c r="Z29" i="92"/>
  <c r="X29" i="92"/>
  <c r="N29" i="92"/>
  <c r="L29" i="92"/>
  <c r="J29" i="92"/>
  <c r="F29" i="92"/>
  <c r="B29" i="92"/>
  <c r="Z28" i="92"/>
  <c r="X28" i="92"/>
  <c r="N28" i="92"/>
  <c r="L28" i="92"/>
  <c r="B28" i="92"/>
  <c r="Z27" i="92"/>
  <c r="X27" i="92"/>
  <c r="N27" i="92"/>
  <c r="L27" i="92"/>
  <c r="J27" i="92"/>
  <c r="B27" i="92"/>
  <c r="Z26" i="92"/>
  <c r="X26" i="92"/>
  <c r="N26" i="92"/>
  <c r="L26" i="92"/>
  <c r="B26" i="92"/>
  <c r="Z25" i="92"/>
  <c r="X25" i="92"/>
  <c r="V25" i="92"/>
  <c r="N25" i="92"/>
  <c r="L25" i="92"/>
  <c r="F25" i="92"/>
  <c r="B25" i="92"/>
  <c r="Z24" i="92"/>
  <c r="X24" i="92"/>
  <c r="N24" i="92"/>
  <c r="L24" i="92"/>
  <c r="F24" i="92"/>
  <c r="B24" i="92"/>
  <c r="Z23" i="92"/>
  <c r="X23" i="92"/>
  <c r="N23" i="92"/>
  <c r="L23" i="92"/>
  <c r="J23" i="92"/>
  <c r="B23" i="92"/>
  <c r="Z22" i="92"/>
  <c r="X22" i="92"/>
  <c r="N22" i="92"/>
  <c r="L22" i="92"/>
  <c r="B22" i="92"/>
  <c r="Z21" i="92"/>
  <c r="T21" i="92"/>
  <c r="P21" i="92"/>
  <c r="X21" i="92" s="1"/>
  <c r="N21" i="92"/>
  <c r="H21" i="92"/>
  <c r="D21" i="92"/>
  <c r="L21" i="92" s="1"/>
  <c r="B21" i="92"/>
  <c r="X20" i="92"/>
  <c r="T20" i="92"/>
  <c r="P20" i="92"/>
  <c r="N20" i="92"/>
  <c r="H20" i="92"/>
  <c r="F20" i="92"/>
  <c r="D20" i="92"/>
  <c r="L20" i="92" s="1"/>
  <c r="F18" i="92"/>
  <c r="D18" i="92"/>
  <c r="Z16" i="92"/>
  <c r="X16" i="92"/>
  <c r="N16" i="92"/>
  <c r="L16" i="92"/>
  <c r="B16" i="92"/>
  <c r="X15" i="92"/>
  <c r="V15" i="92"/>
  <c r="T15" i="92"/>
  <c r="Z15" i="92" s="1"/>
  <c r="P15" i="92"/>
  <c r="L15" i="92"/>
  <c r="J15" i="92"/>
  <c r="H15" i="92"/>
  <c r="N15" i="92" s="1"/>
  <c r="D15" i="92"/>
  <c r="Z13" i="92"/>
  <c r="P13" i="92"/>
  <c r="N13" i="92"/>
  <c r="L13" i="92"/>
  <c r="D13" i="92"/>
  <c r="B13" i="92"/>
  <c r="T12" i="92"/>
  <c r="V66" i="92" s="1"/>
  <c r="H12" i="92"/>
  <c r="J74" i="92" s="1"/>
  <c r="D12" i="92"/>
  <c r="F41" i="92" s="1"/>
  <c r="D6" i="92"/>
  <c r="D4" i="92"/>
  <c r="Z77" i="91"/>
  <c r="X77" i="91"/>
  <c r="N77" i="91"/>
  <c r="L77" i="91"/>
  <c r="J75" i="91"/>
  <c r="Z73" i="91"/>
  <c r="X73" i="91"/>
  <c r="P73" i="91"/>
  <c r="N73" i="91"/>
  <c r="L73" i="91"/>
  <c r="D73" i="91"/>
  <c r="D72" i="91" s="1"/>
  <c r="B73" i="91"/>
  <c r="X72" i="91"/>
  <c r="T72" i="91"/>
  <c r="Z72" i="91" s="1"/>
  <c r="P72" i="91"/>
  <c r="N72" i="91"/>
  <c r="L72" i="91"/>
  <c r="H72" i="91"/>
  <c r="X70" i="91"/>
  <c r="Z70" i="91" s="1"/>
  <c r="N70" i="91"/>
  <c r="L70" i="91"/>
  <c r="J70" i="91"/>
  <c r="F70" i="91"/>
  <c r="B70" i="91"/>
  <c r="T69" i="91"/>
  <c r="P69" i="91"/>
  <c r="X69" i="91" s="1"/>
  <c r="Z69" i="91" s="1"/>
  <c r="H69" i="91"/>
  <c r="D69" i="91"/>
  <c r="L69" i="91" s="1"/>
  <c r="B69" i="91"/>
  <c r="Z68" i="91"/>
  <c r="X68" i="91"/>
  <c r="N68" i="91"/>
  <c r="L68" i="91"/>
  <c r="B68" i="91"/>
  <c r="Z67" i="91"/>
  <c r="X67" i="91"/>
  <c r="T67" i="91"/>
  <c r="P67" i="91"/>
  <c r="N67" i="91"/>
  <c r="L67" i="91"/>
  <c r="H67" i="91"/>
  <c r="D67" i="91"/>
  <c r="B67" i="91"/>
  <c r="Z66" i="91"/>
  <c r="X66" i="91"/>
  <c r="L66" i="91"/>
  <c r="N66" i="91" s="1"/>
  <c r="B66" i="91"/>
  <c r="T65" i="91"/>
  <c r="P65" i="91"/>
  <c r="H65" i="91"/>
  <c r="D65" i="91"/>
  <c r="B65" i="91"/>
  <c r="Z64" i="91"/>
  <c r="X64" i="91"/>
  <c r="N64" i="91"/>
  <c r="L64" i="91"/>
  <c r="B64" i="91"/>
  <c r="Z63" i="91"/>
  <c r="X63" i="91"/>
  <c r="N63" i="91"/>
  <c r="L63" i="91"/>
  <c r="B63" i="91"/>
  <c r="Z62" i="91"/>
  <c r="X62" i="91"/>
  <c r="N62" i="91"/>
  <c r="L62" i="91"/>
  <c r="B62" i="91"/>
  <c r="Z61" i="91"/>
  <c r="X61" i="91"/>
  <c r="N61" i="91"/>
  <c r="L61" i="91"/>
  <c r="J61" i="91"/>
  <c r="F61" i="91"/>
  <c r="B61" i="91"/>
  <c r="Z60" i="91"/>
  <c r="X60" i="91"/>
  <c r="N60" i="91"/>
  <c r="L60" i="91"/>
  <c r="B60" i="91"/>
  <c r="Z59" i="91"/>
  <c r="X59" i="91"/>
  <c r="N59" i="91"/>
  <c r="L59" i="91"/>
  <c r="B59" i="91"/>
  <c r="Z58" i="91"/>
  <c r="X58" i="91"/>
  <c r="N58" i="91"/>
  <c r="L58" i="91"/>
  <c r="J58" i="91"/>
  <c r="F58" i="91"/>
  <c r="B58" i="91"/>
  <c r="Z57" i="91"/>
  <c r="T57" i="91"/>
  <c r="P57" i="91"/>
  <c r="X57" i="91" s="1"/>
  <c r="H57" i="91"/>
  <c r="N57" i="91" s="1"/>
  <c r="F57" i="91"/>
  <c r="D57" i="91"/>
  <c r="L57" i="91" s="1"/>
  <c r="B57" i="91"/>
  <c r="Z56" i="91"/>
  <c r="X56" i="91"/>
  <c r="N56" i="91"/>
  <c r="L56" i="91"/>
  <c r="B56" i="91"/>
  <c r="X55" i="91"/>
  <c r="Z55" i="91" s="1"/>
  <c r="N55" i="91"/>
  <c r="L55" i="91"/>
  <c r="B55" i="91"/>
  <c r="Z54" i="91"/>
  <c r="X54" i="91"/>
  <c r="N54" i="91"/>
  <c r="L54" i="91"/>
  <c r="B54" i="91"/>
  <c r="X53" i="91"/>
  <c r="Z53" i="91" s="1"/>
  <c r="L53" i="91"/>
  <c r="N53" i="91" s="1"/>
  <c r="F53" i="91"/>
  <c r="B53" i="91"/>
  <c r="T52" i="91"/>
  <c r="P52" i="91"/>
  <c r="X52" i="91" s="1"/>
  <c r="J52" i="91"/>
  <c r="H52" i="91"/>
  <c r="D52" i="91"/>
  <c r="B52" i="91"/>
  <c r="Z51" i="91"/>
  <c r="X51" i="91"/>
  <c r="N51" i="91"/>
  <c r="L51" i="91"/>
  <c r="F51" i="91"/>
  <c r="B51" i="91"/>
  <c r="Z50" i="91"/>
  <c r="X50" i="91"/>
  <c r="N50" i="91"/>
  <c r="L50" i="91"/>
  <c r="B50" i="91"/>
  <c r="T49" i="91"/>
  <c r="Z49" i="91" s="1"/>
  <c r="P49" i="91"/>
  <c r="H49" i="91"/>
  <c r="N49" i="91" s="1"/>
  <c r="F49" i="91"/>
  <c r="D49" i="91"/>
  <c r="B49" i="91"/>
  <c r="X48" i="91"/>
  <c r="Z48" i="91" s="1"/>
  <c r="V48" i="91"/>
  <c r="R48" i="91"/>
  <c r="L48" i="91"/>
  <c r="N48" i="91" s="1"/>
  <c r="F48" i="91"/>
  <c r="B48" i="91"/>
  <c r="T47" i="91"/>
  <c r="P47" i="91"/>
  <c r="J47" i="91"/>
  <c r="H47" i="91"/>
  <c r="F47" i="91"/>
  <c r="D47" i="91"/>
  <c r="L47" i="91" s="1"/>
  <c r="N47" i="91" s="1"/>
  <c r="B47" i="91"/>
  <c r="Z46" i="91"/>
  <c r="X46" i="91"/>
  <c r="N46" i="91"/>
  <c r="L46" i="91"/>
  <c r="F46" i="91"/>
  <c r="B46" i="91"/>
  <c r="Z45" i="91"/>
  <c r="X45" i="91"/>
  <c r="T45" i="91"/>
  <c r="P45" i="91"/>
  <c r="N45" i="91"/>
  <c r="L45" i="91"/>
  <c r="H45" i="91"/>
  <c r="D45" i="91"/>
  <c r="B45" i="91"/>
  <c r="Z44" i="91"/>
  <c r="X44" i="91"/>
  <c r="L44" i="91"/>
  <c r="N44" i="91" s="1"/>
  <c r="F44" i="91"/>
  <c r="B44" i="91"/>
  <c r="Z43" i="91"/>
  <c r="X43" i="91"/>
  <c r="R43" i="91"/>
  <c r="N43" i="91"/>
  <c r="L43" i="91"/>
  <c r="F43" i="91"/>
  <c r="B43" i="91"/>
  <c r="X42" i="91"/>
  <c r="Z42" i="91" s="1"/>
  <c r="T42" i="91"/>
  <c r="P42" i="91"/>
  <c r="L42" i="91"/>
  <c r="N42" i="91" s="1"/>
  <c r="J42" i="91"/>
  <c r="H42" i="91"/>
  <c r="F42" i="91"/>
  <c r="D42" i="91"/>
  <c r="B42" i="91"/>
  <c r="Z41" i="91"/>
  <c r="X41" i="91"/>
  <c r="N41" i="91"/>
  <c r="L41" i="91"/>
  <c r="F41" i="91"/>
  <c r="B41" i="91"/>
  <c r="Z40" i="91"/>
  <c r="X40" i="91"/>
  <c r="T40" i="91"/>
  <c r="P40" i="91"/>
  <c r="L40" i="91"/>
  <c r="H40" i="91"/>
  <c r="N40" i="91" s="1"/>
  <c r="D40" i="91"/>
  <c r="B40" i="91"/>
  <c r="Z39" i="91"/>
  <c r="X39" i="91"/>
  <c r="N39" i="91"/>
  <c r="L39" i="91"/>
  <c r="B39" i="91"/>
  <c r="Z38" i="91"/>
  <c r="X38" i="91"/>
  <c r="R38" i="91"/>
  <c r="N38" i="91"/>
  <c r="L38" i="91"/>
  <c r="F38" i="91"/>
  <c r="B38" i="91"/>
  <c r="Z37" i="91"/>
  <c r="X37" i="91"/>
  <c r="N37" i="91"/>
  <c r="L37" i="91"/>
  <c r="J37" i="91"/>
  <c r="F37" i="91"/>
  <c r="B37" i="91"/>
  <c r="Z36" i="91"/>
  <c r="X36" i="91"/>
  <c r="N36" i="91"/>
  <c r="L36" i="91"/>
  <c r="B36" i="91"/>
  <c r="Z35" i="91"/>
  <c r="X35" i="91"/>
  <c r="N35" i="91"/>
  <c r="L35" i="91"/>
  <c r="F35" i="91"/>
  <c r="B35" i="91"/>
  <c r="Z34" i="91"/>
  <c r="X34" i="91"/>
  <c r="R34" i="91"/>
  <c r="N34" i="91"/>
  <c r="L34" i="91"/>
  <c r="F34" i="91"/>
  <c r="B34" i="91"/>
  <c r="Z33" i="91"/>
  <c r="X33" i="91"/>
  <c r="N33" i="91"/>
  <c r="L33" i="91"/>
  <c r="J33" i="91"/>
  <c r="F33" i="91"/>
  <c r="B33" i="91"/>
  <c r="Z32" i="91"/>
  <c r="X32" i="91"/>
  <c r="N32" i="91"/>
  <c r="L32" i="91"/>
  <c r="B32" i="91"/>
  <c r="Z31" i="91"/>
  <c r="X31" i="91"/>
  <c r="N31" i="91"/>
  <c r="L31" i="91"/>
  <c r="B31" i="91"/>
  <c r="Z30" i="91"/>
  <c r="X30" i="91"/>
  <c r="N30" i="91"/>
  <c r="L30" i="91"/>
  <c r="J30" i="91"/>
  <c r="F30" i="91"/>
  <c r="B30" i="91"/>
  <c r="T29" i="91"/>
  <c r="Z29" i="91" s="1"/>
  <c r="P29" i="91"/>
  <c r="X29" i="91" s="1"/>
  <c r="H29" i="91"/>
  <c r="F29" i="91"/>
  <c r="D29" i="91"/>
  <c r="B29" i="91"/>
  <c r="Z28" i="91"/>
  <c r="X28" i="91"/>
  <c r="N28" i="91"/>
  <c r="L28" i="91"/>
  <c r="B28" i="91"/>
  <c r="Z27" i="91"/>
  <c r="X27" i="91"/>
  <c r="N27" i="91"/>
  <c r="L27" i="91"/>
  <c r="F27" i="91"/>
  <c r="B27" i="91"/>
  <c r="Z26" i="91"/>
  <c r="X26" i="91"/>
  <c r="N26" i="91"/>
  <c r="L26" i="91"/>
  <c r="J26" i="91"/>
  <c r="F26" i="91"/>
  <c r="B26" i="91"/>
  <c r="Z25" i="91"/>
  <c r="X25" i="91"/>
  <c r="N25" i="91"/>
  <c r="L25" i="91"/>
  <c r="F25" i="91"/>
  <c r="B25" i="91"/>
  <c r="Z24" i="91"/>
  <c r="X24" i="91"/>
  <c r="N24" i="91"/>
  <c r="L24" i="91"/>
  <c r="F24" i="91"/>
  <c r="B24" i="91"/>
  <c r="Z23" i="91"/>
  <c r="X23" i="91"/>
  <c r="R23" i="91"/>
  <c r="N23" i="91"/>
  <c r="L23" i="91"/>
  <c r="F23" i="91"/>
  <c r="B23" i="91"/>
  <c r="X22" i="91"/>
  <c r="Z22" i="91" s="1"/>
  <c r="L22" i="91"/>
  <c r="N22" i="91" s="1"/>
  <c r="J22" i="91"/>
  <c r="F22" i="91"/>
  <c r="B22" i="91"/>
  <c r="Z21" i="91"/>
  <c r="X21" i="91"/>
  <c r="N21" i="91"/>
  <c r="L21" i="91"/>
  <c r="B21" i="91"/>
  <c r="Z20" i="91"/>
  <c r="X20" i="91"/>
  <c r="N20" i="91"/>
  <c r="L20" i="91"/>
  <c r="F20" i="91"/>
  <c r="B20" i="91"/>
  <c r="T19" i="91"/>
  <c r="R19" i="91"/>
  <c r="P19" i="91"/>
  <c r="X19" i="91" s="1"/>
  <c r="L19" i="91"/>
  <c r="N19" i="91" s="1"/>
  <c r="H19" i="91"/>
  <c r="F19" i="91"/>
  <c r="D19" i="91"/>
  <c r="B19" i="91"/>
  <c r="T18" i="91"/>
  <c r="P18" i="91"/>
  <c r="H18" i="91"/>
  <c r="F18" i="91"/>
  <c r="D18" i="91"/>
  <c r="L18" i="91" s="1"/>
  <c r="V16" i="91"/>
  <c r="F16" i="91"/>
  <c r="T14" i="91"/>
  <c r="Z14" i="91" s="1"/>
  <c r="P14" i="91"/>
  <c r="H14" i="91"/>
  <c r="N14" i="91" s="1"/>
  <c r="F14" i="91"/>
  <c r="D14" i="91"/>
  <c r="L14" i="91" s="1"/>
  <c r="T12" i="91"/>
  <c r="P12" i="91"/>
  <c r="R16" i="91" s="1"/>
  <c r="N12" i="91"/>
  <c r="L12" i="91"/>
  <c r="H12" i="91"/>
  <c r="J65" i="91" s="1"/>
  <c r="D12" i="91"/>
  <c r="F65" i="91" s="1"/>
  <c r="D6" i="91"/>
  <c r="D4" i="91"/>
  <c r="R37" i="88"/>
  <c r="R34" i="88"/>
  <c r="Z32" i="88"/>
  <c r="X32" i="88"/>
  <c r="N32" i="88"/>
  <c r="L32" i="88"/>
  <c r="J32" i="88"/>
  <c r="V30" i="88"/>
  <c r="R30" i="88"/>
  <c r="J30" i="88"/>
  <c r="F30" i="88"/>
  <c r="V28" i="88"/>
  <c r="T28" i="88"/>
  <c r="Z28" i="88" s="1"/>
  <c r="R28" i="88"/>
  <c r="P28" i="88"/>
  <c r="X28" i="88" s="1"/>
  <c r="J28" i="88"/>
  <c r="H28" i="88"/>
  <c r="N28" i="88" s="1"/>
  <c r="D28" i="88"/>
  <c r="L28" i="88" s="1"/>
  <c r="Z26" i="88"/>
  <c r="X26" i="88"/>
  <c r="V26" i="88"/>
  <c r="R26" i="88"/>
  <c r="N26" i="88"/>
  <c r="L26" i="88"/>
  <c r="B26" i="88"/>
  <c r="Z25" i="88"/>
  <c r="X25" i="88"/>
  <c r="V25" i="88"/>
  <c r="T25" i="88"/>
  <c r="P25" i="88"/>
  <c r="N25" i="88"/>
  <c r="H25" i="88"/>
  <c r="D25" i="88"/>
  <c r="L25" i="88" s="1"/>
  <c r="B25" i="88"/>
  <c r="Z24" i="88"/>
  <c r="X24" i="88"/>
  <c r="V24" i="88"/>
  <c r="N24" i="88"/>
  <c r="L24" i="88"/>
  <c r="B24" i="88"/>
  <c r="V23" i="88"/>
  <c r="T23" i="88"/>
  <c r="Z23" i="88" s="1"/>
  <c r="R23" i="88"/>
  <c r="P23" i="88"/>
  <c r="X23" i="88" s="1"/>
  <c r="L23" i="88"/>
  <c r="H23" i="88"/>
  <c r="N23" i="88" s="1"/>
  <c r="D23" i="88"/>
  <c r="B23" i="88"/>
  <c r="Z22" i="88"/>
  <c r="X22" i="88"/>
  <c r="V22" i="88"/>
  <c r="R22" i="88"/>
  <c r="N22" i="88"/>
  <c r="L22" i="88"/>
  <c r="F22" i="88"/>
  <c r="B22" i="88"/>
  <c r="T21" i="88"/>
  <c r="R21" i="88"/>
  <c r="P21" i="88"/>
  <c r="X21" i="88" s="1"/>
  <c r="N21" i="88"/>
  <c r="L21" i="88"/>
  <c r="H21" i="88"/>
  <c r="D21" i="88"/>
  <c r="B21" i="88"/>
  <c r="Z20" i="88"/>
  <c r="X20" i="88"/>
  <c r="V20" i="88"/>
  <c r="R20" i="88"/>
  <c r="N20" i="88"/>
  <c r="L20" i="88"/>
  <c r="J20" i="88"/>
  <c r="B20" i="88"/>
  <c r="Z19" i="88"/>
  <c r="V19" i="88"/>
  <c r="T19" i="88"/>
  <c r="P19" i="88"/>
  <c r="X19" i="88" s="1"/>
  <c r="N19" i="88"/>
  <c r="L19" i="88"/>
  <c r="J19" i="88"/>
  <c r="H19" i="88"/>
  <c r="D19" i="88"/>
  <c r="B19" i="88"/>
  <c r="Z18" i="88"/>
  <c r="T18" i="88"/>
  <c r="R18" i="88"/>
  <c r="P18" i="88"/>
  <c r="X18" i="88" s="1"/>
  <c r="L18" i="88"/>
  <c r="N18" i="88" s="1"/>
  <c r="J18" i="88"/>
  <c r="H18" i="88"/>
  <c r="D18" i="88"/>
  <c r="R16" i="88"/>
  <c r="P16" i="88"/>
  <c r="J16" i="88"/>
  <c r="D16" i="88"/>
  <c r="D30" i="88" s="1"/>
  <c r="Z14" i="88"/>
  <c r="T14" i="88"/>
  <c r="T16" i="88" s="1"/>
  <c r="R14" i="88"/>
  <c r="P14" i="88"/>
  <c r="X14" i="88" s="1"/>
  <c r="N14" i="88"/>
  <c r="L14" i="88"/>
  <c r="J14" i="88"/>
  <c r="H14" i="88"/>
  <c r="D14" i="88"/>
  <c r="Z12" i="88"/>
  <c r="X12" i="88"/>
  <c r="T12" i="88"/>
  <c r="V37" i="88" s="1"/>
  <c r="P12" i="88"/>
  <c r="R25" i="88" s="1"/>
  <c r="N12" i="88"/>
  <c r="H12" i="88"/>
  <c r="D12" i="88"/>
  <c r="F32" i="88" s="1"/>
  <c r="D6" i="88"/>
  <c r="D4" i="88"/>
  <c r="J91" i="87"/>
  <c r="Z86" i="87"/>
  <c r="X86" i="87"/>
  <c r="N86" i="87"/>
  <c r="L86" i="87"/>
  <c r="Z82" i="87"/>
  <c r="X82" i="87"/>
  <c r="T82" i="87"/>
  <c r="P82" i="87"/>
  <c r="N82" i="87"/>
  <c r="H82" i="87"/>
  <c r="D82" i="87"/>
  <c r="L82" i="87" s="1"/>
  <c r="Z80" i="87"/>
  <c r="X80" i="87"/>
  <c r="N80" i="87"/>
  <c r="L80" i="87"/>
  <c r="B80" i="87"/>
  <c r="T79" i="87"/>
  <c r="Z79" i="87" s="1"/>
  <c r="P79" i="87"/>
  <c r="X79" i="87" s="1"/>
  <c r="L79" i="87"/>
  <c r="H79" i="87"/>
  <c r="N79" i="87" s="1"/>
  <c r="D79" i="87"/>
  <c r="B79" i="87"/>
  <c r="Z78" i="87"/>
  <c r="X78" i="87"/>
  <c r="N78" i="87"/>
  <c r="L78" i="87"/>
  <c r="J78" i="87"/>
  <c r="B78" i="87"/>
  <c r="T77" i="87"/>
  <c r="Z77" i="87" s="1"/>
  <c r="P77" i="87"/>
  <c r="X77" i="87" s="1"/>
  <c r="N77" i="87"/>
  <c r="L77" i="87"/>
  <c r="H77" i="87"/>
  <c r="D77" i="87"/>
  <c r="B77" i="87"/>
  <c r="Z76" i="87"/>
  <c r="X76" i="87"/>
  <c r="N76" i="87"/>
  <c r="L76" i="87"/>
  <c r="B76" i="87"/>
  <c r="Z75" i="87"/>
  <c r="T75" i="87"/>
  <c r="P75" i="87"/>
  <c r="X75" i="87" s="1"/>
  <c r="N75" i="87"/>
  <c r="L75" i="87"/>
  <c r="H75" i="87"/>
  <c r="D75" i="87"/>
  <c r="B75" i="87"/>
  <c r="Z74" i="87"/>
  <c r="X74" i="87"/>
  <c r="N74" i="87"/>
  <c r="L74" i="87"/>
  <c r="B74" i="87"/>
  <c r="Z73" i="87"/>
  <c r="X73" i="87"/>
  <c r="N73" i="87"/>
  <c r="L73" i="87"/>
  <c r="B73" i="87"/>
  <c r="Z72" i="87"/>
  <c r="X72" i="87"/>
  <c r="N72" i="87"/>
  <c r="L72" i="87"/>
  <c r="B72" i="87"/>
  <c r="Z71" i="87"/>
  <c r="X71" i="87"/>
  <c r="N71" i="87"/>
  <c r="L71" i="87"/>
  <c r="B71" i="87"/>
  <c r="Z70" i="87"/>
  <c r="X70" i="87"/>
  <c r="N70" i="87"/>
  <c r="L70" i="87"/>
  <c r="B70" i="87"/>
  <c r="Z69" i="87"/>
  <c r="X69" i="87"/>
  <c r="N69" i="87"/>
  <c r="L69" i="87"/>
  <c r="B69" i="87"/>
  <c r="Z68" i="87"/>
  <c r="X68" i="87"/>
  <c r="N68" i="87"/>
  <c r="L68" i="87"/>
  <c r="B68" i="87"/>
  <c r="Z67" i="87"/>
  <c r="X67" i="87"/>
  <c r="V67" i="87"/>
  <c r="N67" i="87"/>
  <c r="L67" i="87"/>
  <c r="B67" i="87"/>
  <c r="Z66" i="87"/>
  <c r="X66" i="87"/>
  <c r="N66" i="87"/>
  <c r="L66" i="87"/>
  <c r="B66" i="87"/>
  <c r="X65" i="87"/>
  <c r="T65" i="87"/>
  <c r="Z65" i="87" s="1"/>
  <c r="P65" i="87"/>
  <c r="L65" i="87"/>
  <c r="H65" i="87"/>
  <c r="N65" i="87" s="1"/>
  <c r="D65" i="87"/>
  <c r="B65" i="87"/>
  <c r="Z64" i="87"/>
  <c r="X64" i="87"/>
  <c r="V64" i="87"/>
  <c r="N64" i="87"/>
  <c r="L64" i="87"/>
  <c r="B64" i="87"/>
  <c r="T63" i="87"/>
  <c r="Z63" i="87" s="1"/>
  <c r="P63" i="87"/>
  <c r="X63" i="87" s="1"/>
  <c r="H63" i="87"/>
  <c r="N63" i="87" s="1"/>
  <c r="D63" i="87"/>
  <c r="B63" i="87"/>
  <c r="Z62" i="87"/>
  <c r="X62" i="87"/>
  <c r="N62" i="87"/>
  <c r="L62" i="87"/>
  <c r="B62" i="87"/>
  <c r="Z61" i="87"/>
  <c r="X61" i="87"/>
  <c r="V61" i="87"/>
  <c r="N61" i="87"/>
  <c r="L61" i="87"/>
  <c r="B61" i="87"/>
  <c r="Z60" i="87"/>
  <c r="X60" i="87"/>
  <c r="N60" i="87"/>
  <c r="L60" i="87"/>
  <c r="B60" i="87"/>
  <c r="Z59" i="87"/>
  <c r="X59" i="87"/>
  <c r="N59" i="87"/>
  <c r="L59" i="87"/>
  <c r="B59" i="87"/>
  <c r="Z58" i="87"/>
  <c r="V58" i="87"/>
  <c r="T58" i="87"/>
  <c r="P58" i="87"/>
  <c r="H58" i="87"/>
  <c r="N58" i="87" s="1"/>
  <c r="D58" i="87"/>
  <c r="B58" i="87"/>
  <c r="Z57" i="87"/>
  <c r="X57" i="87"/>
  <c r="V57" i="87"/>
  <c r="N57" i="87"/>
  <c r="L57" i="87"/>
  <c r="B57" i="87"/>
  <c r="Z56" i="87"/>
  <c r="X56" i="87"/>
  <c r="N56" i="87"/>
  <c r="L56" i="87"/>
  <c r="B56" i="87"/>
  <c r="T55" i="87"/>
  <c r="Z55" i="87" s="1"/>
  <c r="P55" i="87"/>
  <c r="X55" i="87" s="1"/>
  <c r="H55" i="87"/>
  <c r="N55" i="87" s="1"/>
  <c r="D55" i="87"/>
  <c r="L55" i="87" s="1"/>
  <c r="B55" i="87"/>
  <c r="Z54" i="87"/>
  <c r="X54" i="87"/>
  <c r="N54" i="87"/>
  <c r="L54" i="87"/>
  <c r="B54" i="87"/>
  <c r="T53" i="87"/>
  <c r="R53" i="87"/>
  <c r="P53" i="87"/>
  <c r="H53" i="87"/>
  <c r="N53" i="87" s="1"/>
  <c r="D53" i="87"/>
  <c r="L53" i="87" s="1"/>
  <c r="B53" i="87"/>
  <c r="Z52" i="87"/>
  <c r="X52" i="87"/>
  <c r="N52" i="87"/>
  <c r="L52" i="87"/>
  <c r="B52" i="87"/>
  <c r="Z51" i="87"/>
  <c r="X51" i="87"/>
  <c r="T51" i="87"/>
  <c r="P51" i="87"/>
  <c r="J51" i="87"/>
  <c r="H51" i="87"/>
  <c r="D51" i="87"/>
  <c r="B51" i="87"/>
  <c r="X50" i="87"/>
  <c r="Z50" i="87" s="1"/>
  <c r="N50" i="87"/>
  <c r="L50" i="87"/>
  <c r="B50" i="87"/>
  <c r="X49" i="87"/>
  <c r="V49" i="87"/>
  <c r="T49" i="87"/>
  <c r="P49" i="87"/>
  <c r="L49" i="87"/>
  <c r="H49" i="87"/>
  <c r="D49" i="87"/>
  <c r="B49" i="87"/>
  <c r="X48" i="87"/>
  <c r="Z48" i="87" s="1"/>
  <c r="V48" i="87"/>
  <c r="N48" i="87"/>
  <c r="L48" i="87"/>
  <c r="B48" i="87"/>
  <c r="Z47" i="87"/>
  <c r="X47" i="87"/>
  <c r="N47" i="87"/>
  <c r="L47" i="87"/>
  <c r="B47" i="87"/>
  <c r="X46" i="87"/>
  <c r="Z46" i="87" s="1"/>
  <c r="T46" i="87"/>
  <c r="P46" i="87"/>
  <c r="L46" i="87"/>
  <c r="N46" i="87" s="1"/>
  <c r="J46" i="87"/>
  <c r="H46" i="87"/>
  <c r="D46" i="87"/>
  <c r="B46" i="87"/>
  <c r="Z45" i="87"/>
  <c r="X45" i="87"/>
  <c r="N45" i="87"/>
  <c r="L45" i="87"/>
  <c r="J45" i="87"/>
  <c r="B45" i="87"/>
  <c r="T44" i="87"/>
  <c r="Z44" i="87" s="1"/>
  <c r="P44" i="87"/>
  <c r="J44" i="87"/>
  <c r="H44" i="87"/>
  <c r="N44" i="87" s="1"/>
  <c r="D44" i="87"/>
  <c r="L44" i="87" s="1"/>
  <c r="B44" i="87"/>
  <c r="Z43" i="87"/>
  <c r="X43" i="87"/>
  <c r="N43" i="87"/>
  <c r="L43" i="87"/>
  <c r="B43" i="87"/>
  <c r="Z42" i="87"/>
  <c r="T42" i="87"/>
  <c r="P42" i="87"/>
  <c r="X42" i="87" s="1"/>
  <c r="N42" i="87"/>
  <c r="H42" i="87"/>
  <c r="D42" i="87"/>
  <c r="L42" i="87" s="1"/>
  <c r="B42" i="87"/>
  <c r="Z41" i="87"/>
  <c r="X41" i="87"/>
  <c r="N41" i="87"/>
  <c r="L41" i="87"/>
  <c r="B41" i="87"/>
  <c r="Z40" i="87"/>
  <c r="X40" i="87"/>
  <c r="V40" i="87"/>
  <c r="N40" i="87"/>
  <c r="L40" i="87"/>
  <c r="B40" i="87"/>
  <c r="Z39" i="87"/>
  <c r="X39" i="87"/>
  <c r="N39" i="87"/>
  <c r="L39" i="87"/>
  <c r="B39" i="87"/>
  <c r="Z38" i="87"/>
  <c r="X38" i="87"/>
  <c r="N38" i="87"/>
  <c r="L38" i="87"/>
  <c r="J38" i="87"/>
  <c r="B38" i="87"/>
  <c r="Z37" i="87"/>
  <c r="X37" i="87"/>
  <c r="N37" i="87"/>
  <c r="L37" i="87"/>
  <c r="B37" i="87"/>
  <c r="Z36" i="87"/>
  <c r="X36" i="87"/>
  <c r="V36" i="87"/>
  <c r="N36" i="87"/>
  <c r="L36" i="87"/>
  <c r="B36" i="87"/>
  <c r="Z35" i="87"/>
  <c r="X35" i="87"/>
  <c r="N35" i="87"/>
  <c r="L35" i="87"/>
  <c r="B35" i="87"/>
  <c r="Z34" i="87"/>
  <c r="X34" i="87"/>
  <c r="N34" i="87"/>
  <c r="L34" i="87"/>
  <c r="J34" i="87"/>
  <c r="B34" i="87"/>
  <c r="Z33" i="87"/>
  <c r="X33" i="87"/>
  <c r="N33" i="87"/>
  <c r="L33" i="87"/>
  <c r="B33" i="87"/>
  <c r="Z32" i="87"/>
  <c r="X32" i="87"/>
  <c r="V32" i="87"/>
  <c r="N32" i="87"/>
  <c r="L32" i="87"/>
  <c r="J32" i="87"/>
  <c r="B32" i="87"/>
  <c r="T31" i="87"/>
  <c r="Z31" i="87" s="1"/>
  <c r="R31" i="87"/>
  <c r="P31" i="87"/>
  <c r="X31" i="87" s="1"/>
  <c r="H31" i="87"/>
  <c r="N31" i="87" s="1"/>
  <c r="D31" i="87"/>
  <c r="L31" i="87" s="1"/>
  <c r="B31" i="87"/>
  <c r="Z30" i="87"/>
  <c r="X30" i="87"/>
  <c r="R30" i="87"/>
  <c r="N30" i="87"/>
  <c r="L30" i="87"/>
  <c r="B30" i="87"/>
  <c r="Z29" i="87"/>
  <c r="X29" i="87"/>
  <c r="N29" i="87"/>
  <c r="L29" i="87"/>
  <c r="J29" i="87"/>
  <c r="B29" i="87"/>
  <c r="Z28" i="87"/>
  <c r="X28" i="87"/>
  <c r="N28" i="87"/>
  <c r="L28" i="87"/>
  <c r="J28" i="87"/>
  <c r="B28" i="87"/>
  <c r="Z27" i="87"/>
  <c r="X27" i="87"/>
  <c r="N27" i="87"/>
  <c r="L27" i="87"/>
  <c r="J27" i="87"/>
  <c r="B27" i="87"/>
  <c r="Z26" i="87"/>
  <c r="X26" i="87"/>
  <c r="R26" i="87"/>
  <c r="N26" i="87"/>
  <c r="L26" i="87"/>
  <c r="B26" i="87"/>
  <c r="Z25" i="87"/>
  <c r="X25" i="87"/>
  <c r="N25" i="87"/>
  <c r="L25" i="87"/>
  <c r="J25" i="87"/>
  <c r="B25" i="87"/>
  <c r="Z24" i="87"/>
  <c r="X24" i="87"/>
  <c r="N24" i="87"/>
  <c r="L24" i="87"/>
  <c r="J24" i="87"/>
  <c r="B24" i="87"/>
  <c r="Z23" i="87"/>
  <c r="X23" i="87"/>
  <c r="N23" i="87"/>
  <c r="L23" i="87"/>
  <c r="J23" i="87"/>
  <c r="B23" i="87"/>
  <c r="T22" i="87"/>
  <c r="Z22" i="87" s="1"/>
  <c r="R22" i="87"/>
  <c r="P22" i="87"/>
  <c r="J22" i="87"/>
  <c r="H22" i="87"/>
  <c r="N22" i="87" s="1"/>
  <c r="D22" i="87"/>
  <c r="L22" i="87" s="1"/>
  <c r="B22" i="87"/>
  <c r="V21" i="87"/>
  <c r="T21" i="87"/>
  <c r="P21" i="87"/>
  <c r="J21" i="87"/>
  <c r="H21" i="87"/>
  <c r="D21" i="87"/>
  <c r="L21" i="87" s="1"/>
  <c r="V19" i="87"/>
  <c r="T19" i="87"/>
  <c r="J19" i="87"/>
  <c r="H19" i="87"/>
  <c r="H84" i="87" s="1"/>
  <c r="H88" i="87" s="1"/>
  <c r="Z17" i="87"/>
  <c r="X17" i="87"/>
  <c r="V17" i="87"/>
  <c r="R17" i="87"/>
  <c r="N17" i="87"/>
  <c r="L17" i="87"/>
  <c r="B17" i="87"/>
  <c r="Z16" i="87"/>
  <c r="V16" i="87"/>
  <c r="T16" i="87"/>
  <c r="P16" i="87"/>
  <c r="X16" i="87" s="1"/>
  <c r="N16" i="87"/>
  <c r="H16" i="87"/>
  <c r="D16" i="87"/>
  <c r="L16" i="87" s="1"/>
  <c r="Z14" i="87"/>
  <c r="P14" i="87"/>
  <c r="X14" i="87" s="1"/>
  <c r="N14" i="87"/>
  <c r="D14" i="87"/>
  <c r="L14" i="87" s="1"/>
  <c r="B14" i="87"/>
  <c r="Z13" i="87"/>
  <c r="X13" i="87"/>
  <c r="P13" i="87"/>
  <c r="N13" i="87"/>
  <c r="L13" i="87"/>
  <c r="D13" i="87"/>
  <c r="D12" i="87" s="1"/>
  <c r="B13" i="87"/>
  <c r="Z12" i="87"/>
  <c r="T12" i="87"/>
  <c r="P12" i="87"/>
  <c r="R52" i="87" s="1"/>
  <c r="N12" i="87"/>
  <c r="H12" i="87"/>
  <c r="J70" i="87" s="1"/>
  <c r="D6" i="87"/>
  <c r="D4" i="87"/>
  <c r="Z28" i="85"/>
  <c r="X28" i="85"/>
  <c r="L28" i="85"/>
  <c r="N28" i="85" s="1"/>
  <c r="R26" i="85"/>
  <c r="T24" i="85"/>
  <c r="Z24" i="85" s="1"/>
  <c r="P24" i="85"/>
  <c r="X24" i="85" s="1"/>
  <c r="L24" i="85"/>
  <c r="H24" i="85"/>
  <c r="N24" i="85" s="1"/>
  <c r="D24" i="85"/>
  <c r="Z22" i="85"/>
  <c r="X22" i="85"/>
  <c r="N22" i="85"/>
  <c r="L22" i="85"/>
  <c r="B22" i="85"/>
  <c r="T21" i="85"/>
  <c r="Z21" i="85" s="1"/>
  <c r="P21" i="85"/>
  <c r="X21" i="85" s="1"/>
  <c r="N21" i="85"/>
  <c r="L21" i="85"/>
  <c r="H21" i="85"/>
  <c r="D21" i="85"/>
  <c r="B21" i="85"/>
  <c r="T20" i="85"/>
  <c r="P20" i="85"/>
  <c r="X20" i="85" s="1"/>
  <c r="Z20" i="85" s="1"/>
  <c r="H20" i="85"/>
  <c r="D20" i="85"/>
  <c r="L20" i="85" s="1"/>
  <c r="N20" i="85" s="1"/>
  <c r="P18" i="85"/>
  <c r="Z16" i="85"/>
  <c r="X16" i="85"/>
  <c r="L16" i="85"/>
  <c r="N16" i="85" s="1"/>
  <c r="J16" i="85"/>
  <c r="B16" i="85"/>
  <c r="T15" i="85"/>
  <c r="P15" i="85"/>
  <c r="X15" i="85" s="1"/>
  <c r="Z15" i="85" s="1"/>
  <c r="H15" i="85"/>
  <c r="D15" i="85"/>
  <c r="P13" i="85"/>
  <c r="P12" i="85" s="1"/>
  <c r="D13" i="85"/>
  <c r="D12" i="85" s="1"/>
  <c r="B13" i="85"/>
  <c r="T12" i="85"/>
  <c r="H12" i="85"/>
  <c r="J21" i="85" s="1"/>
  <c r="D6" i="85"/>
  <c r="D4" i="85"/>
  <c r="Z112" i="84"/>
  <c r="X112" i="84"/>
  <c r="N112" i="84"/>
  <c r="L112" i="84"/>
  <c r="Z108" i="84"/>
  <c r="X108" i="84"/>
  <c r="T108" i="84"/>
  <c r="P108" i="84"/>
  <c r="N108" i="84"/>
  <c r="L108" i="84"/>
  <c r="H108" i="84"/>
  <c r="D108" i="84"/>
  <c r="X106" i="84"/>
  <c r="Z106" i="84" s="1"/>
  <c r="N106" i="84"/>
  <c r="L106" i="84"/>
  <c r="B106" i="84"/>
  <c r="T105" i="84"/>
  <c r="P105" i="84"/>
  <c r="X105" i="84" s="1"/>
  <c r="H105" i="84"/>
  <c r="N105" i="84" s="1"/>
  <c r="D105" i="84"/>
  <c r="L105" i="84" s="1"/>
  <c r="B105" i="84"/>
  <c r="X104" i="84"/>
  <c r="Z104" i="84" s="1"/>
  <c r="N104" i="84"/>
  <c r="L104" i="84"/>
  <c r="B104" i="84"/>
  <c r="Z103" i="84"/>
  <c r="X103" i="84"/>
  <c r="N103" i="84"/>
  <c r="L103" i="84"/>
  <c r="B103" i="84"/>
  <c r="T102" i="84"/>
  <c r="P102" i="84"/>
  <c r="L102" i="84"/>
  <c r="H102" i="84"/>
  <c r="N102" i="84" s="1"/>
  <c r="D102" i="84"/>
  <c r="B102" i="84"/>
  <c r="Z101" i="84"/>
  <c r="X101" i="84"/>
  <c r="N101" i="84"/>
  <c r="L101" i="84"/>
  <c r="B101" i="84"/>
  <c r="Z100" i="84"/>
  <c r="T100" i="84"/>
  <c r="P100" i="84"/>
  <c r="X100" i="84" s="1"/>
  <c r="N100" i="84"/>
  <c r="H100" i="84"/>
  <c r="D100" i="84"/>
  <c r="L100" i="84" s="1"/>
  <c r="B100" i="84"/>
  <c r="Z99" i="84"/>
  <c r="X99" i="84"/>
  <c r="N99" i="84"/>
  <c r="L99" i="84"/>
  <c r="B99" i="84"/>
  <c r="X98" i="84"/>
  <c r="Z98" i="84" s="1"/>
  <c r="N98" i="84"/>
  <c r="L98" i="84"/>
  <c r="B98" i="84"/>
  <c r="T97" i="84"/>
  <c r="P97" i="84"/>
  <c r="X97" i="84" s="1"/>
  <c r="H97" i="84"/>
  <c r="D97" i="84"/>
  <c r="L97" i="84" s="1"/>
  <c r="B97" i="84"/>
  <c r="X96" i="84"/>
  <c r="Z96" i="84" s="1"/>
  <c r="N96" i="84"/>
  <c r="L96" i="84"/>
  <c r="B96" i="84"/>
  <c r="X95" i="84"/>
  <c r="Z95" i="84" s="1"/>
  <c r="N95" i="84"/>
  <c r="L95" i="84"/>
  <c r="B95" i="84"/>
  <c r="Z94" i="84"/>
  <c r="X94" i="84"/>
  <c r="N94" i="84"/>
  <c r="L94" i="84"/>
  <c r="B94" i="84"/>
  <c r="Z93" i="84"/>
  <c r="X93" i="84"/>
  <c r="L93" i="84"/>
  <c r="N93" i="84" s="1"/>
  <c r="B93" i="84"/>
  <c r="X92" i="84"/>
  <c r="Z92" i="84" s="1"/>
  <c r="N92" i="84"/>
  <c r="L92" i="84"/>
  <c r="B92" i="84"/>
  <c r="Z91" i="84"/>
  <c r="X91" i="84"/>
  <c r="N91" i="84"/>
  <c r="L91" i="84"/>
  <c r="B91" i="84"/>
  <c r="T90" i="84"/>
  <c r="P90" i="84"/>
  <c r="X90" i="84" s="1"/>
  <c r="L90" i="84"/>
  <c r="H90" i="84"/>
  <c r="N90" i="84" s="1"/>
  <c r="D90" i="84"/>
  <c r="B90" i="84"/>
  <c r="Z89" i="84"/>
  <c r="X89" i="84"/>
  <c r="N89" i="84"/>
  <c r="L89" i="84"/>
  <c r="B89" i="84"/>
  <c r="Z88" i="84"/>
  <c r="X88" i="84"/>
  <c r="V88" i="84"/>
  <c r="L88" i="84"/>
  <c r="N88" i="84" s="1"/>
  <c r="B88" i="84"/>
  <c r="T87" i="84"/>
  <c r="P87" i="84"/>
  <c r="X87" i="84" s="1"/>
  <c r="Z87" i="84" s="1"/>
  <c r="H87" i="84"/>
  <c r="D87" i="84"/>
  <c r="B87" i="84"/>
  <c r="X86" i="84"/>
  <c r="Z86" i="84" s="1"/>
  <c r="N86" i="84"/>
  <c r="L86" i="84"/>
  <c r="B86" i="84"/>
  <c r="Z85" i="84"/>
  <c r="X85" i="84"/>
  <c r="N85" i="84"/>
  <c r="L85" i="84"/>
  <c r="B85" i="84"/>
  <c r="Z84" i="84"/>
  <c r="X84" i="84"/>
  <c r="V84" i="84"/>
  <c r="N84" i="84"/>
  <c r="L84" i="84"/>
  <c r="B84" i="84"/>
  <c r="X83" i="84"/>
  <c r="T83" i="84"/>
  <c r="P83" i="84"/>
  <c r="H83" i="84"/>
  <c r="D83" i="84"/>
  <c r="L83" i="84" s="1"/>
  <c r="B83" i="84"/>
  <c r="Z82" i="84"/>
  <c r="X82" i="84"/>
  <c r="N82" i="84"/>
  <c r="L82" i="84"/>
  <c r="B82" i="84"/>
  <c r="T81" i="84"/>
  <c r="P81" i="84"/>
  <c r="X81" i="84" s="1"/>
  <c r="Z81" i="84" s="1"/>
  <c r="L81" i="84"/>
  <c r="N81" i="84" s="1"/>
  <c r="H81" i="84"/>
  <c r="D81" i="84"/>
  <c r="B81" i="84"/>
  <c r="Z80" i="84"/>
  <c r="X80" i="84"/>
  <c r="L80" i="84"/>
  <c r="N80" i="84" s="1"/>
  <c r="B80" i="84"/>
  <c r="Z79" i="84"/>
  <c r="V79" i="84"/>
  <c r="T79" i="84"/>
  <c r="P79" i="84"/>
  <c r="X79" i="84" s="1"/>
  <c r="H79" i="84"/>
  <c r="D79" i="84"/>
  <c r="B79" i="84"/>
  <c r="X78" i="84"/>
  <c r="Z78" i="84" s="1"/>
  <c r="N78" i="84"/>
  <c r="L78" i="84"/>
  <c r="B78" i="84"/>
  <c r="V77" i="84"/>
  <c r="T77" i="84"/>
  <c r="Z77" i="84" s="1"/>
  <c r="P77" i="84"/>
  <c r="X77" i="84" s="1"/>
  <c r="L77" i="84"/>
  <c r="H77" i="84"/>
  <c r="D77" i="84"/>
  <c r="B77" i="84"/>
  <c r="X76" i="84"/>
  <c r="Z76" i="84" s="1"/>
  <c r="N76" i="84"/>
  <c r="L76" i="84"/>
  <c r="B76" i="84"/>
  <c r="X75" i="84"/>
  <c r="Z75" i="84" s="1"/>
  <c r="T75" i="84"/>
  <c r="P75" i="84"/>
  <c r="H75" i="84"/>
  <c r="D75" i="84"/>
  <c r="L75" i="84" s="1"/>
  <c r="N75" i="84" s="1"/>
  <c r="B75" i="84"/>
  <c r="Z74" i="84"/>
  <c r="X74" i="84"/>
  <c r="L74" i="84"/>
  <c r="N74" i="84" s="1"/>
  <c r="B74" i="84"/>
  <c r="T73" i="84"/>
  <c r="P73" i="84"/>
  <c r="H73" i="84"/>
  <c r="D73" i="84"/>
  <c r="L73" i="84" s="1"/>
  <c r="N73" i="84" s="1"/>
  <c r="B73" i="84"/>
  <c r="Z72" i="84"/>
  <c r="X72" i="84"/>
  <c r="N72" i="84"/>
  <c r="L72" i="84"/>
  <c r="B72" i="84"/>
  <c r="X71" i="84"/>
  <c r="Z71" i="84" s="1"/>
  <c r="L71" i="84"/>
  <c r="N71" i="84" s="1"/>
  <c r="B71" i="84"/>
  <c r="X70" i="84"/>
  <c r="Z70" i="84" s="1"/>
  <c r="T70" i="84"/>
  <c r="P70" i="84"/>
  <c r="L70" i="84"/>
  <c r="N70" i="84" s="1"/>
  <c r="H70" i="84"/>
  <c r="D70" i="84"/>
  <c r="B70" i="84"/>
  <c r="Z69" i="84"/>
  <c r="X69" i="84"/>
  <c r="L69" i="84"/>
  <c r="N69" i="84" s="1"/>
  <c r="B69" i="84"/>
  <c r="X68" i="84"/>
  <c r="T68" i="84"/>
  <c r="P68" i="84"/>
  <c r="H68" i="84"/>
  <c r="N68" i="84" s="1"/>
  <c r="D68" i="84"/>
  <c r="L68" i="84" s="1"/>
  <c r="B68" i="84"/>
  <c r="Z67" i="84"/>
  <c r="X67" i="84"/>
  <c r="N67" i="84"/>
  <c r="L67" i="84"/>
  <c r="B67" i="84"/>
  <c r="Z66" i="84"/>
  <c r="T66" i="84"/>
  <c r="P66" i="84"/>
  <c r="X66" i="84" s="1"/>
  <c r="N66" i="84"/>
  <c r="J66" i="84"/>
  <c r="H66" i="84"/>
  <c r="D66" i="84"/>
  <c r="L66" i="84" s="1"/>
  <c r="B66" i="84"/>
  <c r="X65" i="84"/>
  <c r="Z65" i="84" s="1"/>
  <c r="N65" i="84"/>
  <c r="L65" i="84"/>
  <c r="B65" i="84"/>
  <c r="T64" i="84"/>
  <c r="P64" i="84"/>
  <c r="X64" i="84" s="1"/>
  <c r="Z64" i="84" s="1"/>
  <c r="L64" i="84"/>
  <c r="N64" i="84" s="1"/>
  <c r="H64" i="84"/>
  <c r="D64" i="84"/>
  <c r="B64" i="84"/>
  <c r="X63" i="84"/>
  <c r="Z63" i="84" s="1"/>
  <c r="N63" i="84"/>
  <c r="L63" i="84"/>
  <c r="B63" i="84"/>
  <c r="T62" i="84"/>
  <c r="P62" i="84"/>
  <c r="H62" i="84"/>
  <c r="D62" i="84"/>
  <c r="B62" i="84"/>
  <c r="X61" i="84"/>
  <c r="Z61" i="84" s="1"/>
  <c r="N61" i="84"/>
  <c r="L61" i="84"/>
  <c r="J61" i="84"/>
  <c r="B61" i="84"/>
  <c r="T60" i="84"/>
  <c r="P60" i="84"/>
  <c r="X60" i="84" s="1"/>
  <c r="Z60" i="84" s="1"/>
  <c r="H60" i="84"/>
  <c r="D60" i="84"/>
  <c r="B60" i="84"/>
  <c r="X59" i="84"/>
  <c r="Z59" i="84" s="1"/>
  <c r="L59" i="84"/>
  <c r="N59" i="84" s="1"/>
  <c r="B59" i="84"/>
  <c r="X58" i="84"/>
  <c r="Z58" i="84" s="1"/>
  <c r="T58" i="84"/>
  <c r="P58" i="84"/>
  <c r="J58" i="84"/>
  <c r="H58" i="84"/>
  <c r="D58" i="84"/>
  <c r="L58" i="84" s="1"/>
  <c r="N58" i="84" s="1"/>
  <c r="B58" i="84"/>
  <c r="Z57" i="84"/>
  <c r="X57" i="84"/>
  <c r="N57" i="84"/>
  <c r="L57" i="84"/>
  <c r="B57" i="84"/>
  <c r="Z56" i="84"/>
  <c r="X56" i="84"/>
  <c r="N56" i="84"/>
  <c r="L56" i="84"/>
  <c r="J56" i="84"/>
  <c r="B56" i="84"/>
  <c r="Z55" i="84"/>
  <c r="X55" i="84"/>
  <c r="N55" i="84"/>
  <c r="L55" i="84"/>
  <c r="B55" i="84"/>
  <c r="Z54" i="84"/>
  <c r="X54" i="84"/>
  <c r="N54" i="84"/>
  <c r="L54" i="84"/>
  <c r="B54" i="84"/>
  <c r="Z53" i="84"/>
  <c r="X53" i="84"/>
  <c r="N53" i="84"/>
  <c r="L53" i="84"/>
  <c r="B53" i="84"/>
  <c r="Z52" i="84"/>
  <c r="X52" i="84"/>
  <c r="N52" i="84"/>
  <c r="L52" i="84"/>
  <c r="B52" i="84"/>
  <c r="Z51" i="84"/>
  <c r="X51" i="84"/>
  <c r="N51" i="84"/>
  <c r="L51" i="84"/>
  <c r="J51" i="84"/>
  <c r="B51" i="84"/>
  <c r="Z50" i="84"/>
  <c r="X50" i="84"/>
  <c r="N50" i="84"/>
  <c r="L50" i="84"/>
  <c r="B50" i="84"/>
  <c r="Z49" i="84"/>
  <c r="X49" i="84"/>
  <c r="L49" i="84"/>
  <c r="N49" i="84" s="1"/>
  <c r="J49" i="84"/>
  <c r="B49" i="84"/>
  <c r="Z48" i="84"/>
  <c r="X48" i="84"/>
  <c r="N48" i="84"/>
  <c r="L48" i="84"/>
  <c r="B48" i="84"/>
  <c r="X47" i="84"/>
  <c r="Z47" i="84" s="1"/>
  <c r="T47" i="84"/>
  <c r="P47" i="84"/>
  <c r="H47" i="84"/>
  <c r="D47" i="84"/>
  <c r="L47" i="84" s="1"/>
  <c r="B47" i="84"/>
  <c r="Z46" i="84"/>
  <c r="X46" i="84"/>
  <c r="L46" i="84"/>
  <c r="N46" i="84" s="1"/>
  <c r="J46" i="84"/>
  <c r="B46" i="84"/>
  <c r="X45" i="84"/>
  <c r="Z45" i="84" s="1"/>
  <c r="N45" i="84"/>
  <c r="L45" i="84"/>
  <c r="B45" i="84"/>
  <c r="Z44" i="84"/>
  <c r="X44" i="84"/>
  <c r="V44" i="84"/>
  <c r="N44" i="84"/>
  <c r="L44" i="84"/>
  <c r="B44" i="84"/>
  <c r="Z43" i="84"/>
  <c r="X43" i="84"/>
  <c r="V43" i="84"/>
  <c r="N43" i="84"/>
  <c r="L43" i="84"/>
  <c r="B43" i="84"/>
  <c r="Z42" i="84"/>
  <c r="X42" i="84"/>
  <c r="L42" i="84"/>
  <c r="N42" i="84" s="1"/>
  <c r="B42" i="84"/>
  <c r="X41" i="84"/>
  <c r="Z41" i="84" s="1"/>
  <c r="N41" i="84"/>
  <c r="L41" i="84"/>
  <c r="J41" i="84"/>
  <c r="B41" i="84"/>
  <c r="Z40" i="84"/>
  <c r="X40" i="84"/>
  <c r="N40" i="84"/>
  <c r="L40" i="84"/>
  <c r="J40" i="84"/>
  <c r="B40" i="84"/>
  <c r="Z39" i="84"/>
  <c r="X39" i="84"/>
  <c r="V39" i="84"/>
  <c r="L39" i="84"/>
  <c r="N39" i="84" s="1"/>
  <c r="B39" i="84"/>
  <c r="Z38" i="84"/>
  <c r="X38" i="84"/>
  <c r="L38" i="84"/>
  <c r="N38" i="84" s="1"/>
  <c r="B38" i="84"/>
  <c r="T37" i="84"/>
  <c r="P37" i="84"/>
  <c r="H37" i="84"/>
  <c r="D37" i="84"/>
  <c r="L37" i="84" s="1"/>
  <c r="N37" i="84" s="1"/>
  <c r="B37" i="84"/>
  <c r="T36" i="84"/>
  <c r="P36" i="84"/>
  <c r="X36" i="84" s="1"/>
  <c r="Z36" i="84" s="1"/>
  <c r="L36" i="84"/>
  <c r="N36" i="84" s="1"/>
  <c r="H36" i="84"/>
  <c r="D36" i="84"/>
  <c r="Z32" i="84"/>
  <c r="X32" i="84"/>
  <c r="V32" i="84"/>
  <c r="N32" i="84"/>
  <c r="L32" i="84"/>
  <c r="J32" i="84"/>
  <c r="B32" i="84"/>
  <c r="X31" i="84"/>
  <c r="Z31" i="84" s="1"/>
  <c r="L31" i="84"/>
  <c r="N31" i="84" s="1"/>
  <c r="B31" i="84"/>
  <c r="Z30" i="84"/>
  <c r="X30" i="84"/>
  <c r="V30" i="84"/>
  <c r="T30" i="84"/>
  <c r="P30" i="84"/>
  <c r="J30" i="84"/>
  <c r="H30" i="84"/>
  <c r="D30" i="84"/>
  <c r="L30" i="84" s="1"/>
  <c r="N30" i="84" s="1"/>
  <c r="Z28" i="84"/>
  <c r="P28" i="84"/>
  <c r="X28" i="84" s="1"/>
  <c r="N28" i="84"/>
  <c r="L28" i="84"/>
  <c r="D28" i="84"/>
  <c r="B28" i="84"/>
  <c r="Z27" i="84"/>
  <c r="X27" i="84"/>
  <c r="P27" i="84"/>
  <c r="N27" i="84"/>
  <c r="D27" i="84"/>
  <c r="L27" i="84" s="1"/>
  <c r="B27" i="84"/>
  <c r="Z26" i="84"/>
  <c r="P26" i="84"/>
  <c r="X26" i="84" s="1"/>
  <c r="N26" i="84"/>
  <c r="L26" i="84"/>
  <c r="D26" i="84"/>
  <c r="B26" i="84"/>
  <c r="Z25" i="84"/>
  <c r="P25" i="84"/>
  <c r="X25" i="84" s="1"/>
  <c r="N25" i="84"/>
  <c r="D25" i="84"/>
  <c r="L25" i="84" s="1"/>
  <c r="B25" i="84"/>
  <c r="Z24" i="84"/>
  <c r="P24" i="84"/>
  <c r="X24" i="84" s="1"/>
  <c r="N24" i="84"/>
  <c r="L24" i="84"/>
  <c r="D24" i="84"/>
  <c r="B24" i="84"/>
  <c r="Z23" i="84"/>
  <c r="X23" i="84"/>
  <c r="P23" i="84"/>
  <c r="N23" i="84"/>
  <c r="D23" i="84"/>
  <c r="L23" i="84" s="1"/>
  <c r="B23" i="84"/>
  <c r="Z22" i="84"/>
  <c r="P22" i="84"/>
  <c r="X22" i="84" s="1"/>
  <c r="N22" i="84"/>
  <c r="D22" i="84"/>
  <c r="L22" i="84" s="1"/>
  <c r="B22" i="84"/>
  <c r="Z21" i="84"/>
  <c r="X21" i="84"/>
  <c r="P21" i="84"/>
  <c r="N21" i="84"/>
  <c r="D21" i="84"/>
  <c r="L21" i="84" s="1"/>
  <c r="B21" i="84"/>
  <c r="Z20" i="84"/>
  <c r="P20" i="84"/>
  <c r="X20" i="84" s="1"/>
  <c r="N20" i="84"/>
  <c r="D20" i="84"/>
  <c r="L20" i="84" s="1"/>
  <c r="B20" i="84"/>
  <c r="Z19" i="84"/>
  <c r="X19" i="84"/>
  <c r="P19" i="84"/>
  <c r="N19" i="84"/>
  <c r="D19" i="84"/>
  <c r="L19" i="84" s="1"/>
  <c r="B19" i="84"/>
  <c r="Z18" i="84"/>
  <c r="P18" i="84"/>
  <c r="X18" i="84" s="1"/>
  <c r="N18" i="84"/>
  <c r="L18" i="84"/>
  <c r="D18" i="84"/>
  <c r="B18" i="84"/>
  <c r="Z17" i="84"/>
  <c r="X17" i="84"/>
  <c r="P17" i="84"/>
  <c r="N17" i="84"/>
  <c r="D17" i="84"/>
  <c r="L17" i="84" s="1"/>
  <c r="B17" i="84"/>
  <c r="Z16" i="84"/>
  <c r="P16" i="84"/>
  <c r="X16" i="84" s="1"/>
  <c r="N16" i="84"/>
  <c r="L16" i="84"/>
  <c r="D16" i="84"/>
  <c r="B16" i="84"/>
  <c r="Z15" i="84"/>
  <c r="X15" i="84"/>
  <c r="P15" i="84"/>
  <c r="N15" i="84"/>
  <c r="D15" i="84"/>
  <c r="L15" i="84" s="1"/>
  <c r="B15" i="84"/>
  <c r="Z14" i="84"/>
  <c r="P14" i="84"/>
  <c r="X14" i="84" s="1"/>
  <c r="N14" i="84"/>
  <c r="L14" i="84"/>
  <c r="D14" i="84"/>
  <c r="B14" i="84"/>
  <c r="P13" i="84"/>
  <c r="D13" i="84"/>
  <c r="B13" i="84"/>
  <c r="T12" i="84"/>
  <c r="V73" i="84" s="1"/>
  <c r="H12" i="84"/>
  <c r="J80" i="84" s="1"/>
  <c r="D6" i="84"/>
  <c r="D4" i="84"/>
  <c r="F78" i="83"/>
  <c r="F75" i="83"/>
  <c r="Z73" i="83"/>
  <c r="X73" i="83"/>
  <c r="N73" i="83"/>
  <c r="L73" i="83"/>
  <c r="J73" i="83"/>
  <c r="V71" i="83"/>
  <c r="R71" i="83"/>
  <c r="V69" i="83"/>
  <c r="T69" i="83"/>
  <c r="R69" i="83"/>
  <c r="P69" i="83"/>
  <c r="N69" i="83"/>
  <c r="L69" i="83"/>
  <c r="H69" i="83"/>
  <c r="D69" i="83"/>
  <c r="X67" i="83"/>
  <c r="Z67" i="83" s="1"/>
  <c r="V67" i="83"/>
  <c r="R67" i="83"/>
  <c r="N67" i="83"/>
  <c r="L67" i="83"/>
  <c r="B67" i="83"/>
  <c r="T66" i="83"/>
  <c r="Z66" i="83" s="1"/>
  <c r="P66" i="83"/>
  <c r="X66" i="83" s="1"/>
  <c r="L66" i="83"/>
  <c r="N66" i="83" s="1"/>
  <c r="H66" i="83"/>
  <c r="D66" i="83"/>
  <c r="B66" i="83"/>
  <c r="Z65" i="83"/>
  <c r="X65" i="83"/>
  <c r="N65" i="83"/>
  <c r="L65" i="83"/>
  <c r="J65" i="83"/>
  <c r="B65" i="83"/>
  <c r="X64" i="83"/>
  <c r="Z64" i="83" s="1"/>
  <c r="L64" i="83"/>
  <c r="N64" i="83" s="1"/>
  <c r="F64" i="83"/>
  <c r="B64" i="83"/>
  <c r="Z63" i="83"/>
  <c r="X63" i="83"/>
  <c r="T63" i="83"/>
  <c r="P63" i="83"/>
  <c r="H63" i="83"/>
  <c r="F63" i="83"/>
  <c r="D63" i="83"/>
  <c r="L63" i="83" s="1"/>
  <c r="N63" i="83" s="1"/>
  <c r="B63" i="83"/>
  <c r="X62" i="83"/>
  <c r="Z62" i="83" s="1"/>
  <c r="L62" i="83"/>
  <c r="N62" i="83" s="1"/>
  <c r="B62" i="83"/>
  <c r="Z61" i="83"/>
  <c r="X61" i="83"/>
  <c r="V61" i="83"/>
  <c r="N61" i="83"/>
  <c r="L61" i="83"/>
  <c r="B61" i="83"/>
  <c r="T60" i="83"/>
  <c r="R60" i="83"/>
  <c r="P60" i="83"/>
  <c r="X60" i="83" s="1"/>
  <c r="H60" i="83"/>
  <c r="D60" i="83"/>
  <c r="L60" i="83" s="1"/>
  <c r="B60" i="83"/>
  <c r="X59" i="83"/>
  <c r="Z59" i="83" s="1"/>
  <c r="V59" i="83"/>
  <c r="R59" i="83"/>
  <c r="N59" i="83"/>
  <c r="L59" i="83"/>
  <c r="B59" i="83"/>
  <c r="T58" i="83"/>
  <c r="Z58" i="83" s="1"/>
  <c r="P58" i="83"/>
  <c r="X58" i="83" s="1"/>
  <c r="N58" i="83"/>
  <c r="L58" i="83"/>
  <c r="H58" i="83"/>
  <c r="D58" i="83"/>
  <c r="B58" i="83"/>
  <c r="Z57" i="83"/>
  <c r="X57" i="83"/>
  <c r="L57" i="83"/>
  <c r="N57" i="83" s="1"/>
  <c r="J57" i="83"/>
  <c r="B57" i="83"/>
  <c r="X56" i="83"/>
  <c r="Z56" i="83" s="1"/>
  <c r="L56" i="83"/>
  <c r="N56" i="83" s="1"/>
  <c r="F56" i="83"/>
  <c r="B56" i="83"/>
  <c r="Z55" i="83"/>
  <c r="X55" i="83"/>
  <c r="N55" i="83"/>
  <c r="L55" i="83"/>
  <c r="J55" i="83"/>
  <c r="B55" i="83"/>
  <c r="X54" i="83"/>
  <c r="V54" i="83"/>
  <c r="T54" i="83"/>
  <c r="P54" i="83"/>
  <c r="H54" i="83"/>
  <c r="D54" i="83"/>
  <c r="B54" i="83"/>
  <c r="X53" i="83"/>
  <c r="Z53" i="83" s="1"/>
  <c r="V53" i="83"/>
  <c r="N53" i="83"/>
  <c r="L53" i="83"/>
  <c r="B53" i="83"/>
  <c r="T52" i="83"/>
  <c r="R52" i="83"/>
  <c r="P52" i="83"/>
  <c r="X52" i="83" s="1"/>
  <c r="H52" i="83"/>
  <c r="D52" i="83"/>
  <c r="L52" i="83" s="1"/>
  <c r="B52" i="83"/>
  <c r="X51" i="83"/>
  <c r="Z51" i="83" s="1"/>
  <c r="V51" i="83"/>
  <c r="R51" i="83"/>
  <c r="N51" i="83"/>
  <c r="L51" i="83"/>
  <c r="B51" i="83"/>
  <c r="T50" i="83"/>
  <c r="Z50" i="83" s="1"/>
  <c r="P50" i="83"/>
  <c r="X50" i="83" s="1"/>
  <c r="N50" i="83"/>
  <c r="L50" i="83"/>
  <c r="H50" i="83"/>
  <c r="D50" i="83"/>
  <c r="B50" i="83"/>
  <c r="Z49" i="83"/>
  <c r="X49" i="83"/>
  <c r="L49" i="83"/>
  <c r="N49" i="83" s="1"/>
  <c r="J49" i="83"/>
  <c r="B49" i="83"/>
  <c r="T48" i="83"/>
  <c r="P48" i="83"/>
  <c r="J48" i="83"/>
  <c r="H48" i="83"/>
  <c r="D48" i="83"/>
  <c r="B48" i="83"/>
  <c r="Z47" i="83"/>
  <c r="X47" i="83"/>
  <c r="V47" i="83"/>
  <c r="L47" i="83"/>
  <c r="N47" i="83" s="1"/>
  <c r="J47" i="83"/>
  <c r="F47" i="83"/>
  <c r="B47" i="83"/>
  <c r="T46" i="83"/>
  <c r="P46" i="83"/>
  <c r="X46" i="83" s="1"/>
  <c r="H46" i="83"/>
  <c r="F46" i="83"/>
  <c r="D46" i="83"/>
  <c r="B46" i="83"/>
  <c r="Z45" i="83"/>
  <c r="X45" i="83"/>
  <c r="V45" i="83"/>
  <c r="N45" i="83"/>
  <c r="L45" i="83"/>
  <c r="B45" i="83"/>
  <c r="Z44" i="83"/>
  <c r="X44" i="83"/>
  <c r="N44" i="83"/>
  <c r="L44" i="83"/>
  <c r="F44" i="83"/>
  <c r="B44" i="83"/>
  <c r="V43" i="83"/>
  <c r="T43" i="83"/>
  <c r="R43" i="83"/>
  <c r="P43" i="83"/>
  <c r="J43" i="83"/>
  <c r="H43" i="83"/>
  <c r="F43" i="83"/>
  <c r="D43" i="83"/>
  <c r="L43" i="83" s="1"/>
  <c r="N43" i="83" s="1"/>
  <c r="B43" i="83"/>
  <c r="X42" i="83"/>
  <c r="Z42" i="83" s="1"/>
  <c r="V42" i="83"/>
  <c r="R42" i="83"/>
  <c r="L42" i="83"/>
  <c r="N42" i="83" s="1"/>
  <c r="B42" i="83"/>
  <c r="T41" i="83"/>
  <c r="R41" i="83"/>
  <c r="P41" i="83"/>
  <c r="X41" i="83" s="1"/>
  <c r="Z41" i="83" s="1"/>
  <c r="N41" i="83"/>
  <c r="H41" i="83"/>
  <c r="D41" i="83"/>
  <c r="L41" i="83" s="1"/>
  <c r="B41" i="83"/>
  <c r="X40" i="83"/>
  <c r="Z40" i="83" s="1"/>
  <c r="V40" i="83"/>
  <c r="R40" i="83"/>
  <c r="N40" i="83"/>
  <c r="L40" i="83"/>
  <c r="B40" i="83"/>
  <c r="V39" i="83"/>
  <c r="T39" i="83"/>
  <c r="P39" i="83"/>
  <c r="X39" i="83" s="1"/>
  <c r="Z39" i="83" s="1"/>
  <c r="L39" i="83"/>
  <c r="N39" i="83" s="1"/>
  <c r="J39" i="83"/>
  <c r="H39" i="83"/>
  <c r="D39" i="83"/>
  <c r="B39" i="83"/>
  <c r="Z38" i="83"/>
  <c r="X38" i="83"/>
  <c r="N38" i="83"/>
  <c r="L38" i="83"/>
  <c r="J38" i="83"/>
  <c r="F38" i="83"/>
  <c r="B38" i="83"/>
  <c r="Z37" i="83"/>
  <c r="X37" i="83"/>
  <c r="V37" i="83"/>
  <c r="N37" i="83"/>
  <c r="L37" i="83"/>
  <c r="B37" i="83"/>
  <c r="Z36" i="83"/>
  <c r="X36" i="83"/>
  <c r="N36" i="83"/>
  <c r="L36" i="83"/>
  <c r="F36" i="83"/>
  <c r="B36" i="83"/>
  <c r="Z35" i="83"/>
  <c r="X35" i="83"/>
  <c r="V35" i="83"/>
  <c r="R35" i="83"/>
  <c r="N35" i="83"/>
  <c r="L35" i="83"/>
  <c r="B35" i="83"/>
  <c r="Z34" i="83"/>
  <c r="X34" i="83"/>
  <c r="N34" i="83"/>
  <c r="L34" i="83"/>
  <c r="J34" i="83"/>
  <c r="F34" i="83"/>
  <c r="B34" i="83"/>
  <c r="Z33" i="83"/>
  <c r="X33" i="83"/>
  <c r="V33" i="83"/>
  <c r="N33" i="83"/>
  <c r="L33" i="83"/>
  <c r="B33" i="83"/>
  <c r="Z32" i="83"/>
  <c r="X32" i="83"/>
  <c r="N32" i="83"/>
  <c r="L32" i="83"/>
  <c r="F32" i="83"/>
  <c r="B32" i="83"/>
  <c r="Z31" i="83"/>
  <c r="X31" i="83"/>
  <c r="V31" i="83"/>
  <c r="R31" i="83"/>
  <c r="N31" i="83"/>
  <c r="L31" i="83"/>
  <c r="B31" i="83"/>
  <c r="X30" i="83"/>
  <c r="Z30" i="83" s="1"/>
  <c r="L30" i="83"/>
  <c r="N30" i="83" s="1"/>
  <c r="J30" i="83"/>
  <c r="F30" i="83"/>
  <c r="B30" i="83"/>
  <c r="Z29" i="83"/>
  <c r="X29" i="83"/>
  <c r="V29" i="83"/>
  <c r="N29" i="83"/>
  <c r="L29" i="83"/>
  <c r="B29" i="83"/>
  <c r="Z28" i="83"/>
  <c r="X28" i="83"/>
  <c r="T28" i="83"/>
  <c r="P28" i="83"/>
  <c r="H28" i="83"/>
  <c r="D28" i="83"/>
  <c r="L28" i="83" s="1"/>
  <c r="B28" i="83"/>
  <c r="Z27" i="83"/>
  <c r="X27" i="83"/>
  <c r="V27" i="83"/>
  <c r="N27" i="83"/>
  <c r="L27" i="83"/>
  <c r="J27" i="83"/>
  <c r="B27" i="83"/>
  <c r="X26" i="83"/>
  <c r="Z26" i="83" s="1"/>
  <c r="V26" i="83"/>
  <c r="R26" i="83"/>
  <c r="L26" i="83"/>
  <c r="N26" i="83" s="1"/>
  <c r="F26" i="83"/>
  <c r="B26" i="83"/>
  <c r="Z25" i="83"/>
  <c r="X25" i="83"/>
  <c r="V25" i="83"/>
  <c r="N25" i="83"/>
  <c r="L25" i="83"/>
  <c r="J25" i="83"/>
  <c r="B25" i="83"/>
  <c r="X24" i="83"/>
  <c r="Z24" i="83" s="1"/>
  <c r="L24" i="83"/>
  <c r="N24" i="83" s="1"/>
  <c r="J24" i="83"/>
  <c r="F24" i="83"/>
  <c r="B24" i="83"/>
  <c r="Z23" i="83"/>
  <c r="X23" i="83"/>
  <c r="V23" i="83"/>
  <c r="N23" i="83"/>
  <c r="L23" i="83"/>
  <c r="J23" i="83"/>
  <c r="B23" i="83"/>
  <c r="X22" i="83"/>
  <c r="Z22" i="83" s="1"/>
  <c r="V22" i="83"/>
  <c r="R22" i="83"/>
  <c r="L22" i="83"/>
  <c r="N22" i="83" s="1"/>
  <c r="F22" i="83"/>
  <c r="B22" i="83"/>
  <c r="Z21" i="83"/>
  <c r="X21" i="83"/>
  <c r="V21" i="83"/>
  <c r="N21" i="83"/>
  <c r="L21" i="83"/>
  <c r="J21" i="83"/>
  <c r="B21" i="83"/>
  <c r="X20" i="83"/>
  <c r="Z20" i="83" s="1"/>
  <c r="L20" i="83"/>
  <c r="N20" i="83" s="1"/>
  <c r="J20" i="83"/>
  <c r="F20" i="83"/>
  <c r="B20" i="83"/>
  <c r="V19" i="83"/>
  <c r="T19" i="83"/>
  <c r="X19" i="83" s="1"/>
  <c r="Z19" i="83" s="1"/>
  <c r="P19" i="83"/>
  <c r="J19" i="83"/>
  <c r="H19" i="83"/>
  <c r="F19" i="83"/>
  <c r="D19" i="83"/>
  <c r="L19" i="83" s="1"/>
  <c r="N19" i="83" s="1"/>
  <c r="B19" i="83"/>
  <c r="X18" i="83"/>
  <c r="T18" i="83"/>
  <c r="Z18" i="83" s="1"/>
  <c r="P18" i="83"/>
  <c r="J18" i="83"/>
  <c r="H18" i="83"/>
  <c r="F18" i="83"/>
  <c r="D18" i="83"/>
  <c r="J16" i="83"/>
  <c r="F16" i="83"/>
  <c r="D16" i="83"/>
  <c r="X14" i="83"/>
  <c r="T14" i="83"/>
  <c r="Z14" i="83" s="1"/>
  <c r="P14" i="83"/>
  <c r="P16" i="83" s="1"/>
  <c r="J14" i="83"/>
  <c r="H14" i="83"/>
  <c r="F14" i="83"/>
  <c r="D14" i="83"/>
  <c r="X12" i="83"/>
  <c r="T12" i="83"/>
  <c r="V44" i="83" s="1"/>
  <c r="P12" i="83"/>
  <c r="R61" i="83" s="1"/>
  <c r="L12" i="83"/>
  <c r="H12" i="83"/>
  <c r="J66" i="83" s="1"/>
  <c r="D12" i="83"/>
  <c r="F65" i="83" s="1"/>
  <c r="D6" i="83"/>
  <c r="D4" i="83"/>
  <c r="Z51" i="82"/>
  <c r="X51" i="82"/>
  <c r="L51" i="82"/>
  <c r="N51" i="82" s="1"/>
  <c r="T49" i="82"/>
  <c r="T47" i="82"/>
  <c r="Z47" i="82" s="1"/>
  <c r="P47" i="82"/>
  <c r="X47" i="82" s="1"/>
  <c r="L47" i="82"/>
  <c r="H47" i="82"/>
  <c r="N47" i="82" s="1"/>
  <c r="D47" i="82"/>
  <c r="Z45" i="82"/>
  <c r="X45" i="82"/>
  <c r="N45" i="82"/>
  <c r="L45" i="82"/>
  <c r="B45" i="82"/>
  <c r="Z44" i="82"/>
  <c r="X44" i="82"/>
  <c r="V44" i="82"/>
  <c r="N44" i="82"/>
  <c r="L44" i="82"/>
  <c r="J44" i="82"/>
  <c r="B44" i="82"/>
  <c r="Z43" i="82"/>
  <c r="X43" i="82"/>
  <c r="N43" i="82"/>
  <c r="L43" i="82"/>
  <c r="B43" i="82"/>
  <c r="Z42" i="82"/>
  <c r="X42" i="82"/>
  <c r="V42" i="82"/>
  <c r="N42" i="82"/>
  <c r="L42" i="82"/>
  <c r="B42" i="82"/>
  <c r="Z41" i="82"/>
  <c r="X41" i="82"/>
  <c r="N41" i="82"/>
  <c r="L41" i="82"/>
  <c r="B41" i="82"/>
  <c r="Z40" i="82"/>
  <c r="X40" i="82"/>
  <c r="V40" i="82"/>
  <c r="N40" i="82"/>
  <c r="L40" i="82"/>
  <c r="J40" i="82"/>
  <c r="B40" i="82"/>
  <c r="Z39" i="82"/>
  <c r="X39" i="82"/>
  <c r="N39" i="82"/>
  <c r="L39" i="82"/>
  <c r="B39" i="82"/>
  <c r="Z38" i="82"/>
  <c r="X38" i="82"/>
  <c r="V38" i="82"/>
  <c r="N38" i="82"/>
  <c r="L38" i="82"/>
  <c r="J38" i="82"/>
  <c r="B38" i="82"/>
  <c r="Z37" i="82"/>
  <c r="X37" i="82"/>
  <c r="N37" i="82"/>
  <c r="L37" i="82"/>
  <c r="B37" i="82"/>
  <c r="Z36" i="82"/>
  <c r="X36" i="82"/>
  <c r="V36" i="82"/>
  <c r="N36" i="82"/>
  <c r="L36" i="82"/>
  <c r="B36" i="82"/>
  <c r="T35" i="82"/>
  <c r="Z35" i="82" s="1"/>
  <c r="P35" i="82"/>
  <c r="H35" i="82"/>
  <c r="N35" i="82" s="1"/>
  <c r="D35" i="82"/>
  <c r="L35" i="82" s="1"/>
  <c r="B35" i="82"/>
  <c r="Z34" i="82"/>
  <c r="X34" i="82"/>
  <c r="N34" i="82"/>
  <c r="L34" i="82"/>
  <c r="B34" i="82"/>
  <c r="Z33" i="82"/>
  <c r="X33" i="82"/>
  <c r="N33" i="82"/>
  <c r="L33" i="82"/>
  <c r="B33" i="82"/>
  <c r="Z32" i="82"/>
  <c r="X32" i="82"/>
  <c r="V32" i="82"/>
  <c r="N32" i="82"/>
  <c r="L32" i="82"/>
  <c r="J32" i="82"/>
  <c r="B32" i="82"/>
  <c r="Z31" i="82"/>
  <c r="X31" i="82"/>
  <c r="N31" i="82"/>
  <c r="L31" i="82"/>
  <c r="J31" i="82"/>
  <c r="B31" i="82"/>
  <c r="Z30" i="82"/>
  <c r="X30" i="82"/>
  <c r="V30" i="82"/>
  <c r="N30" i="82"/>
  <c r="L30" i="82"/>
  <c r="B30" i="82"/>
  <c r="Z29" i="82"/>
  <c r="X29" i="82"/>
  <c r="N29" i="82"/>
  <c r="L29" i="82"/>
  <c r="B29" i="82"/>
  <c r="Z28" i="82"/>
  <c r="X28" i="82"/>
  <c r="V28" i="82"/>
  <c r="N28" i="82"/>
  <c r="L28" i="82"/>
  <c r="J28" i="82"/>
  <c r="B28" i="82"/>
  <c r="Z27" i="82"/>
  <c r="X27" i="82"/>
  <c r="N27" i="82"/>
  <c r="L27" i="82"/>
  <c r="J27" i="82"/>
  <c r="B27" i="82"/>
  <c r="Z26" i="82"/>
  <c r="X26" i="82"/>
  <c r="V26" i="82"/>
  <c r="T26" i="82"/>
  <c r="P26" i="82"/>
  <c r="H26" i="82"/>
  <c r="D26" i="82"/>
  <c r="B26" i="82"/>
  <c r="T25" i="82"/>
  <c r="Z25" i="82" s="1"/>
  <c r="P25" i="82"/>
  <c r="L25" i="82"/>
  <c r="J25" i="82"/>
  <c r="H25" i="82"/>
  <c r="N25" i="82" s="1"/>
  <c r="D25" i="82"/>
  <c r="T23" i="82"/>
  <c r="H23" i="82"/>
  <c r="Z21" i="82"/>
  <c r="X21" i="82"/>
  <c r="N21" i="82"/>
  <c r="L21" i="82"/>
  <c r="B21" i="82"/>
  <c r="Z20" i="82"/>
  <c r="X20" i="82"/>
  <c r="V20" i="82"/>
  <c r="N20" i="82"/>
  <c r="L20" i="82"/>
  <c r="J20" i="82"/>
  <c r="B20" i="82"/>
  <c r="X19" i="82"/>
  <c r="Z19" i="82" s="1"/>
  <c r="V19" i="82"/>
  <c r="L19" i="82"/>
  <c r="N19" i="82" s="1"/>
  <c r="B19" i="82"/>
  <c r="T18" i="82"/>
  <c r="P18" i="82"/>
  <c r="X18" i="82" s="1"/>
  <c r="Z18" i="82" s="1"/>
  <c r="J18" i="82"/>
  <c r="H18" i="82"/>
  <c r="L18" i="82" s="1"/>
  <c r="N18" i="82" s="1"/>
  <c r="D18" i="82"/>
  <c r="Z16" i="82"/>
  <c r="P16" i="82"/>
  <c r="X16" i="82" s="1"/>
  <c r="N16" i="82"/>
  <c r="D16" i="82"/>
  <c r="L16" i="82" s="1"/>
  <c r="B16" i="82"/>
  <c r="Z15" i="82"/>
  <c r="X15" i="82"/>
  <c r="P15" i="82"/>
  <c r="N15" i="82"/>
  <c r="D15" i="82"/>
  <c r="L15" i="82" s="1"/>
  <c r="B15" i="82"/>
  <c r="Z14" i="82"/>
  <c r="P14" i="82"/>
  <c r="N14" i="82"/>
  <c r="L14" i="82"/>
  <c r="D14" i="82"/>
  <c r="B14" i="82"/>
  <c r="X13" i="82"/>
  <c r="Z13" i="82" s="1"/>
  <c r="P13" i="82"/>
  <c r="D13" i="82"/>
  <c r="B13" i="82"/>
  <c r="T12" i="82"/>
  <c r="H12" i="82"/>
  <c r="D6" i="82"/>
  <c r="D4" i="82"/>
  <c r="V71" i="80"/>
  <c r="R71" i="80"/>
  <c r="R68" i="80"/>
  <c r="H68" i="80"/>
  <c r="F68" i="80"/>
  <c r="Z66" i="80"/>
  <c r="X66" i="80"/>
  <c r="V66" i="80"/>
  <c r="N66" i="80"/>
  <c r="L66" i="80"/>
  <c r="J64" i="80"/>
  <c r="F64" i="80"/>
  <c r="Z62" i="80"/>
  <c r="X62" i="80"/>
  <c r="T62" i="80"/>
  <c r="P62" i="80"/>
  <c r="N62" i="80"/>
  <c r="H62" i="80"/>
  <c r="F62" i="80"/>
  <c r="D62" i="80"/>
  <c r="L62" i="80" s="1"/>
  <c r="Z60" i="80"/>
  <c r="X60" i="80"/>
  <c r="V60" i="80"/>
  <c r="N60" i="80"/>
  <c r="L60" i="80"/>
  <c r="B60" i="80"/>
  <c r="T59" i="80"/>
  <c r="Z59" i="80" s="1"/>
  <c r="P59" i="80"/>
  <c r="X59" i="80" s="1"/>
  <c r="L59" i="80"/>
  <c r="H59" i="80"/>
  <c r="N59" i="80" s="1"/>
  <c r="D59" i="80"/>
  <c r="B59" i="80"/>
  <c r="Z58" i="80"/>
  <c r="X58" i="80"/>
  <c r="N58" i="80"/>
  <c r="L58" i="80"/>
  <c r="B58" i="80"/>
  <c r="X57" i="80"/>
  <c r="T57" i="80"/>
  <c r="Z57" i="80" s="1"/>
  <c r="P57" i="80"/>
  <c r="N57" i="80"/>
  <c r="H57" i="80"/>
  <c r="D57" i="80"/>
  <c r="L57" i="80" s="1"/>
  <c r="B57" i="80"/>
  <c r="Z56" i="80"/>
  <c r="X56" i="80"/>
  <c r="V56" i="80"/>
  <c r="N56" i="80"/>
  <c r="L56" i="80"/>
  <c r="J56" i="80"/>
  <c r="B56" i="80"/>
  <c r="Z55" i="80"/>
  <c r="X55" i="80"/>
  <c r="N55" i="80"/>
  <c r="L55" i="80"/>
  <c r="F55" i="80"/>
  <c r="B55" i="80"/>
  <c r="Z54" i="80"/>
  <c r="X54" i="80"/>
  <c r="V54" i="80"/>
  <c r="T54" i="80"/>
  <c r="R54" i="80"/>
  <c r="P54" i="80"/>
  <c r="N54" i="80"/>
  <c r="H54" i="80"/>
  <c r="D54" i="80"/>
  <c r="L54" i="80" s="1"/>
  <c r="B54" i="80"/>
  <c r="Z53" i="80"/>
  <c r="X53" i="80"/>
  <c r="R53" i="80"/>
  <c r="N53" i="80"/>
  <c r="L53" i="80"/>
  <c r="B53" i="80"/>
  <c r="Z52" i="80"/>
  <c r="X52" i="80"/>
  <c r="T52" i="80"/>
  <c r="P52" i="80"/>
  <c r="N52" i="80"/>
  <c r="J52" i="80"/>
  <c r="H52" i="80"/>
  <c r="F52" i="80"/>
  <c r="D52" i="80"/>
  <c r="L52" i="80" s="1"/>
  <c r="B52" i="80"/>
  <c r="Z51" i="80"/>
  <c r="X51" i="80"/>
  <c r="N51" i="80"/>
  <c r="L51" i="80"/>
  <c r="B51" i="80"/>
  <c r="Z50" i="80"/>
  <c r="V50" i="80"/>
  <c r="T50" i="80"/>
  <c r="P50" i="80"/>
  <c r="N50" i="80"/>
  <c r="H50" i="80"/>
  <c r="F50" i="80"/>
  <c r="D50" i="80"/>
  <c r="L50" i="80" s="1"/>
  <c r="B50" i="80"/>
  <c r="Z49" i="80"/>
  <c r="X49" i="80"/>
  <c r="V49" i="80"/>
  <c r="R49" i="80"/>
  <c r="N49" i="80"/>
  <c r="L49" i="80"/>
  <c r="B49" i="80"/>
  <c r="Z48" i="80"/>
  <c r="V48" i="80"/>
  <c r="T48" i="80"/>
  <c r="P48" i="80"/>
  <c r="X48" i="80" s="1"/>
  <c r="N48" i="80"/>
  <c r="L48" i="80"/>
  <c r="J48" i="80"/>
  <c r="H48" i="80"/>
  <c r="D48" i="80"/>
  <c r="B48" i="80"/>
  <c r="Z47" i="80"/>
  <c r="X47" i="80"/>
  <c r="N47" i="80"/>
  <c r="L47" i="80"/>
  <c r="J47" i="80"/>
  <c r="F47" i="80"/>
  <c r="B47" i="80"/>
  <c r="Z46" i="80"/>
  <c r="T46" i="80"/>
  <c r="P46" i="80"/>
  <c r="H46" i="80"/>
  <c r="N46" i="80" s="1"/>
  <c r="F46" i="80"/>
  <c r="D46" i="80"/>
  <c r="B46" i="80"/>
  <c r="Z45" i="80"/>
  <c r="X45" i="80"/>
  <c r="V45" i="80"/>
  <c r="L45" i="80"/>
  <c r="N45" i="80" s="1"/>
  <c r="B45" i="80"/>
  <c r="X44" i="80"/>
  <c r="Z44" i="80" s="1"/>
  <c r="V44" i="80"/>
  <c r="T44" i="80"/>
  <c r="P44" i="80"/>
  <c r="H44" i="80"/>
  <c r="N44" i="80" s="1"/>
  <c r="D44" i="80"/>
  <c r="L44" i="80" s="1"/>
  <c r="B44" i="80"/>
  <c r="Z43" i="80"/>
  <c r="X43" i="80"/>
  <c r="V43" i="80"/>
  <c r="N43" i="80"/>
  <c r="L43" i="80"/>
  <c r="F43" i="80"/>
  <c r="B43" i="80"/>
  <c r="X42" i="80"/>
  <c r="V42" i="80"/>
  <c r="T42" i="80"/>
  <c r="Z42" i="80" s="1"/>
  <c r="R42" i="80"/>
  <c r="P42" i="80"/>
  <c r="L42" i="80"/>
  <c r="H42" i="80"/>
  <c r="N42" i="80" s="1"/>
  <c r="F42" i="80"/>
  <c r="D42" i="80"/>
  <c r="B42" i="80"/>
  <c r="Z41" i="80"/>
  <c r="X41" i="80"/>
  <c r="V41" i="80"/>
  <c r="R41" i="80"/>
  <c r="N41" i="80"/>
  <c r="L41" i="80"/>
  <c r="B41" i="80"/>
  <c r="V40" i="80"/>
  <c r="T40" i="80"/>
  <c r="Z40" i="80" s="1"/>
  <c r="R40" i="80"/>
  <c r="P40" i="80"/>
  <c r="N40" i="80"/>
  <c r="L40" i="80"/>
  <c r="H40" i="80"/>
  <c r="D40" i="80"/>
  <c r="B40" i="80"/>
  <c r="Z39" i="80"/>
  <c r="X39" i="80"/>
  <c r="V39" i="80"/>
  <c r="R39" i="80"/>
  <c r="N39" i="80"/>
  <c r="L39" i="80"/>
  <c r="B39" i="80"/>
  <c r="Z38" i="80"/>
  <c r="X38" i="80"/>
  <c r="V38" i="80"/>
  <c r="N38" i="80"/>
  <c r="L38" i="80"/>
  <c r="J38" i="80"/>
  <c r="F38" i="80"/>
  <c r="B38" i="80"/>
  <c r="Z37" i="80"/>
  <c r="X37" i="80"/>
  <c r="V37" i="80"/>
  <c r="N37" i="80"/>
  <c r="L37" i="80"/>
  <c r="F37" i="80"/>
  <c r="B37" i="80"/>
  <c r="Z36" i="80"/>
  <c r="X36" i="80"/>
  <c r="V36" i="80"/>
  <c r="N36" i="80"/>
  <c r="L36" i="80"/>
  <c r="B36" i="80"/>
  <c r="Z35" i="80"/>
  <c r="X35" i="80"/>
  <c r="V35" i="80"/>
  <c r="R35" i="80"/>
  <c r="N35" i="80"/>
  <c r="L35" i="80"/>
  <c r="B35" i="80"/>
  <c r="Z34" i="80"/>
  <c r="X34" i="80"/>
  <c r="V34" i="80"/>
  <c r="N34" i="80"/>
  <c r="L34" i="80"/>
  <c r="J34" i="80"/>
  <c r="F34" i="80"/>
  <c r="B34" i="80"/>
  <c r="Z33" i="80"/>
  <c r="X33" i="80"/>
  <c r="V33" i="80"/>
  <c r="N33" i="80"/>
  <c r="L33" i="80"/>
  <c r="F33" i="80"/>
  <c r="B33" i="80"/>
  <c r="Z32" i="80"/>
  <c r="X32" i="80"/>
  <c r="V32" i="80"/>
  <c r="N32" i="80"/>
  <c r="L32" i="80"/>
  <c r="B32" i="80"/>
  <c r="Z31" i="80"/>
  <c r="X31" i="80"/>
  <c r="V31" i="80"/>
  <c r="R31" i="80"/>
  <c r="N31" i="80"/>
  <c r="L31" i="80"/>
  <c r="B31" i="80"/>
  <c r="Z30" i="80"/>
  <c r="X30" i="80"/>
  <c r="V30" i="80"/>
  <c r="N30" i="80"/>
  <c r="L30" i="80"/>
  <c r="J30" i="80"/>
  <c r="F30" i="80"/>
  <c r="B30" i="80"/>
  <c r="Z29" i="80"/>
  <c r="V29" i="80"/>
  <c r="T29" i="80"/>
  <c r="P29" i="80"/>
  <c r="X29" i="80" s="1"/>
  <c r="J29" i="80"/>
  <c r="H29" i="80"/>
  <c r="N29" i="80" s="1"/>
  <c r="F29" i="80"/>
  <c r="D29" i="80"/>
  <c r="B29" i="80"/>
  <c r="Z28" i="80"/>
  <c r="X28" i="80"/>
  <c r="N28" i="80"/>
  <c r="L28" i="80"/>
  <c r="F28" i="80"/>
  <c r="B28" i="80"/>
  <c r="Z27" i="80"/>
  <c r="X27" i="80"/>
  <c r="V27" i="80"/>
  <c r="N27" i="80"/>
  <c r="L27" i="80"/>
  <c r="F27" i="80"/>
  <c r="B27" i="80"/>
  <c r="Z26" i="80"/>
  <c r="X26" i="80"/>
  <c r="V26" i="80"/>
  <c r="R26" i="80"/>
  <c r="N26" i="80"/>
  <c r="L26" i="80"/>
  <c r="F26" i="80"/>
  <c r="B26" i="80"/>
  <c r="Z25" i="80"/>
  <c r="X25" i="80"/>
  <c r="V25" i="80"/>
  <c r="R25" i="80"/>
  <c r="N25" i="80"/>
  <c r="L25" i="80"/>
  <c r="J25" i="80"/>
  <c r="F25" i="80"/>
  <c r="B25" i="80"/>
  <c r="Z24" i="80"/>
  <c r="X24" i="80"/>
  <c r="N24" i="80"/>
  <c r="L24" i="80"/>
  <c r="F24" i="80"/>
  <c r="B24" i="80"/>
  <c r="Z23" i="80"/>
  <c r="X23" i="80"/>
  <c r="V23" i="80"/>
  <c r="N23" i="80"/>
  <c r="L23" i="80"/>
  <c r="F23" i="80"/>
  <c r="B23" i="80"/>
  <c r="Z22" i="80"/>
  <c r="X22" i="80"/>
  <c r="V22" i="80"/>
  <c r="R22" i="80"/>
  <c r="N22" i="80"/>
  <c r="L22" i="80"/>
  <c r="F22" i="80"/>
  <c r="B22" i="80"/>
  <c r="Z21" i="80"/>
  <c r="X21" i="80"/>
  <c r="V21" i="80"/>
  <c r="R21" i="80"/>
  <c r="N21" i="80"/>
  <c r="L21" i="80"/>
  <c r="J21" i="80"/>
  <c r="F21" i="80"/>
  <c r="B21" i="80"/>
  <c r="X20" i="80"/>
  <c r="T20" i="80"/>
  <c r="Z20" i="80" s="1"/>
  <c r="R20" i="80"/>
  <c r="P20" i="80"/>
  <c r="L20" i="80"/>
  <c r="J20" i="80"/>
  <c r="H20" i="80"/>
  <c r="N20" i="80" s="1"/>
  <c r="F20" i="80"/>
  <c r="D20" i="80"/>
  <c r="B20" i="80"/>
  <c r="V19" i="80"/>
  <c r="T19" i="80"/>
  <c r="Z19" i="80" s="1"/>
  <c r="P19" i="80"/>
  <c r="X19" i="80" s="1"/>
  <c r="L19" i="80"/>
  <c r="N19" i="80" s="1"/>
  <c r="J19" i="80"/>
  <c r="H19" i="80"/>
  <c r="F19" i="80"/>
  <c r="D19" i="80"/>
  <c r="V17" i="80"/>
  <c r="T17" i="80"/>
  <c r="T64" i="80" s="1"/>
  <c r="T68" i="80" s="1"/>
  <c r="T71" i="80" s="1"/>
  <c r="P17" i="80"/>
  <c r="P64" i="80" s="1"/>
  <c r="P68" i="80" s="1"/>
  <c r="J17" i="80"/>
  <c r="H17" i="80"/>
  <c r="H64" i="80" s="1"/>
  <c r="F17" i="80"/>
  <c r="Z15" i="80"/>
  <c r="X15" i="80"/>
  <c r="V15" i="80"/>
  <c r="R15" i="80"/>
  <c r="N15" i="80"/>
  <c r="L15" i="80"/>
  <c r="J15" i="80"/>
  <c r="F15" i="80"/>
  <c r="B15" i="80"/>
  <c r="Z14" i="80"/>
  <c r="X14" i="80"/>
  <c r="T14" i="80"/>
  <c r="P14" i="80"/>
  <c r="H14" i="80"/>
  <c r="N14" i="80" s="1"/>
  <c r="F14" i="80"/>
  <c r="D14" i="80"/>
  <c r="Z12" i="80"/>
  <c r="X12" i="80"/>
  <c r="T12" i="80"/>
  <c r="V58" i="80" s="1"/>
  <c r="P12" i="80"/>
  <c r="R62" i="80" s="1"/>
  <c r="H12" i="80"/>
  <c r="J62" i="80" s="1"/>
  <c r="D12" i="80"/>
  <c r="F51" i="80" s="1"/>
  <c r="D6" i="80"/>
  <c r="D4" i="80"/>
  <c r="V62" i="79"/>
  <c r="J62" i="79"/>
  <c r="V59" i="79"/>
  <c r="J59" i="79"/>
  <c r="Z57" i="79"/>
  <c r="X57" i="79"/>
  <c r="V57" i="79"/>
  <c r="N57" i="79"/>
  <c r="L57" i="79"/>
  <c r="V55" i="79"/>
  <c r="R55" i="79"/>
  <c r="V53" i="79"/>
  <c r="T53" i="79"/>
  <c r="Z53" i="79" s="1"/>
  <c r="R53" i="79"/>
  <c r="P53" i="79"/>
  <c r="X53" i="79" s="1"/>
  <c r="N53" i="79"/>
  <c r="L53" i="79"/>
  <c r="H53" i="79"/>
  <c r="D53" i="79"/>
  <c r="Z51" i="79"/>
  <c r="X51" i="79"/>
  <c r="V51" i="79"/>
  <c r="R51" i="79"/>
  <c r="N51" i="79"/>
  <c r="L51" i="79"/>
  <c r="J51" i="79"/>
  <c r="B51" i="79"/>
  <c r="T50" i="79"/>
  <c r="P50" i="79"/>
  <c r="X50" i="79" s="1"/>
  <c r="J50" i="79"/>
  <c r="H50" i="79"/>
  <c r="D50" i="79"/>
  <c r="B50" i="79"/>
  <c r="Z49" i="79"/>
  <c r="X49" i="79"/>
  <c r="V49" i="79"/>
  <c r="N49" i="79"/>
  <c r="L49" i="79"/>
  <c r="J49" i="79"/>
  <c r="B49" i="79"/>
  <c r="Z48" i="79"/>
  <c r="X48" i="79"/>
  <c r="L48" i="79"/>
  <c r="N48" i="79" s="1"/>
  <c r="B48" i="79"/>
  <c r="Z47" i="79"/>
  <c r="X47" i="79"/>
  <c r="V47" i="79"/>
  <c r="T47" i="79"/>
  <c r="P47" i="79"/>
  <c r="J47" i="79"/>
  <c r="H47" i="79"/>
  <c r="D47" i="79"/>
  <c r="L47" i="79" s="1"/>
  <c r="B47" i="79"/>
  <c r="Z46" i="79"/>
  <c r="X46" i="79"/>
  <c r="N46" i="79"/>
  <c r="L46" i="79"/>
  <c r="B46" i="79"/>
  <c r="X45" i="79"/>
  <c r="V45" i="79"/>
  <c r="T45" i="79"/>
  <c r="Z45" i="79" s="1"/>
  <c r="R45" i="79"/>
  <c r="P45" i="79"/>
  <c r="L45" i="79"/>
  <c r="H45" i="79"/>
  <c r="N45" i="79" s="1"/>
  <c r="D45" i="79"/>
  <c r="B45" i="79"/>
  <c r="Z44" i="79"/>
  <c r="X44" i="79"/>
  <c r="V44" i="79"/>
  <c r="R44" i="79"/>
  <c r="N44" i="79"/>
  <c r="L44" i="79"/>
  <c r="J44" i="79"/>
  <c r="B44" i="79"/>
  <c r="V43" i="79"/>
  <c r="T43" i="79"/>
  <c r="Z43" i="79" s="1"/>
  <c r="R43" i="79"/>
  <c r="P43" i="79"/>
  <c r="N43" i="79"/>
  <c r="H43" i="79"/>
  <c r="L43" i="79" s="1"/>
  <c r="D43" i="79"/>
  <c r="B43" i="79"/>
  <c r="X42" i="79"/>
  <c r="Z42" i="79" s="1"/>
  <c r="V42" i="79"/>
  <c r="R42" i="79"/>
  <c r="L42" i="79"/>
  <c r="N42" i="79" s="1"/>
  <c r="J42" i="79"/>
  <c r="B42" i="79"/>
  <c r="V41" i="79"/>
  <c r="T41" i="79"/>
  <c r="R41" i="79"/>
  <c r="P41" i="79"/>
  <c r="X41" i="79" s="1"/>
  <c r="L41" i="79"/>
  <c r="N41" i="79" s="1"/>
  <c r="J41" i="79"/>
  <c r="H41" i="79"/>
  <c r="D41" i="79"/>
  <c r="B41" i="79"/>
  <c r="X40" i="79"/>
  <c r="Z40" i="79" s="1"/>
  <c r="R40" i="79"/>
  <c r="L40" i="79"/>
  <c r="N40" i="79" s="1"/>
  <c r="J40" i="79"/>
  <c r="F40" i="79"/>
  <c r="B40" i="79"/>
  <c r="X39" i="79"/>
  <c r="T39" i="79"/>
  <c r="Z39" i="79" s="1"/>
  <c r="R39" i="79"/>
  <c r="P39" i="79"/>
  <c r="J39" i="79"/>
  <c r="H39" i="79"/>
  <c r="D39" i="79"/>
  <c r="B39" i="79"/>
  <c r="Z38" i="79"/>
  <c r="X38" i="79"/>
  <c r="R38" i="79"/>
  <c r="N38" i="79"/>
  <c r="L38" i="79"/>
  <c r="J38" i="79"/>
  <c r="B38" i="79"/>
  <c r="Z37" i="79"/>
  <c r="X37" i="79"/>
  <c r="R37" i="79"/>
  <c r="N37" i="79"/>
  <c r="L37" i="79"/>
  <c r="J37" i="79"/>
  <c r="B37" i="79"/>
  <c r="Z36" i="79"/>
  <c r="X36" i="79"/>
  <c r="V36" i="79"/>
  <c r="R36" i="79"/>
  <c r="N36" i="79"/>
  <c r="L36" i="79"/>
  <c r="J36" i="79"/>
  <c r="B36" i="79"/>
  <c r="Z35" i="79"/>
  <c r="X35" i="79"/>
  <c r="V35" i="79"/>
  <c r="R35" i="79"/>
  <c r="N35" i="79"/>
  <c r="L35" i="79"/>
  <c r="J35" i="79"/>
  <c r="B35" i="79"/>
  <c r="Z34" i="79"/>
  <c r="X34" i="79"/>
  <c r="R34" i="79"/>
  <c r="N34" i="79"/>
  <c r="L34" i="79"/>
  <c r="J34" i="79"/>
  <c r="F34" i="79"/>
  <c r="B34" i="79"/>
  <c r="Z33" i="79"/>
  <c r="X33" i="79"/>
  <c r="R33" i="79"/>
  <c r="N33" i="79"/>
  <c r="L33" i="79"/>
  <c r="J33" i="79"/>
  <c r="B33" i="79"/>
  <c r="Z32" i="79"/>
  <c r="X32" i="79"/>
  <c r="V32" i="79"/>
  <c r="R32" i="79"/>
  <c r="N32" i="79"/>
  <c r="L32" i="79"/>
  <c r="J32" i="79"/>
  <c r="B32" i="79"/>
  <c r="Z31" i="79"/>
  <c r="X31" i="79"/>
  <c r="V31" i="79"/>
  <c r="R31" i="79"/>
  <c r="N31" i="79"/>
  <c r="L31" i="79"/>
  <c r="J31" i="79"/>
  <c r="B31" i="79"/>
  <c r="Z30" i="79"/>
  <c r="X30" i="79"/>
  <c r="R30" i="79"/>
  <c r="N30" i="79"/>
  <c r="L30" i="79"/>
  <c r="J30" i="79"/>
  <c r="B30" i="79"/>
  <c r="Z29" i="79"/>
  <c r="X29" i="79"/>
  <c r="R29" i="79"/>
  <c r="N29" i="79"/>
  <c r="L29" i="79"/>
  <c r="J29" i="79"/>
  <c r="B29" i="79"/>
  <c r="X28" i="79"/>
  <c r="V28" i="79"/>
  <c r="T28" i="79"/>
  <c r="Z28" i="79" s="1"/>
  <c r="R28" i="79"/>
  <c r="P28" i="79"/>
  <c r="H28" i="79"/>
  <c r="N28" i="79" s="1"/>
  <c r="D28" i="79"/>
  <c r="L28" i="79" s="1"/>
  <c r="B28" i="79"/>
  <c r="Z27" i="79"/>
  <c r="X27" i="79"/>
  <c r="V27" i="79"/>
  <c r="R27" i="79"/>
  <c r="N27" i="79"/>
  <c r="L27" i="79"/>
  <c r="B27" i="79"/>
  <c r="Z26" i="79"/>
  <c r="X26" i="79"/>
  <c r="V26" i="79"/>
  <c r="R26" i="79"/>
  <c r="N26" i="79"/>
  <c r="L26" i="79"/>
  <c r="J26" i="79"/>
  <c r="B26" i="79"/>
  <c r="Z25" i="79"/>
  <c r="X25" i="79"/>
  <c r="V25" i="79"/>
  <c r="R25" i="79"/>
  <c r="N25" i="79"/>
  <c r="L25" i="79"/>
  <c r="J25" i="79"/>
  <c r="F25" i="79"/>
  <c r="B25" i="79"/>
  <c r="Z24" i="79"/>
  <c r="X24" i="79"/>
  <c r="N24" i="79"/>
  <c r="L24" i="79"/>
  <c r="J24" i="79"/>
  <c r="B24" i="79"/>
  <c r="Z23" i="79"/>
  <c r="X23" i="79"/>
  <c r="V23" i="79"/>
  <c r="R23" i="79"/>
  <c r="N23" i="79"/>
  <c r="L23" i="79"/>
  <c r="B23" i="79"/>
  <c r="Z22" i="79"/>
  <c r="X22" i="79"/>
  <c r="V22" i="79"/>
  <c r="R22" i="79"/>
  <c r="N22" i="79"/>
  <c r="L22" i="79"/>
  <c r="J22" i="79"/>
  <c r="B22" i="79"/>
  <c r="Z21" i="79"/>
  <c r="X21" i="79"/>
  <c r="V21" i="79"/>
  <c r="R21" i="79"/>
  <c r="N21" i="79"/>
  <c r="L21" i="79"/>
  <c r="J21" i="79"/>
  <c r="B21" i="79"/>
  <c r="Z20" i="79"/>
  <c r="X20" i="79"/>
  <c r="N20" i="79"/>
  <c r="L20" i="79"/>
  <c r="J20" i="79"/>
  <c r="B20" i="79"/>
  <c r="Z19" i="79"/>
  <c r="X19" i="79"/>
  <c r="V19" i="79"/>
  <c r="T19" i="79"/>
  <c r="P19" i="79"/>
  <c r="J19" i="79"/>
  <c r="H19" i="79"/>
  <c r="N19" i="79" s="1"/>
  <c r="D19" i="79"/>
  <c r="L19" i="79" s="1"/>
  <c r="B19" i="79"/>
  <c r="Z18" i="79"/>
  <c r="X18" i="79"/>
  <c r="T18" i="79"/>
  <c r="R18" i="79"/>
  <c r="P18" i="79"/>
  <c r="L18" i="79"/>
  <c r="J18" i="79"/>
  <c r="H18" i="79"/>
  <c r="D18" i="79"/>
  <c r="R16" i="79"/>
  <c r="J16" i="79"/>
  <c r="F16" i="79"/>
  <c r="Z14" i="79"/>
  <c r="X14" i="79"/>
  <c r="T14" i="79"/>
  <c r="R14" i="79"/>
  <c r="P14" i="79"/>
  <c r="P16" i="79" s="1"/>
  <c r="J14" i="79"/>
  <c r="H14" i="79"/>
  <c r="N14" i="79" s="1"/>
  <c r="F14" i="79"/>
  <c r="D14" i="79"/>
  <c r="L14" i="79" s="1"/>
  <c r="Z12" i="79"/>
  <c r="X12" i="79"/>
  <c r="T12" i="79"/>
  <c r="V46" i="79" s="1"/>
  <c r="P12" i="79"/>
  <c r="R57" i="79" s="1"/>
  <c r="N12" i="79"/>
  <c r="H12" i="79"/>
  <c r="J55" i="79" s="1"/>
  <c r="D12" i="79"/>
  <c r="F39" i="79" s="1"/>
  <c r="D6" i="79"/>
  <c r="D4" i="79"/>
  <c r="R29" i="77"/>
  <c r="J29" i="77"/>
  <c r="R26" i="77"/>
  <c r="J26" i="77"/>
  <c r="Z24" i="77"/>
  <c r="X24" i="77"/>
  <c r="R24" i="77"/>
  <c r="N24" i="77"/>
  <c r="L24" i="77"/>
  <c r="J24" i="77"/>
  <c r="F24" i="77"/>
  <c r="R22" i="77"/>
  <c r="J22" i="77"/>
  <c r="Z20" i="77"/>
  <c r="X20" i="77"/>
  <c r="T20" i="77"/>
  <c r="R20" i="77"/>
  <c r="P20" i="77"/>
  <c r="J20" i="77"/>
  <c r="H20" i="77"/>
  <c r="N20" i="77" s="1"/>
  <c r="F20" i="77"/>
  <c r="D20" i="77"/>
  <c r="L20" i="77" s="1"/>
  <c r="Z18" i="77"/>
  <c r="X18" i="77"/>
  <c r="T18" i="77"/>
  <c r="R18" i="77"/>
  <c r="P18" i="77"/>
  <c r="J18" i="77"/>
  <c r="H18" i="77"/>
  <c r="N18" i="77" s="1"/>
  <c r="F18" i="77"/>
  <c r="D18" i="77"/>
  <c r="L18" i="77" s="1"/>
  <c r="R16" i="77"/>
  <c r="J16" i="77"/>
  <c r="F16" i="77"/>
  <c r="Z14" i="77"/>
  <c r="X14" i="77"/>
  <c r="T14" i="77"/>
  <c r="R14" i="77"/>
  <c r="P14" i="77"/>
  <c r="J14" i="77"/>
  <c r="H14" i="77"/>
  <c r="N14" i="77" s="1"/>
  <c r="F14" i="77"/>
  <c r="D14" i="77"/>
  <c r="Z12" i="77"/>
  <c r="X12" i="77"/>
  <c r="T12" i="77"/>
  <c r="V22" i="77" s="1"/>
  <c r="P12" i="77"/>
  <c r="P16" i="77" s="1"/>
  <c r="P22" i="77" s="1"/>
  <c r="P26" i="77" s="1"/>
  <c r="N12" i="77"/>
  <c r="H12" i="77"/>
  <c r="D12" i="77"/>
  <c r="F22" i="77" s="1"/>
  <c r="D6" i="77"/>
  <c r="D4" i="77"/>
  <c r="Z95" i="76"/>
  <c r="X95" i="76"/>
  <c r="N95" i="76"/>
  <c r="L95" i="76"/>
  <c r="P91" i="76"/>
  <c r="P89" i="76" s="1"/>
  <c r="L91" i="76"/>
  <c r="N91" i="76" s="1"/>
  <c r="J91" i="76"/>
  <c r="D91" i="76"/>
  <c r="B91" i="76"/>
  <c r="Z90" i="76"/>
  <c r="P90" i="76"/>
  <c r="X90" i="76" s="1"/>
  <c r="N90" i="76"/>
  <c r="L90" i="76"/>
  <c r="D90" i="76"/>
  <c r="D89" i="76" s="1"/>
  <c r="B90" i="76"/>
  <c r="T89" i="76"/>
  <c r="L89" i="76"/>
  <c r="N89" i="76" s="1"/>
  <c r="J89" i="76"/>
  <c r="H89" i="76"/>
  <c r="Z87" i="76"/>
  <c r="X87" i="76"/>
  <c r="L87" i="76"/>
  <c r="N87" i="76" s="1"/>
  <c r="B87" i="76"/>
  <c r="Z86" i="76"/>
  <c r="T86" i="76"/>
  <c r="X86" i="76" s="1"/>
  <c r="P86" i="76"/>
  <c r="N86" i="76"/>
  <c r="H86" i="76"/>
  <c r="D86" i="76"/>
  <c r="L86" i="76" s="1"/>
  <c r="B86" i="76"/>
  <c r="Z85" i="76"/>
  <c r="X85" i="76"/>
  <c r="L85" i="76"/>
  <c r="N85" i="76" s="1"/>
  <c r="B85" i="76"/>
  <c r="Z84" i="76"/>
  <c r="X84" i="76"/>
  <c r="L84" i="76"/>
  <c r="N84" i="76" s="1"/>
  <c r="B84" i="76"/>
  <c r="Z83" i="76"/>
  <c r="X83" i="76"/>
  <c r="N83" i="76"/>
  <c r="L83" i="76"/>
  <c r="B83" i="76"/>
  <c r="V82" i="76"/>
  <c r="T82" i="76"/>
  <c r="P82" i="76"/>
  <c r="X82" i="76" s="1"/>
  <c r="N82" i="76"/>
  <c r="L82" i="76"/>
  <c r="H82" i="76"/>
  <c r="D82" i="76"/>
  <c r="B82" i="76"/>
  <c r="X81" i="76"/>
  <c r="Z81" i="76" s="1"/>
  <c r="L81" i="76"/>
  <c r="N81" i="76" s="1"/>
  <c r="J81" i="76"/>
  <c r="B81" i="76"/>
  <c r="X80" i="76"/>
  <c r="Z80" i="76" s="1"/>
  <c r="T80" i="76"/>
  <c r="P80" i="76"/>
  <c r="H80" i="76"/>
  <c r="D80" i="76"/>
  <c r="B80" i="76"/>
  <c r="Z79" i="76"/>
  <c r="X79" i="76"/>
  <c r="L79" i="76"/>
  <c r="N79" i="76" s="1"/>
  <c r="B79" i="76"/>
  <c r="T78" i="76"/>
  <c r="X78" i="76" s="1"/>
  <c r="Z78" i="76" s="1"/>
  <c r="P78" i="76"/>
  <c r="H78" i="76"/>
  <c r="D78" i="76"/>
  <c r="B78" i="76"/>
  <c r="Z77" i="76"/>
  <c r="X77" i="76"/>
  <c r="L77" i="76"/>
  <c r="N77" i="76" s="1"/>
  <c r="B77" i="76"/>
  <c r="X76" i="76"/>
  <c r="Z76" i="76" s="1"/>
  <c r="T76" i="76"/>
  <c r="P76" i="76"/>
  <c r="J76" i="76"/>
  <c r="H76" i="76"/>
  <c r="N76" i="76" s="1"/>
  <c r="D76" i="76"/>
  <c r="L76" i="76" s="1"/>
  <c r="B76" i="76"/>
  <c r="Z75" i="76"/>
  <c r="X75" i="76"/>
  <c r="N75" i="76"/>
  <c r="L75" i="76"/>
  <c r="B75" i="76"/>
  <c r="X74" i="76"/>
  <c r="Z74" i="76" s="1"/>
  <c r="V74" i="76"/>
  <c r="N74" i="76"/>
  <c r="L74" i="76"/>
  <c r="B74" i="76"/>
  <c r="X73" i="76"/>
  <c r="T73" i="76"/>
  <c r="P73" i="76"/>
  <c r="N73" i="76"/>
  <c r="L73" i="76"/>
  <c r="H73" i="76"/>
  <c r="D73" i="76"/>
  <c r="B73" i="76"/>
  <c r="Z72" i="76"/>
  <c r="X72" i="76"/>
  <c r="N72" i="76"/>
  <c r="L72" i="76"/>
  <c r="B72" i="76"/>
  <c r="T71" i="76"/>
  <c r="P71" i="76"/>
  <c r="J71" i="76"/>
  <c r="H71" i="76"/>
  <c r="D71" i="76"/>
  <c r="B71" i="76"/>
  <c r="Z70" i="76"/>
  <c r="X70" i="76"/>
  <c r="L70" i="76"/>
  <c r="N70" i="76" s="1"/>
  <c r="B70" i="76"/>
  <c r="T69" i="76"/>
  <c r="P69" i="76"/>
  <c r="X69" i="76" s="1"/>
  <c r="Z69" i="76" s="1"/>
  <c r="J69" i="76"/>
  <c r="H69" i="76"/>
  <c r="D69" i="76"/>
  <c r="B69" i="76"/>
  <c r="X68" i="76"/>
  <c r="Z68" i="76" s="1"/>
  <c r="N68" i="76"/>
  <c r="L68" i="76"/>
  <c r="B68" i="76"/>
  <c r="Z67" i="76"/>
  <c r="X67" i="76"/>
  <c r="T67" i="76"/>
  <c r="P67" i="76"/>
  <c r="H67" i="76"/>
  <c r="D67" i="76"/>
  <c r="L67" i="76" s="1"/>
  <c r="B67" i="76"/>
  <c r="Z66" i="76"/>
  <c r="X66" i="76"/>
  <c r="N66" i="76"/>
  <c r="L66" i="76"/>
  <c r="J66" i="76"/>
  <c r="B66" i="76"/>
  <c r="Z65" i="76"/>
  <c r="X65" i="76"/>
  <c r="T65" i="76"/>
  <c r="P65" i="76"/>
  <c r="H65" i="76"/>
  <c r="D65" i="76"/>
  <c r="L65" i="76" s="1"/>
  <c r="B65" i="76"/>
  <c r="Z64" i="76"/>
  <c r="X64" i="76"/>
  <c r="V64" i="76"/>
  <c r="N64" i="76"/>
  <c r="L64" i="76"/>
  <c r="B64" i="76"/>
  <c r="Z63" i="76"/>
  <c r="X63" i="76"/>
  <c r="N63" i="76"/>
  <c r="L63" i="76"/>
  <c r="B63" i="76"/>
  <c r="Z62" i="76"/>
  <c r="X62" i="76"/>
  <c r="V62" i="76"/>
  <c r="N62" i="76"/>
  <c r="L62" i="76"/>
  <c r="B62" i="76"/>
  <c r="Z61" i="76"/>
  <c r="X61" i="76"/>
  <c r="L61" i="76"/>
  <c r="N61" i="76" s="1"/>
  <c r="B61" i="76"/>
  <c r="Z60" i="76"/>
  <c r="X60" i="76"/>
  <c r="N60" i="76"/>
  <c r="L60" i="76"/>
  <c r="B60" i="76"/>
  <c r="Z59" i="76"/>
  <c r="X59" i="76"/>
  <c r="N59" i="76"/>
  <c r="L59" i="76"/>
  <c r="B59" i="76"/>
  <c r="Z58" i="76"/>
  <c r="X58" i="76"/>
  <c r="L58" i="76"/>
  <c r="N58" i="76" s="1"/>
  <c r="B58" i="76"/>
  <c r="Z57" i="76"/>
  <c r="X57" i="76"/>
  <c r="N57" i="76"/>
  <c r="L57" i="76"/>
  <c r="B57" i="76"/>
  <c r="X56" i="76"/>
  <c r="Z56" i="76" s="1"/>
  <c r="L56" i="76"/>
  <c r="N56" i="76" s="1"/>
  <c r="B56" i="76"/>
  <c r="Z55" i="76"/>
  <c r="X55" i="76"/>
  <c r="N55" i="76"/>
  <c r="L55" i="76"/>
  <c r="B55" i="76"/>
  <c r="V54" i="76"/>
  <c r="T54" i="76"/>
  <c r="Z54" i="76" s="1"/>
  <c r="P54" i="76"/>
  <c r="X54" i="76" s="1"/>
  <c r="L54" i="76"/>
  <c r="N54" i="76" s="1"/>
  <c r="H54" i="76"/>
  <c r="D54" i="76"/>
  <c r="B54" i="76"/>
  <c r="X53" i="76"/>
  <c r="Z53" i="76" s="1"/>
  <c r="L53" i="76"/>
  <c r="N53" i="76" s="1"/>
  <c r="J53" i="76"/>
  <c r="B53" i="76"/>
  <c r="X52" i="76"/>
  <c r="Z52" i="76" s="1"/>
  <c r="N52" i="76"/>
  <c r="L52" i="76"/>
  <c r="B52" i="76"/>
  <c r="Z51" i="76"/>
  <c r="X51" i="76"/>
  <c r="N51" i="76"/>
  <c r="L51" i="76"/>
  <c r="B51" i="76"/>
  <c r="Z50" i="76"/>
  <c r="X50" i="76"/>
  <c r="N50" i="76"/>
  <c r="L50" i="76"/>
  <c r="B50" i="76"/>
  <c r="Z49" i="76"/>
  <c r="X49" i="76"/>
  <c r="N49" i="76"/>
  <c r="L49" i="76"/>
  <c r="J49" i="76"/>
  <c r="B49" i="76"/>
  <c r="X48" i="76"/>
  <c r="Z48" i="76" s="1"/>
  <c r="N48" i="76"/>
  <c r="L48" i="76"/>
  <c r="B48" i="76"/>
  <c r="X47" i="76"/>
  <c r="Z47" i="76" s="1"/>
  <c r="N47" i="76"/>
  <c r="L47" i="76"/>
  <c r="B47" i="76"/>
  <c r="X46" i="76"/>
  <c r="Z46" i="76" s="1"/>
  <c r="N46" i="76"/>
  <c r="L46" i="76"/>
  <c r="B46" i="76"/>
  <c r="X45" i="76"/>
  <c r="Z45" i="76" s="1"/>
  <c r="L45" i="76"/>
  <c r="N45" i="76" s="1"/>
  <c r="J45" i="76"/>
  <c r="B45" i="76"/>
  <c r="X44" i="76"/>
  <c r="Z44" i="76" s="1"/>
  <c r="N44" i="76"/>
  <c r="L44" i="76"/>
  <c r="B44" i="76"/>
  <c r="Z43" i="76"/>
  <c r="X43" i="76"/>
  <c r="T43" i="76"/>
  <c r="P43" i="76"/>
  <c r="L43" i="76"/>
  <c r="H43" i="76"/>
  <c r="D43" i="76"/>
  <c r="B43" i="76"/>
  <c r="T42" i="76"/>
  <c r="X42" i="76" s="1"/>
  <c r="Z42" i="76" s="1"/>
  <c r="P42" i="76"/>
  <c r="H42" i="76"/>
  <c r="D42" i="76"/>
  <c r="L42" i="76" s="1"/>
  <c r="N42" i="76" s="1"/>
  <c r="Z38" i="76"/>
  <c r="X38" i="76"/>
  <c r="N38" i="76"/>
  <c r="L38" i="76"/>
  <c r="B38" i="76"/>
  <c r="Z37" i="76"/>
  <c r="X37" i="76"/>
  <c r="N37" i="76"/>
  <c r="L37" i="76"/>
  <c r="B37" i="76"/>
  <c r="Z36" i="76"/>
  <c r="X36" i="76"/>
  <c r="N36" i="76"/>
  <c r="L36" i="76"/>
  <c r="J36" i="76"/>
  <c r="B36" i="76"/>
  <c r="Z35" i="76"/>
  <c r="X35" i="76"/>
  <c r="N35" i="76"/>
  <c r="L35" i="76"/>
  <c r="B35" i="76"/>
  <c r="Z34" i="76"/>
  <c r="X34" i="76"/>
  <c r="N34" i="76"/>
  <c r="L34" i="76"/>
  <c r="J34" i="76"/>
  <c r="B34" i="76"/>
  <c r="Z33" i="76"/>
  <c r="X33" i="76"/>
  <c r="N33" i="76"/>
  <c r="L33" i="76"/>
  <c r="B33" i="76"/>
  <c r="Z32" i="76"/>
  <c r="X32" i="76"/>
  <c r="N32" i="76"/>
  <c r="L32" i="76"/>
  <c r="B32" i="76"/>
  <c r="Z31" i="76"/>
  <c r="X31" i="76"/>
  <c r="N31" i="76"/>
  <c r="L31" i="76"/>
  <c r="B31" i="76"/>
  <c r="Z30" i="76"/>
  <c r="X30" i="76"/>
  <c r="L30" i="76"/>
  <c r="N30" i="76" s="1"/>
  <c r="B30" i="76"/>
  <c r="Z29" i="76"/>
  <c r="X29" i="76"/>
  <c r="T29" i="76"/>
  <c r="P29" i="76"/>
  <c r="H29" i="76"/>
  <c r="H40" i="76" s="1"/>
  <c r="H93" i="76" s="1"/>
  <c r="D29" i="76"/>
  <c r="Z27" i="76"/>
  <c r="X27" i="76"/>
  <c r="P27" i="76"/>
  <c r="N27" i="76"/>
  <c r="L27" i="76"/>
  <c r="D27" i="76"/>
  <c r="B27" i="76"/>
  <c r="Z26" i="76"/>
  <c r="P26" i="76"/>
  <c r="X26" i="76" s="1"/>
  <c r="N26" i="76"/>
  <c r="L26" i="76"/>
  <c r="D26" i="76"/>
  <c r="B26" i="76"/>
  <c r="Z25" i="76"/>
  <c r="X25" i="76"/>
  <c r="P25" i="76"/>
  <c r="N25" i="76"/>
  <c r="L25" i="76"/>
  <c r="D25" i="76"/>
  <c r="B25" i="76"/>
  <c r="Z24" i="76"/>
  <c r="P24" i="76"/>
  <c r="X24" i="76" s="1"/>
  <c r="N24" i="76"/>
  <c r="L24" i="76"/>
  <c r="D24" i="76"/>
  <c r="B24" i="76"/>
  <c r="Z23" i="76"/>
  <c r="P23" i="76"/>
  <c r="X23" i="76" s="1"/>
  <c r="N23" i="76"/>
  <c r="D23" i="76"/>
  <c r="L23" i="76" s="1"/>
  <c r="B23" i="76"/>
  <c r="Z22" i="76"/>
  <c r="X22" i="76"/>
  <c r="P22" i="76"/>
  <c r="N22" i="76"/>
  <c r="L22" i="76"/>
  <c r="D22" i="76"/>
  <c r="B22" i="76"/>
  <c r="Z21" i="76"/>
  <c r="P21" i="76"/>
  <c r="X21" i="76" s="1"/>
  <c r="N21" i="76"/>
  <c r="D21" i="76"/>
  <c r="L21" i="76" s="1"/>
  <c r="B21" i="76"/>
  <c r="Z20" i="76"/>
  <c r="X20" i="76"/>
  <c r="P20" i="76"/>
  <c r="N20" i="76"/>
  <c r="D20" i="76"/>
  <c r="L20" i="76" s="1"/>
  <c r="B20" i="76"/>
  <c r="Z19" i="76"/>
  <c r="X19" i="76"/>
  <c r="P19" i="76"/>
  <c r="N19" i="76"/>
  <c r="L19" i="76"/>
  <c r="D19" i="76"/>
  <c r="B19" i="76"/>
  <c r="Z18" i="76"/>
  <c r="X18" i="76"/>
  <c r="P18" i="76"/>
  <c r="D18" i="76"/>
  <c r="L18" i="76" s="1"/>
  <c r="N18" i="76" s="1"/>
  <c r="B18" i="76"/>
  <c r="Z17" i="76"/>
  <c r="P17" i="76"/>
  <c r="X17" i="76" s="1"/>
  <c r="N17" i="76"/>
  <c r="L17" i="76"/>
  <c r="D17" i="76"/>
  <c r="B17" i="76"/>
  <c r="Z16" i="76"/>
  <c r="X16" i="76"/>
  <c r="P16" i="76"/>
  <c r="N16" i="76"/>
  <c r="L16" i="76"/>
  <c r="D16" i="76"/>
  <c r="B16" i="76"/>
  <c r="Z15" i="76"/>
  <c r="P15" i="76"/>
  <c r="X15" i="76" s="1"/>
  <c r="N15" i="76"/>
  <c r="L15" i="76"/>
  <c r="D15" i="76"/>
  <c r="B15" i="76"/>
  <c r="Z14" i="76"/>
  <c r="P14" i="76"/>
  <c r="X14" i="76" s="1"/>
  <c r="N14" i="76"/>
  <c r="L14" i="76"/>
  <c r="D14" i="76"/>
  <c r="B14" i="76"/>
  <c r="X13" i="76"/>
  <c r="Z13" i="76" s="1"/>
  <c r="P13" i="76"/>
  <c r="L13" i="76"/>
  <c r="N13" i="76" s="1"/>
  <c r="D13" i="76"/>
  <c r="B13" i="76"/>
  <c r="T12" i="76"/>
  <c r="V58" i="76" s="1"/>
  <c r="P12" i="76"/>
  <c r="R74" i="76" s="1"/>
  <c r="H12" i="76"/>
  <c r="J54" i="76" s="1"/>
  <c r="D6" i="76"/>
  <c r="D4" i="76"/>
  <c r="X74" i="75"/>
  <c r="Z74" i="75" s="1"/>
  <c r="N74" i="75"/>
  <c r="L74" i="75"/>
  <c r="J74" i="75"/>
  <c r="P70" i="75"/>
  <c r="X70" i="75" s="1"/>
  <c r="Z70" i="75" s="1"/>
  <c r="D70" i="75"/>
  <c r="B70" i="75"/>
  <c r="Z69" i="75"/>
  <c r="X69" i="75"/>
  <c r="T69" i="75"/>
  <c r="P69" i="75"/>
  <c r="H69" i="75"/>
  <c r="Z67" i="75"/>
  <c r="X67" i="75"/>
  <c r="N67" i="75"/>
  <c r="L67" i="75"/>
  <c r="B67" i="75"/>
  <c r="X66" i="75"/>
  <c r="T66" i="75"/>
  <c r="Z66" i="75" s="1"/>
  <c r="P66" i="75"/>
  <c r="L66" i="75"/>
  <c r="H66" i="75"/>
  <c r="N66" i="75" s="1"/>
  <c r="D66" i="75"/>
  <c r="B66" i="75"/>
  <c r="Z65" i="75"/>
  <c r="X65" i="75"/>
  <c r="V65" i="75"/>
  <c r="N65" i="75"/>
  <c r="L65" i="75"/>
  <c r="B65" i="75"/>
  <c r="Z64" i="75"/>
  <c r="X64" i="75"/>
  <c r="V64" i="75"/>
  <c r="N64" i="75"/>
  <c r="L64" i="75"/>
  <c r="B64" i="75"/>
  <c r="Z63" i="75"/>
  <c r="X63" i="75"/>
  <c r="L63" i="75"/>
  <c r="N63" i="75" s="1"/>
  <c r="B63" i="75"/>
  <c r="Z62" i="75"/>
  <c r="X62" i="75"/>
  <c r="N62" i="75"/>
  <c r="L62" i="75"/>
  <c r="J62" i="75"/>
  <c r="B62" i="75"/>
  <c r="Z61" i="75"/>
  <c r="X61" i="75"/>
  <c r="T61" i="75"/>
  <c r="P61" i="75"/>
  <c r="H61" i="75"/>
  <c r="D61" i="75"/>
  <c r="B61" i="75"/>
  <c r="Z60" i="75"/>
  <c r="X60" i="75"/>
  <c r="V60" i="75"/>
  <c r="L60" i="75"/>
  <c r="N60" i="75" s="1"/>
  <c r="B60" i="75"/>
  <c r="T59" i="75"/>
  <c r="P59" i="75"/>
  <c r="X59" i="75" s="1"/>
  <c r="H59" i="75"/>
  <c r="D59" i="75"/>
  <c r="L59" i="75" s="1"/>
  <c r="B59" i="75"/>
  <c r="X58" i="75"/>
  <c r="Z58" i="75" s="1"/>
  <c r="N58" i="75"/>
  <c r="L58" i="75"/>
  <c r="B58" i="75"/>
  <c r="T57" i="75"/>
  <c r="P57" i="75"/>
  <c r="X57" i="75" s="1"/>
  <c r="N57" i="75"/>
  <c r="L57" i="75"/>
  <c r="H57" i="75"/>
  <c r="D57" i="75"/>
  <c r="B57" i="75"/>
  <c r="Z56" i="75"/>
  <c r="X56" i="75"/>
  <c r="N56" i="75"/>
  <c r="L56" i="75"/>
  <c r="J56" i="75"/>
  <c r="B56" i="75"/>
  <c r="Z55" i="75"/>
  <c r="X55" i="75"/>
  <c r="L55" i="75"/>
  <c r="N55" i="75" s="1"/>
  <c r="J55" i="75"/>
  <c r="B55" i="75"/>
  <c r="T54" i="75"/>
  <c r="P54" i="75"/>
  <c r="X54" i="75" s="1"/>
  <c r="Z54" i="75" s="1"/>
  <c r="J54" i="75"/>
  <c r="H54" i="75"/>
  <c r="D54" i="75"/>
  <c r="B54" i="75"/>
  <c r="X53" i="75"/>
  <c r="Z53" i="75" s="1"/>
  <c r="L53" i="75"/>
  <c r="N53" i="75" s="1"/>
  <c r="B53" i="75"/>
  <c r="X52" i="75"/>
  <c r="Z52" i="75" s="1"/>
  <c r="V52" i="75"/>
  <c r="T52" i="75"/>
  <c r="P52" i="75"/>
  <c r="J52" i="75"/>
  <c r="H52" i="75"/>
  <c r="D52" i="75"/>
  <c r="L52" i="75" s="1"/>
  <c r="N52" i="75" s="1"/>
  <c r="B52" i="75"/>
  <c r="Z51" i="75"/>
  <c r="X51" i="75"/>
  <c r="N51" i="75"/>
  <c r="L51" i="75"/>
  <c r="B51" i="75"/>
  <c r="X50" i="75"/>
  <c r="T50" i="75"/>
  <c r="Z50" i="75" s="1"/>
  <c r="P50" i="75"/>
  <c r="L50" i="75"/>
  <c r="H50" i="75"/>
  <c r="N50" i="75" s="1"/>
  <c r="D50" i="75"/>
  <c r="B50" i="75"/>
  <c r="Z49" i="75"/>
  <c r="X49" i="75"/>
  <c r="V49" i="75"/>
  <c r="L49" i="75"/>
  <c r="N49" i="75" s="1"/>
  <c r="B49" i="75"/>
  <c r="T48" i="75"/>
  <c r="P48" i="75"/>
  <c r="X48" i="75" s="1"/>
  <c r="Z48" i="75" s="1"/>
  <c r="N48" i="75"/>
  <c r="H48" i="75"/>
  <c r="D48" i="75"/>
  <c r="L48" i="75" s="1"/>
  <c r="B48" i="75"/>
  <c r="X47" i="75"/>
  <c r="Z47" i="75" s="1"/>
  <c r="N47" i="75"/>
  <c r="L47" i="75"/>
  <c r="B47" i="75"/>
  <c r="V46" i="75"/>
  <c r="T46" i="75"/>
  <c r="Z46" i="75" s="1"/>
  <c r="R46" i="75"/>
  <c r="P46" i="75"/>
  <c r="X46" i="75" s="1"/>
  <c r="L46" i="75"/>
  <c r="N46" i="75" s="1"/>
  <c r="H46" i="75"/>
  <c r="D46" i="75"/>
  <c r="B46" i="75"/>
  <c r="Z45" i="75"/>
  <c r="X45" i="75"/>
  <c r="R45" i="75"/>
  <c r="N45" i="75"/>
  <c r="L45" i="75"/>
  <c r="J45" i="75"/>
  <c r="B45" i="75"/>
  <c r="Z44" i="75"/>
  <c r="X44" i="75"/>
  <c r="N44" i="75"/>
  <c r="L44" i="75"/>
  <c r="B44" i="75"/>
  <c r="Z43" i="75"/>
  <c r="X43" i="75"/>
  <c r="N43" i="75"/>
  <c r="L43" i="75"/>
  <c r="B43" i="75"/>
  <c r="Z42" i="75"/>
  <c r="X42" i="75"/>
  <c r="V42" i="75"/>
  <c r="N42" i="75"/>
  <c r="L42" i="75"/>
  <c r="B42" i="75"/>
  <c r="Z41" i="75"/>
  <c r="X41" i="75"/>
  <c r="N41" i="75"/>
  <c r="L41" i="75"/>
  <c r="J41" i="75"/>
  <c r="B41" i="75"/>
  <c r="Z40" i="75"/>
  <c r="X40" i="75"/>
  <c r="N40" i="75"/>
  <c r="L40" i="75"/>
  <c r="J40" i="75"/>
  <c r="B40" i="75"/>
  <c r="Z39" i="75"/>
  <c r="X39" i="75"/>
  <c r="N39" i="75"/>
  <c r="L39" i="75"/>
  <c r="B39" i="75"/>
  <c r="Z38" i="75"/>
  <c r="X38" i="75"/>
  <c r="V38" i="75"/>
  <c r="R38" i="75"/>
  <c r="N38" i="75"/>
  <c r="L38" i="75"/>
  <c r="B38" i="75"/>
  <c r="X37" i="75"/>
  <c r="Z37" i="75" s="1"/>
  <c r="L37" i="75"/>
  <c r="N37" i="75" s="1"/>
  <c r="B37" i="75"/>
  <c r="Z36" i="75"/>
  <c r="X36" i="75"/>
  <c r="N36" i="75"/>
  <c r="L36" i="75"/>
  <c r="J36" i="75"/>
  <c r="B36" i="75"/>
  <c r="X35" i="75"/>
  <c r="Z35" i="75" s="1"/>
  <c r="T35" i="75"/>
  <c r="P35" i="75"/>
  <c r="H35" i="75"/>
  <c r="D35" i="75"/>
  <c r="L35" i="75" s="1"/>
  <c r="B35" i="75"/>
  <c r="Z34" i="75"/>
  <c r="X34" i="75"/>
  <c r="N34" i="75"/>
  <c r="L34" i="75"/>
  <c r="J34" i="75"/>
  <c r="B34" i="75"/>
  <c r="X33" i="75"/>
  <c r="Z33" i="75" s="1"/>
  <c r="V33" i="75"/>
  <c r="N33" i="75"/>
  <c r="L33" i="75"/>
  <c r="B33" i="75"/>
  <c r="Z32" i="75"/>
  <c r="X32" i="75"/>
  <c r="L32" i="75"/>
  <c r="N32" i="75" s="1"/>
  <c r="J32" i="75"/>
  <c r="B32" i="75"/>
  <c r="Z31" i="75"/>
  <c r="X31" i="75"/>
  <c r="N31" i="75"/>
  <c r="L31" i="75"/>
  <c r="J31" i="75"/>
  <c r="B31" i="75"/>
  <c r="Z30" i="75"/>
  <c r="X30" i="75"/>
  <c r="N30" i="75"/>
  <c r="L30" i="75"/>
  <c r="J30" i="75"/>
  <c r="B30" i="75"/>
  <c r="X29" i="75"/>
  <c r="Z29" i="75" s="1"/>
  <c r="N29" i="75"/>
  <c r="L29" i="75"/>
  <c r="B29" i="75"/>
  <c r="Z28" i="75"/>
  <c r="X28" i="75"/>
  <c r="V28" i="75"/>
  <c r="R28" i="75"/>
  <c r="N28" i="75"/>
  <c r="L28" i="75"/>
  <c r="J28" i="75"/>
  <c r="B28" i="75"/>
  <c r="X27" i="75"/>
  <c r="Z27" i="75" s="1"/>
  <c r="L27" i="75"/>
  <c r="N27" i="75" s="1"/>
  <c r="B27" i="75"/>
  <c r="Z26" i="75"/>
  <c r="X26" i="75"/>
  <c r="N26" i="75"/>
  <c r="L26" i="75"/>
  <c r="J26" i="75"/>
  <c r="B26" i="75"/>
  <c r="Z25" i="75"/>
  <c r="X25" i="75"/>
  <c r="V25" i="75"/>
  <c r="T25" i="75"/>
  <c r="P25" i="75"/>
  <c r="H25" i="75"/>
  <c r="D25" i="75"/>
  <c r="B25" i="75"/>
  <c r="Z24" i="75"/>
  <c r="X24" i="75"/>
  <c r="V24" i="75"/>
  <c r="T24" i="75"/>
  <c r="P24" i="75"/>
  <c r="J24" i="75"/>
  <c r="H24" i="75"/>
  <c r="N24" i="75" s="1"/>
  <c r="D24" i="75"/>
  <c r="L24" i="75" s="1"/>
  <c r="Z20" i="75"/>
  <c r="X20" i="75"/>
  <c r="T20" i="75"/>
  <c r="P20" i="75"/>
  <c r="H20" i="75"/>
  <c r="N20" i="75" s="1"/>
  <c r="D20" i="75"/>
  <c r="L20" i="75" s="1"/>
  <c r="Z18" i="75"/>
  <c r="P18" i="75"/>
  <c r="X18" i="75" s="1"/>
  <c r="N18" i="75"/>
  <c r="D18" i="75"/>
  <c r="L18" i="75" s="1"/>
  <c r="B18" i="75"/>
  <c r="Z17" i="75"/>
  <c r="X17" i="75"/>
  <c r="P17" i="75"/>
  <c r="N17" i="75"/>
  <c r="D17" i="75"/>
  <c r="L17" i="75" s="1"/>
  <c r="B17" i="75"/>
  <c r="Z16" i="75"/>
  <c r="X16" i="75"/>
  <c r="P16" i="75"/>
  <c r="N16" i="75"/>
  <c r="L16" i="75"/>
  <c r="D16" i="75"/>
  <c r="B16" i="75"/>
  <c r="Z15" i="75"/>
  <c r="X15" i="75"/>
  <c r="P15" i="75"/>
  <c r="N15" i="75"/>
  <c r="L15" i="75"/>
  <c r="D15" i="75"/>
  <c r="B15" i="75"/>
  <c r="Z14" i="75"/>
  <c r="X14" i="75"/>
  <c r="P14" i="75"/>
  <c r="N14" i="75"/>
  <c r="L14" i="75"/>
  <c r="D14" i="75"/>
  <c r="B14" i="75"/>
  <c r="X13" i="75"/>
  <c r="Z13" i="75" s="1"/>
  <c r="P13" i="75"/>
  <c r="P12" i="75" s="1"/>
  <c r="R33" i="75" s="1"/>
  <c r="N13" i="75"/>
  <c r="L13" i="75"/>
  <c r="D13" i="75"/>
  <c r="B13" i="75"/>
  <c r="T12" i="75"/>
  <c r="V74" i="75" s="1"/>
  <c r="H12" i="75"/>
  <c r="D6" i="75"/>
  <c r="D4" i="75"/>
  <c r="X134" i="74"/>
  <c r="Z134" i="74" s="1"/>
  <c r="N134" i="74"/>
  <c r="L134" i="74"/>
  <c r="Z130" i="74"/>
  <c r="X130" i="74"/>
  <c r="P130" i="74"/>
  <c r="N130" i="74"/>
  <c r="D130" i="74"/>
  <c r="L130" i="74" s="1"/>
  <c r="B130" i="74"/>
  <c r="Z129" i="74"/>
  <c r="X129" i="74"/>
  <c r="V129" i="74"/>
  <c r="P129" i="74"/>
  <c r="N129" i="74"/>
  <c r="D129" i="74"/>
  <c r="L129" i="74" s="1"/>
  <c r="B129" i="74"/>
  <c r="X128" i="74"/>
  <c r="Z128" i="74" s="1"/>
  <c r="P128" i="74"/>
  <c r="D128" i="74"/>
  <c r="L128" i="74" s="1"/>
  <c r="N128" i="74" s="1"/>
  <c r="B128" i="74"/>
  <c r="X127" i="74"/>
  <c r="V127" i="74"/>
  <c r="T127" i="74"/>
  <c r="P127" i="74"/>
  <c r="H127" i="74"/>
  <c r="D127" i="74"/>
  <c r="L127" i="74" s="1"/>
  <c r="N127" i="74" s="1"/>
  <c r="Z125" i="74"/>
  <c r="X125" i="74"/>
  <c r="N125" i="74"/>
  <c r="L125" i="74"/>
  <c r="B125" i="74"/>
  <c r="Z124" i="74"/>
  <c r="X124" i="74"/>
  <c r="V124" i="74"/>
  <c r="L124" i="74"/>
  <c r="N124" i="74" s="1"/>
  <c r="B124" i="74"/>
  <c r="T123" i="74"/>
  <c r="P123" i="74"/>
  <c r="X123" i="74" s="1"/>
  <c r="Z123" i="74" s="1"/>
  <c r="J123" i="74"/>
  <c r="H123" i="74"/>
  <c r="L123" i="74" s="1"/>
  <c r="D123" i="74"/>
  <c r="B123" i="74"/>
  <c r="X122" i="74"/>
  <c r="Z122" i="74" s="1"/>
  <c r="N122" i="74"/>
  <c r="L122" i="74"/>
  <c r="B122" i="74"/>
  <c r="X121" i="74"/>
  <c r="Z121" i="74" s="1"/>
  <c r="T121" i="74"/>
  <c r="P121" i="74"/>
  <c r="L121" i="74"/>
  <c r="H121" i="74"/>
  <c r="D121" i="74"/>
  <c r="B121" i="74"/>
  <c r="Z120" i="74"/>
  <c r="X120" i="74"/>
  <c r="N120" i="74"/>
  <c r="L120" i="74"/>
  <c r="J120" i="74"/>
  <c r="B120" i="74"/>
  <c r="X119" i="74"/>
  <c r="Z119" i="74" s="1"/>
  <c r="N119" i="74"/>
  <c r="L119" i="74"/>
  <c r="B119" i="74"/>
  <c r="Z118" i="74"/>
  <c r="X118" i="74"/>
  <c r="V118" i="74"/>
  <c r="N118" i="74"/>
  <c r="L118" i="74"/>
  <c r="B118" i="74"/>
  <c r="Z117" i="74"/>
  <c r="X117" i="74"/>
  <c r="L117" i="74"/>
  <c r="N117" i="74" s="1"/>
  <c r="B117" i="74"/>
  <c r="Z116" i="74"/>
  <c r="X116" i="74"/>
  <c r="N116" i="74"/>
  <c r="L116" i="74"/>
  <c r="B116" i="74"/>
  <c r="X115" i="74"/>
  <c r="Z115" i="74" s="1"/>
  <c r="N115" i="74"/>
  <c r="L115" i="74"/>
  <c r="B115" i="74"/>
  <c r="Z114" i="74"/>
  <c r="X114" i="74"/>
  <c r="V114" i="74"/>
  <c r="N114" i="74"/>
  <c r="L114" i="74"/>
  <c r="B114" i="74"/>
  <c r="T113" i="74"/>
  <c r="P113" i="74"/>
  <c r="X113" i="74" s="1"/>
  <c r="N113" i="74"/>
  <c r="L113" i="74"/>
  <c r="J113" i="74"/>
  <c r="H113" i="74"/>
  <c r="D113" i="74"/>
  <c r="B113" i="74"/>
  <c r="Z112" i="74"/>
  <c r="X112" i="74"/>
  <c r="V112" i="74"/>
  <c r="L112" i="74"/>
  <c r="N112" i="74" s="1"/>
  <c r="J112" i="74"/>
  <c r="B112" i="74"/>
  <c r="T111" i="74"/>
  <c r="P111" i="74"/>
  <c r="X111" i="74" s="1"/>
  <c r="Z111" i="74" s="1"/>
  <c r="L111" i="74"/>
  <c r="H111" i="74"/>
  <c r="D111" i="74"/>
  <c r="B111" i="74"/>
  <c r="X110" i="74"/>
  <c r="Z110" i="74" s="1"/>
  <c r="N110" i="74"/>
  <c r="L110" i="74"/>
  <c r="J110" i="74"/>
  <c r="B110" i="74"/>
  <c r="Z109" i="74"/>
  <c r="X109" i="74"/>
  <c r="N109" i="74"/>
  <c r="L109" i="74"/>
  <c r="B109" i="74"/>
  <c r="X108" i="74"/>
  <c r="Z108" i="74" s="1"/>
  <c r="V108" i="74"/>
  <c r="N108" i="74"/>
  <c r="L108" i="74"/>
  <c r="B108" i="74"/>
  <c r="T107" i="74"/>
  <c r="P107" i="74"/>
  <c r="X107" i="74" s="1"/>
  <c r="L107" i="74"/>
  <c r="N107" i="74" s="1"/>
  <c r="H107" i="74"/>
  <c r="D107" i="74"/>
  <c r="B107" i="74"/>
  <c r="Z106" i="74"/>
  <c r="X106" i="74"/>
  <c r="V106" i="74"/>
  <c r="N106" i="74"/>
  <c r="L106" i="74"/>
  <c r="B106" i="74"/>
  <c r="T105" i="74"/>
  <c r="P105" i="74"/>
  <c r="X105" i="74" s="1"/>
  <c r="N105" i="74"/>
  <c r="L105" i="74"/>
  <c r="J105" i="74"/>
  <c r="H105" i="74"/>
  <c r="D105" i="74"/>
  <c r="B105" i="74"/>
  <c r="Z104" i="74"/>
  <c r="X104" i="74"/>
  <c r="V104" i="74"/>
  <c r="L104" i="74"/>
  <c r="N104" i="74" s="1"/>
  <c r="J104" i="74"/>
  <c r="B104" i="74"/>
  <c r="T103" i="74"/>
  <c r="Z103" i="74" s="1"/>
  <c r="P103" i="74"/>
  <c r="X103" i="74" s="1"/>
  <c r="L103" i="74"/>
  <c r="H103" i="74"/>
  <c r="D103" i="74"/>
  <c r="B103" i="74"/>
  <c r="X102" i="74"/>
  <c r="Z102" i="74" s="1"/>
  <c r="N102" i="74"/>
  <c r="L102" i="74"/>
  <c r="J102" i="74"/>
  <c r="B102" i="74"/>
  <c r="Z101" i="74"/>
  <c r="X101" i="74"/>
  <c r="T101" i="74"/>
  <c r="P101" i="74"/>
  <c r="H101" i="74"/>
  <c r="D101" i="74"/>
  <c r="L101" i="74" s="1"/>
  <c r="B101" i="74"/>
  <c r="Z100" i="74"/>
  <c r="X100" i="74"/>
  <c r="N100" i="74"/>
  <c r="L100" i="74"/>
  <c r="B100" i="74"/>
  <c r="Z99" i="74"/>
  <c r="X99" i="74"/>
  <c r="T99" i="74"/>
  <c r="P99" i="74"/>
  <c r="H99" i="74"/>
  <c r="N99" i="74" s="1"/>
  <c r="D99" i="74"/>
  <c r="L99" i="74" s="1"/>
  <c r="B99" i="74"/>
  <c r="X98" i="74"/>
  <c r="Z98" i="74" s="1"/>
  <c r="L98" i="74"/>
  <c r="N98" i="74" s="1"/>
  <c r="B98" i="74"/>
  <c r="Z97" i="74"/>
  <c r="X97" i="74"/>
  <c r="N97" i="74"/>
  <c r="L97" i="74"/>
  <c r="B97" i="74"/>
  <c r="T96" i="74"/>
  <c r="Z96" i="74" s="1"/>
  <c r="P96" i="74"/>
  <c r="X96" i="74" s="1"/>
  <c r="L96" i="74"/>
  <c r="N96" i="74" s="1"/>
  <c r="H96" i="74"/>
  <c r="D96" i="74"/>
  <c r="B96" i="74"/>
  <c r="X95" i="74"/>
  <c r="Z95" i="74" s="1"/>
  <c r="L95" i="74"/>
  <c r="N95" i="74" s="1"/>
  <c r="B95" i="74"/>
  <c r="T94" i="74"/>
  <c r="Z94" i="74" s="1"/>
  <c r="P94" i="74"/>
  <c r="X94" i="74" s="1"/>
  <c r="H94" i="74"/>
  <c r="D94" i="74"/>
  <c r="B94" i="74"/>
  <c r="Z93" i="74"/>
  <c r="X93" i="74"/>
  <c r="L93" i="74"/>
  <c r="N93" i="74" s="1"/>
  <c r="B93" i="74"/>
  <c r="Z92" i="74"/>
  <c r="T92" i="74"/>
  <c r="X92" i="74" s="1"/>
  <c r="P92" i="74"/>
  <c r="N92" i="74"/>
  <c r="H92" i="74"/>
  <c r="D92" i="74"/>
  <c r="L92" i="74" s="1"/>
  <c r="B92" i="74"/>
  <c r="Z91" i="74"/>
  <c r="X91" i="74"/>
  <c r="N91" i="74"/>
  <c r="L91" i="74"/>
  <c r="B91" i="74"/>
  <c r="Z90" i="74"/>
  <c r="X90" i="74"/>
  <c r="V90" i="74"/>
  <c r="T90" i="74"/>
  <c r="P90" i="74"/>
  <c r="H90" i="74"/>
  <c r="N90" i="74" s="1"/>
  <c r="D90" i="74"/>
  <c r="L90" i="74" s="1"/>
  <c r="B90" i="74"/>
  <c r="Z89" i="74"/>
  <c r="X89" i="74"/>
  <c r="N89" i="74"/>
  <c r="L89" i="74"/>
  <c r="B89" i="74"/>
  <c r="T88" i="74"/>
  <c r="P88" i="74"/>
  <c r="L88" i="74"/>
  <c r="H88" i="74"/>
  <c r="N88" i="74" s="1"/>
  <c r="D88" i="74"/>
  <c r="B88" i="74"/>
  <c r="X87" i="74"/>
  <c r="Z87" i="74" s="1"/>
  <c r="N87" i="74"/>
  <c r="L87" i="74"/>
  <c r="J87" i="74"/>
  <c r="B87" i="74"/>
  <c r="X86" i="74"/>
  <c r="T86" i="74"/>
  <c r="Z86" i="74" s="1"/>
  <c r="P86" i="74"/>
  <c r="H86" i="74"/>
  <c r="D86" i="74"/>
  <c r="B86" i="74"/>
  <c r="Z85" i="74"/>
  <c r="X85" i="74"/>
  <c r="V85" i="74"/>
  <c r="N85" i="74"/>
  <c r="L85" i="74"/>
  <c r="B85" i="74"/>
  <c r="Z84" i="74"/>
  <c r="X84" i="74"/>
  <c r="V84" i="74"/>
  <c r="N84" i="74"/>
  <c r="L84" i="74"/>
  <c r="B84" i="74"/>
  <c r="Z83" i="74"/>
  <c r="X83" i="74"/>
  <c r="N83" i="74"/>
  <c r="L83" i="74"/>
  <c r="J83" i="74"/>
  <c r="B83" i="74"/>
  <c r="Z82" i="74"/>
  <c r="X82" i="74"/>
  <c r="V82" i="74"/>
  <c r="L82" i="74"/>
  <c r="N82" i="74" s="1"/>
  <c r="B82" i="74"/>
  <c r="Z81" i="74"/>
  <c r="X81" i="74"/>
  <c r="V81" i="74"/>
  <c r="N81" i="74"/>
  <c r="L81" i="74"/>
  <c r="B81" i="74"/>
  <c r="Z80" i="74"/>
  <c r="X80" i="74"/>
  <c r="N80" i="74"/>
  <c r="L80" i="74"/>
  <c r="J80" i="74"/>
  <c r="B80" i="74"/>
  <c r="Z79" i="74"/>
  <c r="X79" i="74"/>
  <c r="V79" i="74"/>
  <c r="L79" i="74"/>
  <c r="N79" i="74" s="1"/>
  <c r="B79" i="74"/>
  <c r="Z78" i="74"/>
  <c r="X78" i="74"/>
  <c r="V78" i="74"/>
  <c r="N78" i="74"/>
  <c r="L78" i="74"/>
  <c r="B78" i="74"/>
  <c r="Z77" i="74"/>
  <c r="X77" i="74"/>
  <c r="N77" i="74"/>
  <c r="L77" i="74"/>
  <c r="J77" i="74"/>
  <c r="B77" i="74"/>
  <c r="Z76" i="74"/>
  <c r="X76" i="74"/>
  <c r="V76" i="74"/>
  <c r="N76" i="74"/>
  <c r="L76" i="74"/>
  <c r="B76" i="74"/>
  <c r="Z75" i="74"/>
  <c r="V75" i="74"/>
  <c r="T75" i="74"/>
  <c r="P75" i="74"/>
  <c r="X75" i="74" s="1"/>
  <c r="L75" i="74"/>
  <c r="H75" i="74"/>
  <c r="N75" i="74" s="1"/>
  <c r="D75" i="74"/>
  <c r="B75" i="74"/>
  <c r="X74" i="74"/>
  <c r="Z74" i="74" s="1"/>
  <c r="V74" i="74"/>
  <c r="N74" i="74"/>
  <c r="L74" i="74"/>
  <c r="B74" i="74"/>
  <c r="X73" i="74"/>
  <c r="Z73" i="74" s="1"/>
  <c r="L73" i="74"/>
  <c r="N73" i="74" s="1"/>
  <c r="B73" i="74"/>
  <c r="Z72" i="74"/>
  <c r="X72" i="74"/>
  <c r="V72" i="74"/>
  <c r="N72" i="74"/>
  <c r="L72" i="74"/>
  <c r="B72" i="74"/>
  <c r="Z71" i="74"/>
  <c r="X71" i="74"/>
  <c r="V71" i="74"/>
  <c r="N71" i="74"/>
  <c r="L71" i="74"/>
  <c r="B71" i="74"/>
  <c r="X70" i="74"/>
  <c r="Z70" i="74" s="1"/>
  <c r="V70" i="74"/>
  <c r="L70" i="74"/>
  <c r="N70" i="74" s="1"/>
  <c r="J70" i="74"/>
  <c r="B70" i="74"/>
  <c r="Z69" i="74"/>
  <c r="X69" i="74"/>
  <c r="V69" i="74"/>
  <c r="L69" i="74"/>
  <c r="N69" i="74" s="1"/>
  <c r="B69" i="74"/>
  <c r="X68" i="74"/>
  <c r="Z68" i="74" s="1"/>
  <c r="V68" i="74"/>
  <c r="N68" i="74"/>
  <c r="L68" i="74"/>
  <c r="B68" i="74"/>
  <c r="Z67" i="74"/>
  <c r="X67" i="74"/>
  <c r="V67" i="74"/>
  <c r="L67" i="74"/>
  <c r="N67" i="74" s="1"/>
  <c r="J67" i="74"/>
  <c r="B67" i="74"/>
  <c r="X66" i="74"/>
  <c r="Z66" i="74" s="1"/>
  <c r="L66" i="74"/>
  <c r="N66" i="74" s="1"/>
  <c r="B66" i="74"/>
  <c r="X65" i="74"/>
  <c r="Z65" i="74" s="1"/>
  <c r="V65" i="74"/>
  <c r="T65" i="74"/>
  <c r="P65" i="74"/>
  <c r="H65" i="74"/>
  <c r="D65" i="74"/>
  <c r="L65" i="74" s="1"/>
  <c r="N65" i="74" s="1"/>
  <c r="B65" i="74"/>
  <c r="Z64" i="74"/>
  <c r="X64" i="74"/>
  <c r="T64" i="74"/>
  <c r="P64" i="74"/>
  <c r="H64" i="74"/>
  <c r="D64" i="74"/>
  <c r="L64" i="74" s="1"/>
  <c r="N64" i="74" s="1"/>
  <c r="Z60" i="74"/>
  <c r="X60" i="74"/>
  <c r="N60" i="74"/>
  <c r="L60" i="74"/>
  <c r="B60" i="74"/>
  <c r="Z59" i="74"/>
  <c r="X59" i="74"/>
  <c r="V59" i="74"/>
  <c r="N59" i="74"/>
  <c r="L59" i="74"/>
  <c r="J59" i="74"/>
  <c r="B59" i="74"/>
  <c r="Z58" i="74"/>
  <c r="X58" i="74"/>
  <c r="V58" i="74"/>
  <c r="N58" i="74"/>
  <c r="L58" i="74"/>
  <c r="J58" i="74"/>
  <c r="B58" i="74"/>
  <c r="Z57" i="74"/>
  <c r="X57" i="74"/>
  <c r="V57" i="74"/>
  <c r="N57" i="74"/>
  <c r="L57" i="74"/>
  <c r="B57" i="74"/>
  <c r="Z56" i="74"/>
  <c r="X56" i="74"/>
  <c r="N56" i="74"/>
  <c r="L56" i="74"/>
  <c r="B56" i="74"/>
  <c r="Z55" i="74"/>
  <c r="X55" i="74"/>
  <c r="V55" i="74"/>
  <c r="N55" i="74"/>
  <c r="L55" i="74"/>
  <c r="J55" i="74"/>
  <c r="B55" i="74"/>
  <c r="Z54" i="74"/>
  <c r="X54" i="74"/>
  <c r="V54" i="74"/>
  <c r="N54" i="74"/>
  <c r="L54" i="74"/>
  <c r="J54" i="74"/>
  <c r="B54" i="74"/>
  <c r="Z53" i="74"/>
  <c r="X53" i="74"/>
  <c r="V53" i="74"/>
  <c r="N53" i="74"/>
  <c r="L53" i="74"/>
  <c r="B53" i="74"/>
  <c r="Z52" i="74"/>
  <c r="X52" i="74"/>
  <c r="N52" i="74"/>
  <c r="L52" i="74"/>
  <c r="B52" i="74"/>
  <c r="Z51" i="74"/>
  <c r="X51" i="74"/>
  <c r="V51" i="74"/>
  <c r="N51" i="74"/>
  <c r="L51" i="74"/>
  <c r="J51" i="74"/>
  <c r="B51" i="74"/>
  <c r="Z50" i="74"/>
  <c r="X50" i="74"/>
  <c r="V50" i="74"/>
  <c r="N50" i="74"/>
  <c r="L50" i="74"/>
  <c r="J50" i="74"/>
  <c r="B50" i="74"/>
  <c r="Z49" i="74"/>
  <c r="X49" i="74"/>
  <c r="V49" i="74"/>
  <c r="N49" i="74"/>
  <c r="L49" i="74"/>
  <c r="B49" i="74"/>
  <c r="Z48" i="74"/>
  <c r="X48" i="74"/>
  <c r="L48" i="74"/>
  <c r="N48" i="74" s="1"/>
  <c r="B48" i="74"/>
  <c r="T47" i="74"/>
  <c r="X47" i="74" s="1"/>
  <c r="P47" i="74"/>
  <c r="J47" i="74"/>
  <c r="H47" i="74"/>
  <c r="D47" i="74"/>
  <c r="L47" i="74" s="1"/>
  <c r="N47" i="74" s="1"/>
  <c r="Z45" i="74"/>
  <c r="P45" i="74"/>
  <c r="X45" i="74" s="1"/>
  <c r="N45" i="74"/>
  <c r="L45" i="74"/>
  <c r="D45" i="74"/>
  <c r="B45" i="74"/>
  <c r="Z44" i="74"/>
  <c r="X44" i="74"/>
  <c r="P44" i="74"/>
  <c r="N44" i="74"/>
  <c r="D44" i="74"/>
  <c r="L44" i="74" s="1"/>
  <c r="B44" i="74"/>
  <c r="Z43" i="74"/>
  <c r="X43" i="74"/>
  <c r="P43" i="74"/>
  <c r="N43" i="74"/>
  <c r="L43" i="74"/>
  <c r="D43" i="74"/>
  <c r="B43" i="74"/>
  <c r="Z42" i="74"/>
  <c r="X42" i="74"/>
  <c r="P42" i="74"/>
  <c r="N42" i="74"/>
  <c r="D42" i="74"/>
  <c r="L42" i="74" s="1"/>
  <c r="B42" i="74"/>
  <c r="Z41" i="74"/>
  <c r="P41" i="74"/>
  <c r="X41" i="74" s="1"/>
  <c r="N41" i="74"/>
  <c r="L41" i="74"/>
  <c r="D41" i="74"/>
  <c r="B41" i="74"/>
  <c r="Z40" i="74"/>
  <c r="P40" i="74"/>
  <c r="X40" i="74" s="1"/>
  <c r="N40" i="74"/>
  <c r="D40" i="74"/>
  <c r="L40" i="74" s="1"/>
  <c r="B40" i="74"/>
  <c r="Z39" i="74"/>
  <c r="P39" i="74"/>
  <c r="X39" i="74" s="1"/>
  <c r="N39" i="74"/>
  <c r="L39" i="74"/>
  <c r="D39" i="74"/>
  <c r="B39" i="74"/>
  <c r="Z38" i="74"/>
  <c r="X38" i="74"/>
  <c r="P38" i="74"/>
  <c r="N38" i="74"/>
  <c r="D38" i="74"/>
  <c r="L38" i="74" s="1"/>
  <c r="B38" i="74"/>
  <c r="Z37" i="74"/>
  <c r="P37" i="74"/>
  <c r="X37" i="74" s="1"/>
  <c r="N37" i="74"/>
  <c r="D37" i="74"/>
  <c r="L37" i="74" s="1"/>
  <c r="B37" i="74"/>
  <c r="Z36" i="74"/>
  <c r="X36" i="74"/>
  <c r="P36" i="74"/>
  <c r="N36" i="74"/>
  <c r="D36" i="74"/>
  <c r="L36" i="74" s="1"/>
  <c r="B36" i="74"/>
  <c r="Z35" i="74"/>
  <c r="P35" i="74"/>
  <c r="X35" i="74" s="1"/>
  <c r="N35" i="74"/>
  <c r="L35" i="74"/>
  <c r="D35" i="74"/>
  <c r="B35" i="74"/>
  <c r="Z34" i="74"/>
  <c r="X34" i="74"/>
  <c r="P34" i="74"/>
  <c r="N34" i="74"/>
  <c r="D34" i="74"/>
  <c r="L34" i="74" s="1"/>
  <c r="B34" i="74"/>
  <c r="Z33" i="74"/>
  <c r="P33" i="74"/>
  <c r="X33" i="74" s="1"/>
  <c r="N33" i="74"/>
  <c r="L33" i="74"/>
  <c r="D33" i="74"/>
  <c r="B33" i="74"/>
  <c r="Z32" i="74"/>
  <c r="X32" i="74"/>
  <c r="P32" i="74"/>
  <c r="N32" i="74"/>
  <c r="D32" i="74"/>
  <c r="L32" i="74" s="1"/>
  <c r="B32" i="74"/>
  <c r="Z31" i="74"/>
  <c r="P31" i="74"/>
  <c r="X31" i="74" s="1"/>
  <c r="N31" i="74"/>
  <c r="L31" i="74"/>
  <c r="D31" i="74"/>
  <c r="B31" i="74"/>
  <c r="Z30" i="74"/>
  <c r="X30" i="74"/>
  <c r="P30" i="74"/>
  <c r="N30" i="74"/>
  <c r="L30" i="74"/>
  <c r="D30" i="74"/>
  <c r="B30" i="74"/>
  <c r="Z29" i="74"/>
  <c r="P29" i="74"/>
  <c r="X29" i="74" s="1"/>
  <c r="N29" i="74"/>
  <c r="L29" i="74"/>
  <c r="D29" i="74"/>
  <c r="B29" i="74"/>
  <c r="Z28" i="74"/>
  <c r="P28" i="74"/>
  <c r="X28" i="74" s="1"/>
  <c r="N28" i="74"/>
  <c r="L28" i="74"/>
  <c r="D28" i="74"/>
  <c r="B28" i="74"/>
  <c r="Z27" i="74"/>
  <c r="P27" i="74"/>
  <c r="X27" i="74" s="1"/>
  <c r="N27" i="74"/>
  <c r="L27" i="74"/>
  <c r="D27" i="74"/>
  <c r="B27" i="74"/>
  <c r="Z26" i="74"/>
  <c r="P26" i="74"/>
  <c r="X26" i="74" s="1"/>
  <c r="N26" i="74"/>
  <c r="D26" i="74"/>
  <c r="L26" i="74" s="1"/>
  <c r="B26" i="74"/>
  <c r="Z25" i="74"/>
  <c r="P25" i="74"/>
  <c r="X25" i="74" s="1"/>
  <c r="N25" i="74"/>
  <c r="D25" i="74"/>
  <c r="L25" i="74" s="1"/>
  <c r="B25" i="74"/>
  <c r="Z24" i="74"/>
  <c r="X24" i="74"/>
  <c r="P24" i="74"/>
  <c r="N24" i="74"/>
  <c r="D24" i="74"/>
  <c r="L24" i="74" s="1"/>
  <c r="B24" i="74"/>
  <c r="Z23" i="74"/>
  <c r="P23" i="74"/>
  <c r="X23" i="74" s="1"/>
  <c r="N23" i="74"/>
  <c r="L23" i="74"/>
  <c r="D23" i="74"/>
  <c r="B23" i="74"/>
  <c r="Z22" i="74"/>
  <c r="X22" i="74"/>
  <c r="P22" i="74"/>
  <c r="N22" i="74"/>
  <c r="D22" i="74"/>
  <c r="L22" i="74" s="1"/>
  <c r="B22" i="74"/>
  <c r="Z21" i="74"/>
  <c r="X21" i="74"/>
  <c r="P21" i="74"/>
  <c r="N21" i="74"/>
  <c r="L21" i="74"/>
  <c r="D21" i="74"/>
  <c r="B21" i="74"/>
  <c r="Z20" i="74"/>
  <c r="X20" i="74"/>
  <c r="P20" i="74"/>
  <c r="N20" i="74"/>
  <c r="D20" i="74"/>
  <c r="L20" i="74" s="1"/>
  <c r="B20" i="74"/>
  <c r="Z19" i="74"/>
  <c r="P19" i="74"/>
  <c r="X19" i="74" s="1"/>
  <c r="N19" i="74"/>
  <c r="L19" i="74"/>
  <c r="D19" i="74"/>
  <c r="B19" i="74"/>
  <c r="Z18" i="74"/>
  <c r="X18" i="74"/>
  <c r="P18" i="74"/>
  <c r="N18" i="74"/>
  <c r="L18" i="74"/>
  <c r="D18" i="74"/>
  <c r="B18" i="74"/>
  <c r="Z17" i="74"/>
  <c r="P17" i="74"/>
  <c r="X17" i="74" s="1"/>
  <c r="N17" i="74"/>
  <c r="L17" i="74"/>
  <c r="D17" i="74"/>
  <c r="B17" i="74"/>
  <c r="Z16" i="74"/>
  <c r="P16" i="74"/>
  <c r="X16" i="74" s="1"/>
  <c r="N16" i="74"/>
  <c r="L16" i="74"/>
  <c r="D16" i="74"/>
  <c r="B16" i="74"/>
  <c r="Z15" i="74"/>
  <c r="P15" i="74"/>
  <c r="X15" i="74" s="1"/>
  <c r="N15" i="74"/>
  <c r="L15" i="74"/>
  <c r="D15" i="74"/>
  <c r="B15" i="74"/>
  <c r="Z14" i="74"/>
  <c r="X14" i="74"/>
  <c r="P14" i="74"/>
  <c r="N14" i="74"/>
  <c r="D14" i="74"/>
  <c r="L14" i="74" s="1"/>
  <c r="B14" i="74"/>
  <c r="Z13" i="74"/>
  <c r="P13" i="74"/>
  <c r="X13" i="74" s="1"/>
  <c r="D13" i="74"/>
  <c r="B13" i="74"/>
  <c r="T12" i="74"/>
  <c r="V119" i="74" s="1"/>
  <c r="H12" i="74"/>
  <c r="J114" i="74" s="1"/>
  <c r="D6" i="74"/>
  <c r="D4" i="74"/>
  <c r="V67" i="72"/>
  <c r="V64" i="72"/>
  <c r="Z62" i="72"/>
  <c r="X62" i="72"/>
  <c r="V62" i="72"/>
  <c r="N62" i="72"/>
  <c r="L62" i="72"/>
  <c r="X58" i="72"/>
  <c r="T58" i="72"/>
  <c r="Z58" i="72" s="1"/>
  <c r="P58" i="72"/>
  <c r="N58" i="72"/>
  <c r="H58" i="72"/>
  <c r="D58" i="72"/>
  <c r="L58" i="72" s="1"/>
  <c r="Z56" i="72"/>
  <c r="X56" i="72"/>
  <c r="N56" i="72"/>
  <c r="L56" i="72"/>
  <c r="B56" i="72"/>
  <c r="X55" i="72"/>
  <c r="Z55" i="72" s="1"/>
  <c r="V55" i="72"/>
  <c r="N55" i="72"/>
  <c r="L55" i="72"/>
  <c r="B55" i="72"/>
  <c r="V54" i="72"/>
  <c r="T54" i="72"/>
  <c r="P54" i="72"/>
  <c r="X54" i="72" s="1"/>
  <c r="Z54" i="72" s="1"/>
  <c r="N54" i="72"/>
  <c r="L54" i="72"/>
  <c r="H54" i="72"/>
  <c r="D54" i="72"/>
  <c r="B54" i="72"/>
  <c r="Z53" i="72"/>
  <c r="X53" i="72"/>
  <c r="V53" i="72"/>
  <c r="N53" i="72"/>
  <c r="L53" i="72"/>
  <c r="B53" i="72"/>
  <c r="X52" i="72"/>
  <c r="Z52" i="72" s="1"/>
  <c r="V52" i="72"/>
  <c r="L52" i="72"/>
  <c r="N52" i="72" s="1"/>
  <c r="F52" i="72"/>
  <c r="B52" i="72"/>
  <c r="Z51" i="72"/>
  <c r="X51" i="72"/>
  <c r="V51" i="72"/>
  <c r="N51" i="72"/>
  <c r="L51" i="72"/>
  <c r="B51" i="72"/>
  <c r="V50" i="72"/>
  <c r="T50" i="72"/>
  <c r="P50" i="72"/>
  <c r="X50" i="72" s="1"/>
  <c r="Z50" i="72" s="1"/>
  <c r="L50" i="72"/>
  <c r="H50" i="72"/>
  <c r="D50" i="72"/>
  <c r="B50" i="72"/>
  <c r="X49" i="72"/>
  <c r="Z49" i="72" s="1"/>
  <c r="V49" i="72"/>
  <c r="N49" i="72"/>
  <c r="L49" i="72"/>
  <c r="F49" i="72"/>
  <c r="B49" i="72"/>
  <c r="V48" i="72"/>
  <c r="T48" i="72"/>
  <c r="P48" i="72"/>
  <c r="X48" i="72" s="1"/>
  <c r="H48" i="72"/>
  <c r="D48" i="72"/>
  <c r="B48" i="72"/>
  <c r="X47" i="72"/>
  <c r="Z47" i="72" s="1"/>
  <c r="V47" i="72"/>
  <c r="N47" i="72"/>
  <c r="L47" i="72"/>
  <c r="J47" i="72"/>
  <c r="B47" i="72"/>
  <c r="X46" i="72"/>
  <c r="Z46" i="72" s="1"/>
  <c r="V46" i="72"/>
  <c r="T46" i="72"/>
  <c r="P46" i="72"/>
  <c r="N46" i="72"/>
  <c r="L46" i="72"/>
  <c r="H46" i="72"/>
  <c r="D46" i="72"/>
  <c r="B46" i="72"/>
  <c r="Z45" i="72"/>
  <c r="X45" i="72"/>
  <c r="V45" i="72"/>
  <c r="N45" i="72"/>
  <c r="L45" i="72"/>
  <c r="B45" i="72"/>
  <c r="X44" i="72"/>
  <c r="V44" i="72"/>
  <c r="T44" i="72"/>
  <c r="Z44" i="72" s="1"/>
  <c r="P44" i="72"/>
  <c r="N44" i="72"/>
  <c r="J44" i="72"/>
  <c r="H44" i="72"/>
  <c r="L44" i="72" s="1"/>
  <c r="D44" i="72"/>
  <c r="B44" i="72"/>
  <c r="X43" i="72"/>
  <c r="Z43" i="72" s="1"/>
  <c r="V43" i="72"/>
  <c r="L43" i="72"/>
  <c r="N43" i="72" s="1"/>
  <c r="F43" i="72"/>
  <c r="B43" i="72"/>
  <c r="T42" i="72"/>
  <c r="P42" i="72"/>
  <c r="H42" i="72"/>
  <c r="D42" i="72"/>
  <c r="L42" i="72" s="1"/>
  <c r="B42" i="72"/>
  <c r="Z41" i="72"/>
  <c r="X41" i="72"/>
  <c r="V41" i="72"/>
  <c r="N41" i="72"/>
  <c r="L41" i="72"/>
  <c r="B41" i="72"/>
  <c r="Z40" i="72"/>
  <c r="X40" i="72"/>
  <c r="N40" i="72"/>
  <c r="L40" i="72"/>
  <c r="J40" i="72"/>
  <c r="B40" i="72"/>
  <c r="Z39" i="72"/>
  <c r="X39" i="72"/>
  <c r="V39" i="72"/>
  <c r="N39" i="72"/>
  <c r="L39" i="72"/>
  <c r="J39" i="72"/>
  <c r="B39" i="72"/>
  <c r="Z38" i="72"/>
  <c r="X38" i="72"/>
  <c r="V38" i="72"/>
  <c r="N38" i="72"/>
  <c r="L38" i="72"/>
  <c r="J38" i="72"/>
  <c r="B38" i="72"/>
  <c r="Z37" i="72"/>
  <c r="X37" i="72"/>
  <c r="V37" i="72"/>
  <c r="N37" i="72"/>
  <c r="L37" i="72"/>
  <c r="B37" i="72"/>
  <c r="Z36" i="72"/>
  <c r="X36" i="72"/>
  <c r="N36" i="72"/>
  <c r="L36" i="72"/>
  <c r="J36" i="72"/>
  <c r="B36" i="72"/>
  <c r="Z35" i="72"/>
  <c r="X35" i="72"/>
  <c r="V35" i="72"/>
  <c r="N35" i="72"/>
  <c r="L35" i="72"/>
  <c r="B35" i="72"/>
  <c r="Z34" i="72"/>
  <c r="X34" i="72"/>
  <c r="V34" i="72"/>
  <c r="N34" i="72"/>
  <c r="L34" i="72"/>
  <c r="J34" i="72"/>
  <c r="F34" i="72"/>
  <c r="B34" i="72"/>
  <c r="Z33" i="72"/>
  <c r="X33" i="72"/>
  <c r="V33" i="72"/>
  <c r="N33" i="72"/>
  <c r="L33" i="72"/>
  <c r="B33" i="72"/>
  <c r="X32" i="72"/>
  <c r="Z32" i="72" s="1"/>
  <c r="L32" i="72"/>
  <c r="N32" i="72" s="1"/>
  <c r="J32" i="72"/>
  <c r="B32" i="72"/>
  <c r="V31" i="72"/>
  <c r="T31" i="72"/>
  <c r="P31" i="72"/>
  <c r="J31" i="72"/>
  <c r="H31" i="72"/>
  <c r="D31" i="72"/>
  <c r="B31" i="72"/>
  <c r="X30" i="72"/>
  <c r="Z30" i="72" s="1"/>
  <c r="V30" i="72"/>
  <c r="L30" i="72"/>
  <c r="N30" i="72" s="1"/>
  <c r="B30" i="72"/>
  <c r="Z29" i="72"/>
  <c r="X29" i="72"/>
  <c r="V29" i="72"/>
  <c r="N29" i="72"/>
  <c r="L29" i="72"/>
  <c r="J29" i="72"/>
  <c r="B29" i="72"/>
  <c r="X28" i="72"/>
  <c r="Z28" i="72" s="1"/>
  <c r="V28" i="72"/>
  <c r="L28" i="72"/>
  <c r="N28" i="72" s="1"/>
  <c r="J28" i="72"/>
  <c r="F28" i="72"/>
  <c r="B28" i="72"/>
  <c r="Z27" i="72"/>
  <c r="X27" i="72"/>
  <c r="V27" i="72"/>
  <c r="N27" i="72"/>
  <c r="L27" i="72"/>
  <c r="J27" i="72"/>
  <c r="B27" i="72"/>
  <c r="Z26" i="72"/>
  <c r="X26" i="72"/>
  <c r="V26" i="72"/>
  <c r="R26" i="72"/>
  <c r="L26" i="72"/>
  <c r="N26" i="72" s="1"/>
  <c r="B26" i="72"/>
  <c r="Z25" i="72"/>
  <c r="X25" i="72"/>
  <c r="V25" i="72"/>
  <c r="R25" i="72"/>
  <c r="N25" i="72"/>
  <c r="L25" i="72"/>
  <c r="B25" i="72"/>
  <c r="X24" i="72"/>
  <c r="Z24" i="72" s="1"/>
  <c r="V24" i="72"/>
  <c r="L24" i="72"/>
  <c r="N24" i="72" s="1"/>
  <c r="B24" i="72"/>
  <c r="Z23" i="72"/>
  <c r="X23" i="72"/>
  <c r="V23" i="72"/>
  <c r="L23" i="72"/>
  <c r="N23" i="72" s="1"/>
  <c r="J23" i="72"/>
  <c r="B23" i="72"/>
  <c r="Z22" i="72"/>
  <c r="X22" i="72"/>
  <c r="V22" i="72"/>
  <c r="L22" i="72"/>
  <c r="N22" i="72" s="1"/>
  <c r="F22" i="72"/>
  <c r="B22" i="72"/>
  <c r="V21" i="72"/>
  <c r="T21" i="72"/>
  <c r="P21" i="72"/>
  <c r="N21" i="72"/>
  <c r="J21" i="72"/>
  <c r="H21" i="72"/>
  <c r="D21" i="72"/>
  <c r="L21" i="72" s="1"/>
  <c r="B21" i="72"/>
  <c r="V20" i="72"/>
  <c r="T20" i="72"/>
  <c r="P20" i="72"/>
  <c r="X20" i="72" s="1"/>
  <c r="L20" i="72"/>
  <c r="H20" i="72"/>
  <c r="D20" i="72"/>
  <c r="V18" i="72"/>
  <c r="T18" i="72"/>
  <c r="Z18" i="72" s="1"/>
  <c r="H18" i="72"/>
  <c r="Z16" i="72"/>
  <c r="X16" i="72"/>
  <c r="V16" i="72"/>
  <c r="N16" i="72"/>
  <c r="L16" i="72"/>
  <c r="B16" i="72"/>
  <c r="Z15" i="72"/>
  <c r="V15" i="72"/>
  <c r="T15" i="72"/>
  <c r="P15" i="72"/>
  <c r="X15" i="72" s="1"/>
  <c r="N15" i="72"/>
  <c r="L15" i="72"/>
  <c r="J15" i="72"/>
  <c r="H15" i="72"/>
  <c r="D15" i="72"/>
  <c r="Z13" i="72"/>
  <c r="P13" i="72"/>
  <c r="P12" i="72" s="1"/>
  <c r="N13" i="72"/>
  <c r="D13" i="72"/>
  <c r="L13" i="72" s="1"/>
  <c r="B13" i="72"/>
  <c r="Z12" i="72"/>
  <c r="T12" i="72"/>
  <c r="V60" i="72" s="1"/>
  <c r="H12" i="72"/>
  <c r="J55" i="72" s="1"/>
  <c r="D12" i="72"/>
  <c r="D6" i="72"/>
  <c r="D4" i="72"/>
  <c r="X101" i="70"/>
  <c r="Z101" i="70" s="1"/>
  <c r="V101" i="70"/>
  <c r="L101" i="70"/>
  <c r="N101" i="70" s="1"/>
  <c r="Z97" i="70"/>
  <c r="X97" i="70"/>
  <c r="P97" i="70"/>
  <c r="N97" i="70"/>
  <c r="L97" i="70"/>
  <c r="D97" i="70"/>
  <c r="B97" i="70"/>
  <c r="V96" i="70"/>
  <c r="P96" i="70"/>
  <c r="P94" i="70" s="1"/>
  <c r="L96" i="70"/>
  <c r="N96" i="70" s="1"/>
  <c r="D96" i="70"/>
  <c r="B96" i="70"/>
  <c r="Z95" i="70"/>
  <c r="X95" i="70"/>
  <c r="P95" i="70"/>
  <c r="N95" i="70"/>
  <c r="D95" i="70"/>
  <c r="B95" i="70"/>
  <c r="X94" i="70"/>
  <c r="T94" i="70"/>
  <c r="H94" i="70"/>
  <c r="Z92" i="70"/>
  <c r="X92" i="70"/>
  <c r="N92" i="70"/>
  <c r="L92" i="70"/>
  <c r="B92" i="70"/>
  <c r="Z91" i="70"/>
  <c r="T91" i="70"/>
  <c r="P91" i="70"/>
  <c r="X91" i="70" s="1"/>
  <c r="H91" i="70"/>
  <c r="N91" i="70" s="1"/>
  <c r="D91" i="70"/>
  <c r="B91" i="70"/>
  <c r="Z90" i="70"/>
  <c r="X90" i="70"/>
  <c r="N90" i="70"/>
  <c r="L90" i="70"/>
  <c r="J90" i="70"/>
  <c r="B90" i="70"/>
  <c r="X89" i="70"/>
  <c r="Z89" i="70" s="1"/>
  <c r="L89" i="70"/>
  <c r="N89" i="70" s="1"/>
  <c r="B89" i="70"/>
  <c r="V88" i="70"/>
  <c r="T88" i="70"/>
  <c r="P88" i="70"/>
  <c r="X88" i="70" s="1"/>
  <c r="Z88" i="70" s="1"/>
  <c r="H88" i="70"/>
  <c r="D88" i="70"/>
  <c r="L88" i="70" s="1"/>
  <c r="N88" i="70" s="1"/>
  <c r="B88" i="70"/>
  <c r="X87" i="70"/>
  <c r="Z87" i="70" s="1"/>
  <c r="L87" i="70"/>
  <c r="N87" i="70" s="1"/>
  <c r="B87" i="70"/>
  <c r="Z86" i="70"/>
  <c r="X86" i="70"/>
  <c r="V86" i="70"/>
  <c r="N86" i="70"/>
  <c r="L86" i="70"/>
  <c r="J86" i="70"/>
  <c r="B86" i="70"/>
  <c r="X85" i="70"/>
  <c r="Z85" i="70" s="1"/>
  <c r="L85" i="70"/>
  <c r="N85" i="70" s="1"/>
  <c r="B85" i="70"/>
  <c r="X84" i="70"/>
  <c r="Z84" i="70" s="1"/>
  <c r="V84" i="70"/>
  <c r="T84" i="70"/>
  <c r="P84" i="70"/>
  <c r="L84" i="70"/>
  <c r="N84" i="70" s="1"/>
  <c r="H84" i="70"/>
  <c r="D84" i="70"/>
  <c r="B84" i="70"/>
  <c r="Z83" i="70"/>
  <c r="X83" i="70"/>
  <c r="L83" i="70"/>
  <c r="N83" i="70" s="1"/>
  <c r="B83" i="70"/>
  <c r="T82" i="70"/>
  <c r="V82" i="70" s="1"/>
  <c r="P82" i="70"/>
  <c r="X82" i="70" s="1"/>
  <c r="Z82" i="70" s="1"/>
  <c r="N82" i="70"/>
  <c r="H82" i="70"/>
  <c r="L82" i="70" s="1"/>
  <c r="D82" i="70"/>
  <c r="B82" i="70"/>
  <c r="X81" i="70"/>
  <c r="Z81" i="70" s="1"/>
  <c r="V81" i="70"/>
  <c r="L81" i="70"/>
  <c r="N81" i="70" s="1"/>
  <c r="J81" i="70"/>
  <c r="B81" i="70"/>
  <c r="Z80" i="70"/>
  <c r="X80" i="70"/>
  <c r="N80" i="70"/>
  <c r="L80" i="70"/>
  <c r="J80" i="70"/>
  <c r="B80" i="70"/>
  <c r="T79" i="70"/>
  <c r="P79" i="70"/>
  <c r="L79" i="70"/>
  <c r="H79" i="70"/>
  <c r="D79" i="70"/>
  <c r="B79" i="70"/>
  <c r="Z78" i="70"/>
  <c r="X78" i="70"/>
  <c r="V78" i="70"/>
  <c r="N78" i="70"/>
  <c r="L78" i="70"/>
  <c r="J78" i="70"/>
  <c r="B78" i="70"/>
  <c r="T77" i="70"/>
  <c r="P77" i="70"/>
  <c r="X77" i="70" s="1"/>
  <c r="H77" i="70"/>
  <c r="D77" i="70"/>
  <c r="L77" i="70" s="1"/>
  <c r="B77" i="70"/>
  <c r="Z76" i="70"/>
  <c r="X76" i="70"/>
  <c r="V76" i="70"/>
  <c r="N76" i="70"/>
  <c r="L76" i="70"/>
  <c r="J76" i="70"/>
  <c r="B76" i="70"/>
  <c r="V75" i="70"/>
  <c r="T75" i="70"/>
  <c r="Z75" i="70" s="1"/>
  <c r="P75" i="70"/>
  <c r="N75" i="70"/>
  <c r="H75" i="70"/>
  <c r="D75" i="70"/>
  <c r="L75" i="70" s="1"/>
  <c r="B75" i="70"/>
  <c r="X74" i="70"/>
  <c r="Z74" i="70" s="1"/>
  <c r="N74" i="70"/>
  <c r="L74" i="70"/>
  <c r="B74" i="70"/>
  <c r="V73" i="70"/>
  <c r="T73" i="70"/>
  <c r="P73" i="70"/>
  <c r="X73" i="70" s="1"/>
  <c r="H73" i="70"/>
  <c r="D73" i="70"/>
  <c r="B73" i="70"/>
  <c r="Z72" i="70"/>
  <c r="X72" i="70"/>
  <c r="V72" i="70"/>
  <c r="N72" i="70"/>
  <c r="L72" i="70"/>
  <c r="B72" i="70"/>
  <c r="X71" i="70"/>
  <c r="T71" i="70"/>
  <c r="P71" i="70"/>
  <c r="H71" i="70"/>
  <c r="D71" i="70"/>
  <c r="B71" i="70"/>
  <c r="Z70" i="70"/>
  <c r="X70" i="70"/>
  <c r="V70" i="70"/>
  <c r="N70" i="70"/>
  <c r="L70" i="70"/>
  <c r="B70" i="70"/>
  <c r="T69" i="70"/>
  <c r="P69" i="70"/>
  <c r="X69" i="70" s="1"/>
  <c r="Z69" i="70" s="1"/>
  <c r="H69" i="70"/>
  <c r="D69" i="70"/>
  <c r="L69" i="70" s="1"/>
  <c r="N69" i="70" s="1"/>
  <c r="B69" i="70"/>
  <c r="Z68" i="70"/>
  <c r="X68" i="70"/>
  <c r="V68" i="70"/>
  <c r="L68" i="70"/>
  <c r="N68" i="70" s="1"/>
  <c r="J68" i="70"/>
  <c r="B68" i="70"/>
  <c r="V67" i="70"/>
  <c r="T67" i="70"/>
  <c r="P67" i="70"/>
  <c r="X67" i="70" s="1"/>
  <c r="Z67" i="70" s="1"/>
  <c r="H67" i="70"/>
  <c r="D67" i="70"/>
  <c r="L67" i="70" s="1"/>
  <c r="B67" i="70"/>
  <c r="X66" i="70"/>
  <c r="Z66" i="70" s="1"/>
  <c r="N66" i="70"/>
  <c r="L66" i="70"/>
  <c r="J66" i="70"/>
  <c r="B66" i="70"/>
  <c r="X65" i="70"/>
  <c r="V65" i="70"/>
  <c r="T65" i="70"/>
  <c r="P65" i="70"/>
  <c r="H65" i="70"/>
  <c r="D65" i="70"/>
  <c r="L65" i="70" s="1"/>
  <c r="B65" i="70"/>
  <c r="Z64" i="70"/>
  <c r="X64" i="70"/>
  <c r="V64" i="70"/>
  <c r="N64" i="70"/>
  <c r="L64" i="70"/>
  <c r="B64" i="70"/>
  <c r="Z63" i="70"/>
  <c r="X63" i="70"/>
  <c r="V63" i="70"/>
  <c r="N63" i="70"/>
  <c r="L63" i="70"/>
  <c r="J63" i="70"/>
  <c r="B63" i="70"/>
  <c r="Z62" i="70"/>
  <c r="X62" i="70"/>
  <c r="N62" i="70"/>
  <c r="L62" i="70"/>
  <c r="J62" i="70"/>
  <c r="B62" i="70"/>
  <c r="Z61" i="70"/>
  <c r="X61" i="70"/>
  <c r="L61" i="70"/>
  <c r="N61" i="70" s="1"/>
  <c r="B61" i="70"/>
  <c r="Z60" i="70"/>
  <c r="X60" i="70"/>
  <c r="V60" i="70"/>
  <c r="N60" i="70"/>
  <c r="L60" i="70"/>
  <c r="J60" i="70"/>
  <c r="B60" i="70"/>
  <c r="X59" i="70"/>
  <c r="Z59" i="70" s="1"/>
  <c r="L59" i="70"/>
  <c r="N59" i="70" s="1"/>
  <c r="J59" i="70"/>
  <c r="B59" i="70"/>
  <c r="Z58" i="70"/>
  <c r="X58" i="70"/>
  <c r="V58" i="70"/>
  <c r="N58" i="70"/>
  <c r="L58" i="70"/>
  <c r="B58" i="70"/>
  <c r="Z57" i="70"/>
  <c r="X57" i="70"/>
  <c r="N57" i="70"/>
  <c r="L57" i="70"/>
  <c r="B57" i="70"/>
  <c r="X56" i="70"/>
  <c r="Z56" i="70" s="1"/>
  <c r="V56" i="70"/>
  <c r="N56" i="70"/>
  <c r="L56" i="70"/>
  <c r="B56" i="70"/>
  <c r="Z55" i="70"/>
  <c r="X55" i="70"/>
  <c r="V55" i="70"/>
  <c r="N55" i="70"/>
  <c r="L55" i="70"/>
  <c r="B55" i="70"/>
  <c r="T54" i="70"/>
  <c r="P54" i="70"/>
  <c r="L54" i="70"/>
  <c r="N54" i="70" s="1"/>
  <c r="H54" i="70"/>
  <c r="D54" i="70"/>
  <c r="B54" i="70"/>
  <c r="X53" i="70"/>
  <c r="Z53" i="70" s="1"/>
  <c r="N53" i="70"/>
  <c r="L53" i="70"/>
  <c r="B53" i="70"/>
  <c r="Z52" i="70"/>
  <c r="X52" i="70"/>
  <c r="V52" i="70"/>
  <c r="L52" i="70"/>
  <c r="N52" i="70" s="1"/>
  <c r="B52" i="70"/>
  <c r="X51" i="70"/>
  <c r="Z51" i="70" s="1"/>
  <c r="V51" i="70"/>
  <c r="L51" i="70"/>
  <c r="N51" i="70" s="1"/>
  <c r="B51" i="70"/>
  <c r="Z50" i="70"/>
  <c r="X50" i="70"/>
  <c r="N50" i="70"/>
  <c r="L50" i="70"/>
  <c r="B50" i="70"/>
  <c r="Z49" i="70"/>
  <c r="X49" i="70"/>
  <c r="V49" i="70"/>
  <c r="N49" i="70"/>
  <c r="L49" i="70"/>
  <c r="B49" i="70"/>
  <c r="Z48" i="70"/>
  <c r="X48" i="70"/>
  <c r="V48" i="70"/>
  <c r="L48" i="70"/>
  <c r="N48" i="70" s="1"/>
  <c r="B48" i="70"/>
  <c r="Z47" i="70"/>
  <c r="X47" i="70"/>
  <c r="V47" i="70"/>
  <c r="L47" i="70"/>
  <c r="N47" i="70" s="1"/>
  <c r="B47" i="70"/>
  <c r="X46" i="70"/>
  <c r="Z46" i="70" s="1"/>
  <c r="V46" i="70"/>
  <c r="L46" i="70"/>
  <c r="N46" i="70" s="1"/>
  <c r="B46" i="70"/>
  <c r="X45" i="70"/>
  <c r="Z45" i="70" s="1"/>
  <c r="V45" i="70"/>
  <c r="N45" i="70"/>
  <c r="L45" i="70"/>
  <c r="B45" i="70"/>
  <c r="Z44" i="70"/>
  <c r="X44" i="70"/>
  <c r="L44" i="70"/>
  <c r="N44" i="70" s="1"/>
  <c r="B44" i="70"/>
  <c r="T43" i="70"/>
  <c r="P43" i="70"/>
  <c r="H43" i="70"/>
  <c r="D43" i="70"/>
  <c r="B43" i="70"/>
  <c r="Z42" i="70"/>
  <c r="X42" i="70"/>
  <c r="V42" i="70"/>
  <c r="T42" i="70"/>
  <c r="P42" i="70"/>
  <c r="H42" i="70"/>
  <c r="D42" i="70"/>
  <c r="Z38" i="70"/>
  <c r="X38" i="70"/>
  <c r="V38" i="70"/>
  <c r="N38" i="70"/>
  <c r="L38" i="70"/>
  <c r="B38" i="70"/>
  <c r="Z37" i="70"/>
  <c r="X37" i="70"/>
  <c r="V37" i="70"/>
  <c r="N37" i="70"/>
  <c r="L37" i="70"/>
  <c r="B37" i="70"/>
  <c r="Z36" i="70"/>
  <c r="X36" i="70"/>
  <c r="V36" i="70"/>
  <c r="N36" i="70"/>
  <c r="L36" i="70"/>
  <c r="J36" i="70"/>
  <c r="B36" i="70"/>
  <c r="Z35" i="70"/>
  <c r="X35" i="70"/>
  <c r="N35" i="70"/>
  <c r="L35" i="70"/>
  <c r="J35" i="70"/>
  <c r="B35" i="70"/>
  <c r="Z34" i="70"/>
  <c r="X34" i="70"/>
  <c r="V34" i="70"/>
  <c r="N34" i="70"/>
  <c r="L34" i="70"/>
  <c r="J34" i="70"/>
  <c r="B34" i="70"/>
  <c r="Z33" i="70"/>
  <c r="X33" i="70"/>
  <c r="V33" i="70"/>
  <c r="N33" i="70"/>
  <c r="L33" i="70"/>
  <c r="B33" i="70"/>
  <c r="Z32" i="70"/>
  <c r="X32" i="70"/>
  <c r="N32" i="70"/>
  <c r="L32" i="70"/>
  <c r="J32" i="70"/>
  <c r="B32" i="70"/>
  <c r="Z31" i="70"/>
  <c r="X31" i="70"/>
  <c r="N31" i="70"/>
  <c r="L31" i="70"/>
  <c r="B31" i="70"/>
  <c r="Z30" i="70"/>
  <c r="X30" i="70"/>
  <c r="V30" i="70"/>
  <c r="N30" i="70"/>
  <c r="L30" i="70"/>
  <c r="J30" i="70"/>
  <c r="B30" i="70"/>
  <c r="Z29" i="70"/>
  <c r="X29" i="70"/>
  <c r="V29" i="70"/>
  <c r="N29" i="70"/>
  <c r="L29" i="70"/>
  <c r="B29" i="70"/>
  <c r="X28" i="70"/>
  <c r="Z28" i="70" s="1"/>
  <c r="V28" i="70"/>
  <c r="N28" i="70"/>
  <c r="L28" i="70"/>
  <c r="B28" i="70"/>
  <c r="T27" i="70"/>
  <c r="P27" i="70"/>
  <c r="X27" i="70" s="1"/>
  <c r="J27" i="70"/>
  <c r="H27" i="70"/>
  <c r="D27" i="70"/>
  <c r="L27" i="70" s="1"/>
  <c r="N27" i="70" s="1"/>
  <c r="Z25" i="70"/>
  <c r="X25" i="70"/>
  <c r="P25" i="70"/>
  <c r="N25" i="70"/>
  <c r="D25" i="70"/>
  <c r="L25" i="70" s="1"/>
  <c r="B25" i="70"/>
  <c r="Z24" i="70"/>
  <c r="X24" i="70"/>
  <c r="P24" i="70"/>
  <c r="N24" i="70"/>
  <c r="L24" i="70"/>
  <c r="D24" i="70"/>
  <c r="B24" i="70"/>
  <c r="Z23" i="70"/>
  <c r="X23" i="70"/>
  <c r="P23" i="70"/>
  <c r="N23" i="70"/>
  <c r="L23" i="70"/>
  <c r="D23" i="70"/>
  <c r="B23" i="70"/>
  <c r="Z22" i="70"/>
  <c r="P22" i="70"/>
  <c r="X22" i="70" s="1"/>
  <c r="N22" i="70"/>
  <c r="L22" i="70"/>
  <c r="D22" i="70"/>
  <c r="B22" i="70"/>
  <c r="Z21" i="70"/>
  <c r="P21" i="70"/>
  <c r="X21" i="70" s="1"/>
  <c r="N21" i="70"/>
  <c r="L21" i="70"/>
  <c r="D21" i="70"/>
  <c r="B21" i="70"/>
  <c r="Z20" i="70"/>
  <c r="P20" i="70"/>
  <c r="X20" i="70" s="1"/>
  <c r="N20" i="70"/>
  <c r="D20" i="70"/>
  <c r="L20" i="70" s="1"/>
  <c r="B20" i="70"/>
  <c r="Z19" i="70"/>
  <c r="X19" i="70"/>
  <c r="P19" i="70"/>
  <c r="N19" i="70"/>
  <c r="L19" i="70"/>
  <c r="D19" i="70"/>
  <c r="B19" i="70"/>
  <c r="Z18" i="70"/>
  <c r="P18" i="70"/>
  <c r="X18" i="70" s="1"/>
  <c r="N18" i="70"/>
  <c r="L18" i="70"/>
  <c r="D18" i="70"/>
  <c r="B18" i="70"/>
  <c r="Z17" i="70"/>
  <c r="P17" i="70"/>
  <c r="X17" i="70" s="1"/>
  <c r="N17" i="70"/>
  <c r="D17" i="70"/>
  <c r="L17" i="70" s="1"/>
  <c r="B17" i="70"/>
  <c r="Z16" i="70"/>
  <c r="X16" i="70"/>
  <c r="P16" i="70"/>
  <c r="N16" i="70"/>
  <c r="D16" i="70"/>
  <c r="L16" i="70" s="1"/>
  <c r="B16" i="70"/>
  <c r="Z15" i="70"/>
  <c r="X15" i="70"/>
  <c r="P15" i="70"/>
  <c r="N15" i="70"/>
  <c r="D15" i="70"/>
  <c r="L15" i="70" s="1"/>
  <c r="B15" i="70"/>
  <c r="Z14" i="70"/>
  <c r="P14" i="70"/>
  <c r="X14" i="70" s="1"/>
  <c r="N14" i="70"/>
  <c r="L14" i="70"/>
  <c r="D14" i="70"/>
  <c r="B14" i="70"/>
  <c r="X13" i="70"/>
  <c r="Z13" i="70" s="1"/>
  <c r="P13" i="70"/>
  <c r="L13" i="70"/>
  <c r="N13" i="70" s="1"/>
  <c r="D13" i="70"/>
  <c r="B13" i="70"/>
  <c r="T12" i="70"/>
  <c r="H12" i="70"/>
  <c r="J97" i="70" s="1"/>
  <c r="D6" i="70"/>
  <c r="D4" i="70"/>
  <c r="J59" i="69"/>
  <c r="F59" i="69"/>
  <c r="R56" i="69"/>
  <c r="J56" i="69"/>
  <c r="F56" i="69"/>
  <c r="Z54" i="69"/>
  <c r="X54" i="69"/>
  <c r="N54" i="69"/>
  <c r="L54" i="69"/>
  <c r="J52" i="69"/>
  <c r="F52" i="69"/>
  <c r="Z50" i="69"/>
  <c r="X50" i="69"/>
  <c r="T50" i="69"/>
  <c r="P50" i="69"/>
  <c r="J50" i="69"/>
  <c r="H50" i="69"/>
  <c r="N50" i="69" s="1"/>
  <c r="F50" i="69"/>
  <c r="D50" i="69"/>
  <c r="Z48" i="69"/>
  <c r="X48" i="69"/>
  <c r="N48" i="69"/>
  <c r="L48" i="69"/>
  <c r="F48" i="69"/>
  <c r="B48" i="69"/>
  <c r="T47" i="69"/>
  <c r="P47" i="69"/>
  <c r="N47" i="69"/>
  <c r="H47" i="69"/>
  <c r="F47" i="69"/>
  <c r="D47" i="69"/>
  <c r="L47" i="69" s="1"/>
  <c r="B47" i="69"/>
  <c r="Z46" i="69"/>
  <c r="X46" i="69"/>
  <c r="V46" i="69"/>
  <c r="N46" i="69"/>
  <c r="L46" i="69"/>
  <c r="B46" i="69"/>
  <c r="T45" i="69"/>
  <c r="Z45" i="69" s="1"/>
  <c r="P45" i="69"/>
  <c r="X45" i="69" s="1"/>
  <c r="N45" i="69"/>
  <c r="H45" i="69"/>
  <c r="D45" i="69"/>
  <c r="L45" i="69" s="1"/>
  <c r="B45" i="69"/>
  <c r="Z44" i="69"/>
  <c r="X44" i="69"/>
  <c r="N44" i="69"/>
  <c r="L44" i="69"/>
  <c r="F44" i="69"/>
  <c r="B44" i="69"/>
  <c r="T43" i="69"/>
  <c r="Z43" i="69" s="1"/>
  <c r="P43" i="69"/>
  <c r="L43" i="69"/>
  <c r="J43" i="69"/>
  <c r="H43" i="69"/>
  <c r="N43" i="69" s="1"/>
  <c r="F43" i="69"/>
  <c r="D43" i="69"/>
  <c r="B43" i="69"/>
  <c r="Z42" i="69"/>
  <c r="X42" i="69"/>
  <c r="N42" i="69"/>
  <c r="L42" i="69"/>
  <c r="J42" i="69"/>
  <c r="F42" i="69"/>
  <c r="B42" i="69"/>
  <c r="Z41" i="69"/>
  <c r="T41" i="69"/>
  <c r="P41" i="69"/>
  <c r="X41" i="69" s="1"/>
  <c r="H41" i="69"/>
  <c r="F41" i="69"/>
  <c r="D41" i="69"/>
  <c r="B41" i="69"/>
  <c r="Z40" i="69"/>
  <c r="X40" i="69"/>
  <c r="N40" i="69"/>
  <c r="L40" i="69"/>
  <c r="B40" i="69"/>
  <c r="Z39" i="69"/>
  <c r="T39" i="69"/>
  <c r="P39" i="69"/>
  <c r="X39" i="69" s="1"/>
  <c r="L39" i="69"/>
  <c r="H39" i="69"/>
  <c r="N39" i="69" s="1"/>
  <c r="D39" i="69"/>
  <c r="B39" i="69"/>
  <c r="Z38" i="69"/>
  <c r="X38" i="69"/>
  <c r="N38" i="69"/>
  <c r="L38" i="69"/>
  <c r="J38" i="69"/>
  <c r="F38" i="69"/>
  <c r="B38" i="69"/>
  <c r="Z37" i="69"/>
  <c r="X37" i="69"/>
  <c r="N37" i="69"/>
  <c r="L37" i="69"/>
  <c r="F37" i="69"/>
  <c r="B37" i="69"/>
  <c r="Z36" i="69"/>
  <c r="X36" i="69"/>
  <c r="N36" i="69"/>
  <c r="L36" i="69"/>
  <c r="F36" i="69"/>
  <c r="B36" i="69"/>
  <c r="Z35" i="69"/>
  <c r="X35" i="69"/>
  <c r="N35" i="69"/>
  <c r="L35" i="69"/>
  <c r="F35" i="69"/>
  <c r="B35" i="69"/>
  <c r="Z34" i="69"/>
  <c r="X34" i="69"/>
  <c r="N34" i="69"/>
  <c r="L34" i="69"/>
  <c r="J34" i="69"/>
  <c r="F34" i="69"/>
  <c r="B34" i="69"/>
  <c r="Z33" i="69"/>
  <c r="X33" i="69"/>
  <c r="N33" i="69"/>
  <c r="L33" i="69"/>
  <c r="F33" i="69"/>
  <c r="B33" i="69"/>
  <c r="Z32" i="69"/>
  <c r="X32" i="69"/>
  <c r="V32" i="69"/>
  <c r="N32" i="69"/>
  <c r="L32" i="69"/>
  <c r="F32" i="69"/>
  <c r="B32" i="69"/>
  <c r="Z31" i="69"/>
  <c r="X31" i="69"/>
  <c r="N31" i="69"/>
  <c r="L31" i="69"/>
  <c r="F31" i="69"/>
  <c r="B31" i="69"/>
  <c r="Z30" i="69"/>
  <c r="X30" i="69"/>
  <c r="N30" i="69"/>
  <c r="L30" i="69"/>
  <c r="J30" i="69"/>
  <c r="F30" i="69"/>
  <c r="B30" i="69"/>
  <c r="Z29" i="69"/>
  <c r="X29" i="69"/>
  <c r="N29" i="69"/>
  <c r="L29" i="69"/>
  <c r="F29" i="69"/>
  <c r="B29" i="69"/>
  <c r="Z28" i="69"/>
  <c r="T28" i="69"/>
  <c r="P28" i="69"/>
  <c r="X28" i="69" s="1"/>
  <c r="N28" i="69"/>
  <c r="L28" i="69"/>
  <c r="H28" i="69"/>
  <c r="F28" i="69"/>
  <c r="D28" i="69"/>
  <c r="B28" i="69"/>
  <c r="Z27" i="69"/>
  <c r="X27" i="69"/>
  <c r="N27" i="69"/>
  <c r="L27" i="69"/>
  <c r="F27" i="69"/>
  <c r="B27" i="69"/>
  <c r="Z26" i="69"/>
  <c r="X26" i="69"/>
  <c r="N26" i="69"/>
  <c r="L26" i="69"/>
  <c r="J26" i="69"/>
  <c r="F26" i="69"/>
  <c r="B26" i="69"/>
  <c r="Z25" i="69"/>
  <c r="X25" i="69"/>
  <c r="N25" i="69"/>
  <c r="L25" i="69"/>
  <c r="J25" i="69"/>
  <c r="F25" i="69"/>
  <c r="B25" i="69"/>
  <c r="Z24" i="69"/>
  <c r="X24" i="69"/>
  <c r="N24" i="69"/>
  <c r="L24" i="69"/>
  <c r="F24" i="69"/>
  <c r="B24" i="69"/>
  <c r="Z23" i="69"/>
  <c r="X23" i="69"/>
  <c r="N23" i="69"/>
  <c r="L23" i="69"/>
  <c r="F23" i="69"/>
  <c r="B23" i="69"/>
  <c r="Z22" i="69"/>
  <c r="X22" i="69"/>
  <c r="N22" i="69"/>
  <c r="L22" i="69"/>
  <c r="J22" i="69"/>
  <c r="F22" i="69"/>
  <c r="B22" i="69"/>
  <c r="Z21" i="69"/>
  <c r="X21" i="69"/>
  <c r="N21" i="69"/>
  <c r="L21" i="69"/>
  <c r="J21" i="69"/>
  <c r="F21" i="69"/>
  <c r="B21" i="69"/>
  <c r="Z20" i="69"/>
  <c r="X20" i="69"/>
  <c r="N20" i="69"/>
  <c r="L20" i="69"/>
  <c r="F20" i="69"/>
  <c r="B20" i="69"/>
  <c r="X19" i="69"/>
  <c r="T19" i="69"/>
  <c r="Z19" i="69" s="1"/>
  <c r="P19" i="69"/>
  <c r="N19" i="69"/>
  <c r="H19" i="69"/>
  <c r="F19" i="69"/>
  <c r="D19" i="69"/>
  <c r="L19" i="69" s="1"/>
  <c r="B19" i="69"/>
  <c r="Z18" i="69"/>
  <c r="T18" i="69"/>
  <c r="P18" i="69"/>
  <c r="X18" i="69" s="1"/>
  <c r="N18" i="69"/>
  <c r="H18" i="69"/>
  <c r="F18" i="69"/>
  <c r="D18" i="69"/>
  <c r="L18" i="69" s="1"/>
  <c r="V16" i="69"/>
  <c r="F16" i="69"/>
  <c r="V14" i="69"/>
  <c r="T14" i="69"/>
  <c r="Z14" i="69" s="1"/>
  <c r="P14" i="69"/>
  <c r="H14" i="69"/>
  <c r="F14" i="69"/>
  <c r="D14" i="69"/>
  <c r="L14" i="69" s="1"/>
  <c r="Z12" i="69"/>
  <c r="T12" i="69"/>
  <c r="P12" i="69"/>
  <c r="L12" i="69"/>
  <c r="H12" i="69"/>
  <c r="J46" i="69" s="1"/>
  <c r="D12" i="69"/>
  <c r="F46" i="69" s="1"/>
  <c r="D6" i="69"/>
  <c r="D4" i="69"/>
  <c r="X64" i="68"/>
  <c r="Z64" i="68" s="1"/>
  <c r="V64" i="68"/>
  <c r="L64" i="68"/>
  <c r="N64" i="68" s="1"/>
  <c r="T60" i="68"/>
  <c r="Z60" i="68" s="1"/>
  <c r="P60" i="68"/>
  <c r="X60" i="68" s="1"/>
  <c r="N60" i="68"/>
  <c r="H60" i="68"/>
  <c r="D60" i="68"/>
  <c r="L60" i="68" s="1"/>
  <c r="Z58" i="68"/>
  <c r="X58" i="68"/>
  <c r="N58" i="68"/>
  <c r="L58" i="68"/>
  <c r="B58" i="68"/>
  <c r="Z57" i="68"/>
  <c r="X57" i="68"/>
  <c r="L57" i="68"/>
  <c r="N57" i="68" s="1"/>
  <c r="B57" i="68"/>
  <c r="T56" i="68"/>
  <c r="Z56" i="68" s="1"/>
  <c r="P56" i="68"/>
  <c r="X56" i="68" s="1"/>
  <c r="H56" i="68"/>
  <c r="D56" i="68"/>
  <c r="B56" i="68"/>
  <c r="Z55" i="68"/>
  <c r="X55" i="68"/>
  <c r="V55" i="68"/>
  <c r="N55" i="68"/>
  <c r="L55" i="68"/>
  <c r="B55" i="68"/>
  <c r="Z54" i="68"/>
  <c r="X54" i="68"/>
  <c r="V54" i="68"/>
  <c r="T54" i="68"/>
  <c r="P54" i="68"/>
  <c r="N54" i="68"/>
  <c r="J54" i="68"/>
  <c r="H54" i="68"/>
  <c r="D54" i="68"/>
  <c r="L54" i="68" s="1"/>
  <c r="B54" i="68"/>
  <c r="Z53" i="68"/>
  <c r="X53" i="68"/>
  <c r="N53" i="68"/>
  <c r="L53" i="68"/>
  <c r="B53" i="68"/>
  <c r="Z52" i="68"/>
  <c r="X52" i="68"/>
  <c r="N52" i="68"/>
  <c r="L52" i="68"/>
  <c r="J52" i="68"/>
  <c r="B52" i="68"/>
  <c r="Z51" i="68"/>
  <c r="T51" i="68"/>
  <c r="P51" i="68"/>
  <c r="X51" i="68" s="1"/>
  <c r="H51" i="68"/>
  <c r="N51" i="68" s="1"/>
  <c r="D51" i="68"/>
  <c r="B51" i="68"/>
  <c r="Z50" i="68"/>
  <c r="X50" i="68"/>
  <c r="L50" i="68"/>
  <c r="N50" i="68" s="1"/>
  <c r="J50" i="68"/>
  <c r="B50" i="68"/>
  <c r="T49" i="68"/>
  <c r="X49" i="68" s="1"/>
  <c r="P49" i="68"/>
  <c r="L49" i="68"/>
  <c r="N49" i="68" s="1"/>
  <c r="H49" i="68"/>
  <c r="D49" i="68"/>
  <c r="B49" i="68"/>
  <c r="X48" i="68"/>
  <c r="Z48" i="68" s="1"/>
  <c r="L48" i="68"/>
  <c r="N48" i="68" s="1"/>
  <c r="B48" i="68"/>
  <c r="X47" i="68"/>
  <c r="V47" i="68"/>
  <c r="T47" i="68"/>
  <c r="P47" i="68"/>
  <c r="J47" i="68"/>
  <c r="H47" i="68"/>
  <c r="D47" i="68"/>
  <c r="B47" i="68"/>
  <c r="X46" i="68"/>
  <c r="Z46" i="68" s="1"/>
  <c r="N46" i="68"/>
  <c r="L46" i="68"/>
  <c r="B46" i="68"/>
  <c r="Z45" i="68"/>
  <c r="X45" i="68"/>
  <c r="T45" i="68"/>
  <c r="P45" i="68"/>
  <c r="L45" i="68"/>
  <c r="N45" i="68" s="1"/>
  <c r="H45" i="68"/>
  <c r="D45" i="68"/>
  <c r="B45" i="68"/>
  <c r="Z44" i="68"/>
  <c r="X44" i="68"/>
  <c r="V44" i="68"/>
  <c r="N44" i="68"/>
  <c r="L44" i="68"/>
  <c r="J44" i="68"/>
  <c r="B44" i="68"/>
  <c r="Z43" i="68"/>
  <c r="X43" i="68"/>
  <c r="V43" i="68"/>
  <c r="T43" i="68"/>
  <c r="P43" i="68"/>
  <c r="N43" i="68"/>
  <c r="J43" i="68"/>
  <c r="H43" i="68"/>
  <c r="D43" i="68"/>
  <c r="L43" i="68" s="1"/>
  <c r="B43" i="68"/>
  <c r="Z42" i="68"/>
  <c r="X42" i="68"/>
  <c r="V42" i="68"/>
  <c r="N42" i="68"/>
  <c r="L42" i="68"/>
  <c r="B42" i="68"/>
  <c r="V41" i="68"/>
  <c r="T41" i="68"/>
  <c r="Z41" i="68" s="1"/>
  <c r="P41" i="68"/>
  <c r="J41" i="68"/>
  <c r="H41" i="68"/>
  <c r="N41" i="68" s="1"/>
  <c r="D41" i="68"/>
  <c r="L41" i="68" s="1"/>
  <c r="B41" i="68"/>
  <c r="Z40" i="68"/>
  <c r="X40" i="68"/>
  <c r="V40" i="68"/>
  <c r="N40" i="68"/>
  <c r="L40" i="68"/>
  <c r="B40" i="68"/>
  <c r="Z39" i="68"/>
  <c r="X39" i="68"/>
  <c r="N39" i="68"/>
  <c r="L39" i="68"/>
  <c r="F39" i="68"/>
  <c r="B39" i="68"/>
  <c r="Z38" i="68"/>
  <c r="X38" i="68"/>
  <c r="N38" i="68"/>
  <c r="L38" i="68"/>
  <c r="B38" i="68"/>
  <c r="Z37" i="68"/>
  <c r="X37" i="68"/>
  <c r="N37" i="68"/>
  <c r="L37" i="68"/>
  <c r="B37" i="68"/>
  <c r="Z36" i="68"/>
  <c r="X36" i="68"/>
  <c r="V36" i="68"/>
  <c r="N36" i="68"/>
  <c r="L36" i="68"/>
  <c r="B36" i="68"/>
  <c r="Z35" i="68"/>
  <c r="X35" i="68"/>
  <c r="N35" i="68"/>
  <c r="L35" i="68"/>
  <c r="J35" i="68"/>
  <c r="B35" i="68"/>
  <c r="Z34" i="68"/>
  <c r="X34" i="68"/>
  <c r="N34" i="68"/>
  <c r="L34" i="68"/>
  <c r="B34" i="68"/>
  <c r="Z33" i="68"/>
  <c r="X33" i="68"/>
  <c r="N33" i="68"/>
  <c r="L33" i="68"/>
  <c r="B33" i="68"/>
  <c r="Z32" i="68"/>
  <c r="X32" i="68"/>
  <c r="V32" i="68"/>
  <c r="N32" i="68"/>
  <c r="L32" i="68"/>
  <c r="J32" i="68"/>
  <c r="B32" i="68"/>
  <c r="X31" i="68"/>
  <c r="Z31" i="68" s="1"/>
  <c r="N31" i="68"/>
  <c r="L31" i="68"/>
  <c r="B31" i="68"/>
  <c r="X30" i="68"/>
  <c r="V30" i="68"/>
  <c r="T30" i="68"/>
  <c r="P30" i="68"/>
  <c r="L30" i="68"/>
  <c r="J30" i="68"/>
  <c r="H30" i="68"/>
  <c r="D30" i="68"/>
  <c r="B30" i="68"/>
  <c r="Z29" i="68"/>
  <c r="X29" i="68"/>
  <c r="V29" i="68"/>
  <c r="L29" i="68"/>
  <c r="N29" i="68" s="1"/>
  <c r="F29" i="68"/>
  <c r="B29" i="68"/>
  <c r="Z28" i="68"/>
  <c r="X28" i="68"/>
  <c r="V28" i="68"/>
  <c r="N28" i="68"/>
  <c r="L28" i="68"/>
  <c r="J28" i="68"/>
  <c r="B28" i="68"/>
  <c r="Z27" i="68"/>
  <c r="X27" i="68"/>
  <c r="V27" i="68"/>
  <c r="N27" i="68"/>
  <c r="L27" i="68"/>
  <c r="B27" i="68"/>
  <c r="Z26" i="68"/>
  <c r="X26" i="68"/>
  <c r="V26" i="68"/>
  <c r="L26" i="68"/>
  <c r="N26" i="68" s="1"/>
  <c r="J26" i="68"/>
  <c r="B26" i="68"/>
  <c r="X25" i="68"/>
  <c r="Z25" i="68" s="1"/>
  <c r="V25" i="68"/>
  <c r="L25" i="68"/>
  <c r="N25" i="68" s="1"/>
  <c r="J25" i="68"/>
  <c r="B25" i="68"/>
  <c r="Z24" i="68"/>
  <c r="X24" i="68"/>
  <c r="V24" i="68"/>
  <c r="L24" i="68"/>
  <c r="N24" i="68" s="1"/>
  <c r="J24" i="68"/>
  <c r="B24" i="68"/>
  <c r="X23" i="68"/>
  <c r="Z23" i="68" s="1"/>
  <c r="V23" i="68"/>
  <c r="L23" i="68"/>
  <c r="N23" i="68" s="1"/>
  <c r="J23" i="68"/>
  <c r="B23" i="68"/>
  <c r="Z22" i="68"/>
  <c r="X22" i="68"/>
  <c r="V22" i="68"/>
  <c r="L22" i="68"/>
  <c r="N22" i="68" s="1"/>
  <c r="J22" i="68"/>
  <c r="B22" i="68"/>
  <c r="X21" i="68"/>
  <c r="V21" i="68"/>
  <c r="T21" i="68"/>
  <c r="Z21" i="68" s="1"/>
  <c r="P21" i="68"/>
  <c r="J21" i="68"/>
  <c r="H21" i="68"/>
  <c r="N21" i="68" s="1"/>
  <c r="D21" i="68"/>
  <c r="L21" i="68" s="1"/>
  <c r="B21" i="68"/>
  <c r="V20" i="68"/>
  <c r="T20" i="68"/>
  <c r="P20" i="68"/>
  <c r="X20" i="68" s="1"/>
  <c r="Z20" i="68" s="1"/>
  <c r="J20" i="68"/>
  <c r="H20" i="68"/>
  <c r="D20" i="68"/>
  <c r="L20" i="68" s="1"/>
  <c r="N20" i="68" s="1"/>
  <c r="V18" i="68"/>
  <c r="J18" i="68"/>
  <c r="Z16" i="68"/>
  <c r="X16" i="68"/>
  <c r="N16" i="68"/>
  <c r="L16" i="68"/>
  <c r="J16" i="68"/>
  <c r="B16" i="68"/>
  <c r="V15" i="68"/>
  <c r="T15" i="68"/>
  <c r="Z15" i="68" s="1"/>
  <c r="P15" i="68"/>
  <c r="X15" i="68" s="1"/>
  <c r="H15" i="68"/>
  <c r="N15" i="68" s="1"/>
  <c r="F15" i="68"/>
  <c r="D15" i="68"/>
  <c r="L15" i="68" s="1"/>
  <c r="Z13" i="68"/>
  <c r="X13" i="68"/>
  <c r="P13" i="68"/>
  <c r="N13" i="68"/>
  <c r="L13" i="68"/>
  <c r="D13" i="68"/>
  <c r="D12" i="68" s="1"/>
  <c r="B13" i="68"/>
  <c r="Z12" i="68"/>
  <c r="T12" i="68"/>
  <c r="V52" i="68" s="1"/>
  <c r="P12" i="68"/>
  <c r="R25" i="68" s="1"/>
  <c r="N12" i="68"/>
  <c r="H12" i="68"/>
  <c r="J48" i="68" s="1"/>
  <c r="D6" i="68"/>
  <c r="D4" i="68"/>
  <c r="Z96" i="63"/>
  <c r="X96" i="63"/>
  <c r="R96" i="63"/>
  <c r="N96" i="63"/>
  <c r="L96" i="63"/>
  <c r="X92" i="63"/>
  <c r="Z92" i="63" s="1"/>
  <c r="P92" i="63"/>
  <c r="J92" i="63"/>
  <c r="D92" i="63"/>
  <c r="L92" i="63" s="1"/>
  <c r="N92" i="63" s="1"/>
  <c r="B92" i="63"/>
  <c r="V91" i="63"/>
  <c r="P91" i="63"/>
  <c r="X91" i="63" s="1"/>
  <c r="Z91" i="63" s="1"/>
  <c r="F91" i="63"/>
  <c r="D91" i="63"/>
  <c r="L91" i="63" s="1"/>
  <c r="N91" i="63" s="1"/>
  <c r="B91" i="63"/>
  <c r="T90" i="63"/>
  <c r="P90" i="63"/>
  <c r="H90" i="63"/>
  <c r="X88" i="63"/>
  <c r="Z88" i="63" s="1"/>
  <c r="L88" i="63"/>
  <c r="N88" i="63" s="1"/>
  <c r="B88" i="63"/>
  <c r="Z87" i="63"/>
  <c r="X87" i="63"/>
  <c r="T87" i="63"/>
  <c r="P87" i="63"/>
  <c r="N87" i="63"/>
  <c r="L87" i="63"/>
  <c r="H87" i="63"/>
  <c r="D87" i="63"/>
  <c r="B87" i="63"/>
  <c r="Z86" i="63"/>
  <c r="X86" i="63"/>
  <c r="N86" i="63"/>
  <c r="L86" i="63"/>
  <c r="B86" i="63"/>
  <c r="V85" i="63"/>
  <c r="T85" i="63"/>
  <c r="Z85" i="63" s="1"/>
  <c r="P85" i="63"/>
  <c r="X85" i="63" s="1"/>
  <c r="J85" i="63"/>
  <c r="H85" i="63"/>
  <c r="N85" i="63" s="1"/>
  <c r="D85" i="63"/>
  <c r="L85" i="63" s="1"/>
  <c r="B85" i="63"/>
  <c r="Z84" i="63"/>
  <c r="X84" i="63"/>
  <c r="N84" i="63"/>
  <c r="L84" i="63"/>
  <c r="F84" i="63"/>
  <c r="B84" i="63"/>
  <c r="Z83" i="63"/>
  <c r="T83" i="63"/>
  <c r="P83" i="63"/>
  <c r="X83" i="63" s="1"/>
  <c r="H83" i="63"/>
  <c r="N83" i="63" s="1"/>
  <c r="F83" i="63"/>
  <c r="D83" i="63"/>
  <c r="L83" i="63" s="1"/>
  <c r="B83" i="63"/>
  <c r="Z82" i="63"/>
  <c r="X82" i="63"/>
  <c r="N82" i="63"/>
  <c r="L82" i="63"/>
  <c r="B82" i="63"/>
  <c r="Z81" i="63"/>
  <c r="X81" i="63"/>
  <c r="T81" i="63"/>
  <c r="P81" i="63"/>
  <c r="N81" i="63"/>
  <c r="L81" i="63"/>
  <c r="H81" i="63"/>
  <c r="D81" i="63"/>
  <c r="B81" i="63"/>
  <c r="X80" i="63"/>
  <c r="Z80" i="63" s="1"/>
  <c r="L80" i="63"/>
  <c r="N80" i="63" s="1"/>
  <c r="B80" i="63"/>
  <c r="X79" i="63"/>
  <c r="Z79" i="63" s="1"/>
  <c r="V79" i="63"/>
  <c r="N79" i="63"/>
  <c r="L79" i="63"/>
  <c r="B79" i="63"/>
  <c r="Z78" i="63"/>
  <c r="X78" i="63"/>
  <c r="N78" i="63"/>
  <c r="L78" i="63"/>
  <c r="B78" i="63"/>
  <c r="X77" i="63"/>
  <c r="Z77" i="63" s="1"/>
  <c r="V77" i="63"/>
  <c r="L77" i="63"/>
  <c r="N77" i="63" s="1"/>
  <c r="B77" i="63"/>
  <c r="X76" i="63"/>
  <c r="Z76" i="63" s="1"/>
  <c r="L76" i="63"/>
  <c r="N76" i="63" s="1"/>
  <c r="B76" i="63"/>
  <c r="X75" i="63"/>
  <c r="Z75" i="63" s="1"/>
  <c r="V75" i="63"/>
  <c r="N75" i="63"/>
  <c r="L75" i="63"/>
  <c r="B75" i="63"/>
  <c r="T74" i="63"/>
  <c r="P74" i="63"/>
  <c r="X74" i="63" s="1"/>
  <c r="Z74" i="63" s="1"/>
  <c r="H74" i="63"/>
  <c r="D74" i="63"/>
  <c r="L74" i="63" s="1"/>
  <c r="N74" i="63" s="1"/>
  <c r="B74" i="63"/>
  <c r="X73" i="63"/>
  <c r="Z73" i="63" s="1"/>
  <c r="N73" i="63"/>
  <c r="L73" i="63"/>
  <c r="B73" i="63"/>
  <c r="X72" i="63"/>
  <c r="V72" i="63"/>
  <c r="T72" i="63"/>
  <c r="Z72" i="63" s="1"/>
  <c r="P72" i="63"/>
  <c r="H72" i="63"/>
  <c r="D72" i="63"/>
  <c r="L72" i="63" s="1"/>
  <c r="B72" i="63"/>
  <c r="Z71" i="63"/>
  <c r="X71" i="63"/>
  <c r="N71" i="63"/>
  <c r="L71" i="63"/>
  <c r="J71" i="63"/>
  <c r="B71" i="63"/>
  <c r="Z70" i="63"/>
  <c r="X70" i="63"/>
  <c r="N70" i="63"/>
  <c r="L70" i="63"/>
  <c r="B70" i="63"/>
  <c r="Z69" i="63"/>
  <c r="X69" i="63"/>
  <c r="N69" i="63"/>
  <c r="L69" i="63"/>
  <c r="J69" i="63"/>
  <c r="B69" i="63"/>
  <c r="T68" i="63"/>
  <c r="P68" i="63"/>
  <c r="H68" i="63"/>
  <c r="D68" i="63"/>
  <c r="B68" i="63"/>
  <c r="X67" i="63"/>
  <c r="Z67" i="63" s="1"/>
  <c r="V67" i="63"/>
  <c r="N67" i="63"/>
  <c r="L67" i="63"/>
  <c r="J67" i="63"/>
  <c r="B67" i="63"/>
  <c r="Z66" i="63"/>
  <c r="X66" i="63"/>
  <c r="L66" i="63"/>
  <c r="N66" i="63" s="1"/>
  <c r="B66" i="63"/>
  <c r="Z65" i="63"/>
  <c r="X65" i="63"/>
  <c r="V65" i="63"/>
  <c r="L65" i="63"/>
  <c r="N65" i="63" s="1"/>
  <c r="B65" i="63"/>
  <c r="T64" i="63"/>
  <c r="P64" i="63"/>
  <c r="H64" i="63"/>
  <c r="D64" i="63"/>
  <c r="L64" i="63" s="1"/>
  <c r="N64" i="63" s="1"/>
  <c r="B64" i="63"/>
  <c r="Z63" i="63"/>
  <c r="X63" i="63"/>
  <c r="V63" i="63"/>
  <c r="N63" i="63"/>
  <c r="L63" i="63"/>
  <c r="B63" i="63"/>
  <c r="X62" i="63"/>
  <c r="T62" i="63"/>
  <c r="Z62" i="63" s="1"/>
  <c r="P62" i="63"/>
  <c r="L62" i="63"/>
  <c r="H62" i="63"/>
  <c r="N62" i="63" s="1"/>
  <c r="D62" i="63"/>
  <c r="B62" i="63"/>
  <c r="Z61" i="63"/>
  <c r="X61" i="63"/>
  <c r="N61" i="63"/>
  <c r="L61" i="63"/>
  <c r="J61" i="63"/>
  <c r="B61" i="63"/>
  <c r="T60" i="63"/>
  <c r="P60" i="63"/>
  <c r="H60" i="63"/>
  <c r="D60" i="63"/>
  <c r="B60" i="63"/>
  <c r="X59" i="63"/>
  <c r="Z59" i="63" s="1"/>
  <c r="V59" i="63"/>
  <c r="N59" i="63"/>
  <c r="L59" i="63"/>
  <c r="J59" i="63"/>
  <c r="B59" i="63"/>
  <c r="T58" i="63"/>
  <c r="P58" i="63"/>
  <c r="X58" i="63" s="1"/>
  <c r="Z58" i="63" s="1"/>
  <c r="H58" i="63"/>
  <c r="D58" i="63"/>
  <c r="L58" i="63" s="1"/>
  <c r="B58" i="63"/>
  <c r="X57" i="63"/>
  <c r="Z57" i="63" s="1"/>
  <c r="N57" i="63"/>
  <c r="L57" i="63"/>
  <c r="B57" i="63"/>
  <c r="X56" i="63"/>
  <c r="V56" i="63"/>
  <c r="T56" i="63"/>
  <c r="Z56" i="63" s="1"/>
  <c r="P56" i="63"/>
  <c r="H56" i="63"/>
  <c r="D56" i="63"/>
  <c r="L56" i="63" s="1"/>
  <c r="B56" i="63"/>
  <c r="Z55" i="63"/>
  <c r="X55" i="63"/>
  <c r="N55" i="63"/>
  <c r="L55" i="63"/>
  <c r="J55" i="63"/>
  <c r="B55" i="63"/>
  <c r="T54" i="63"/>
  <c r="P54" i="63"/>
  <c r="H54" i="63"/>
  <c r="D54" i="63"/>
  <c r="L54" i="63" s="1"/>
  <c r="B54" i="63"/>
  <c r="Z53" i="63"/>
  <c r="X53" i="63"/>
  <c r="V53" i="63"/>
  <c r="L53" i="63"/>
  <c r="N53" i="63" s="1"/>
  <c r="B53" i="63"/>
  <c r="T52" i="63"/>
  <c r="P52" i="63"/>
  <c r="X52" i="63" s="1"/>
  <c r="H52" i="63"/>
  <c r="D52" i="63"/>
  <c r="L52" i="63" s="1"/>
  <c r="N52" i="63" s="1"/>
  <c r="B52" i="63"/>
  <c r="Z51" i="63"/>
  <c r="X51" i="63"/>
  <c r="V51" i="63"/>
  <c r="N51" i="63"/>
  <c r="L51" i="63"/>
  <c r="B51" i="63"/>
  <c r="T50" i="63"/>
  <c r="P50" i="63"/>
  <c r="X50" i="63" s="1"/>
  <c r="L50" i="63"/>
  <c r="J50" i="63"/>
  <c r="H50" i="63"/>
  <c r="D50" i="63"/>
  <c r="B50" i="63"/>
  <c r="Z49" i="63"/>
  <c r="X49" i="63"/>
  <c r="V49" i="63"/>
  <c r="N49" i="63"/>
  <c r="L49" i="63"/>
  <c r="J49" i="63"/>
  <c r="F49" i="63"/>
  <c r="B49" i="63"/>
  <c r="T48" i="63"/>
  <c r="P48" i="63"/>
  <c r="L48" i="63"/>
  <c r="H48" i="63"/>
  <c r="F48" i="63"/>
  <c r="D48" i="63"/>
  <c r="B48" i="63"/>
  <c r="Z47" i="63"/>
  <c r="X47" i="63"/>
  <c r="V47" i="63"/>
  <c r="N47" i="63"/>
  <c r="L47" i="63"/>
  <c r="J47" i="63"/>
  <c r="B47" i="63"/>
  <c r="Z46" i="63"/>
  <c r="X46" i="63"/>
  <c r="N46" i="63"/>
  <c r="L46" i="63"/>
  <c r="B46" i="63"/>
  <c r="V45" i="63"/>
  <c r="T45" i="63"/>
  <c r="P45" i="63"/>
  <c r="X45" i="63" s="1"/>
  <c r="Z45" i="63" s="1"/>
  <c r="J45" i="63"/>
  <c r="H45" i="63"/>
  <c r="D45" i="63"/>
  <c r="L45" i="63" s="1"/>
  <c r="N45" i="63" s="1"/>
  <c r="B45" i="63"/>
  <c r="X44" i="63"/>
  <c r="Z44" i="63" s="1"/>
  <c r="V44" i="63"/>
  <c r="L44" i="63"/>
  <c r="N44" i="63" s="1"/>
  <c r="F44" i="63"/>
  <c r="B44" i="63"/>
  <c r="V43" i="63"/>
  <c r="T43" i="63"/>
  <c r="R43" i="63"/>
  <c r="P43" i="63"/>
  <c r="X43" i="63" s="1"/>
  <c r="Z43" i="63" s="1"/>
  <c r="H43" i="63"/>
  <c r="F43" i="63"/>
  <c r="D43" i="63"/>
  <c r="L43" i="63" s="1"/>
  <c r="B43" i="63"/>
  <c r="X42" i="63"/>
  <c r="Z42" i="63" s="1"/>
  <c r="N42" i="63"/>
  <c r="L42" i="63"/>
  <c r="B42" i="63"/>
  <c r="Z41" i="63"/>
  <c r="X41" i="63"/>
  <c r="V41" i="63"/>
  <c r="N41" i="63"/>
  <c r="L41" i="63"/>
  <c r="J41" i="63"/>
  <c r="F41" i="63"/>
  <c r="B41" i="63"/>
  <c r="T40" i="63"/>
  <c r="P40" i="63"/>
  <c r="H40" i="63"/>
  <c r="F40" i="63"/>
  <c r="D40" i="63"/>
  <c r="B40" i="63"/>
  <c r="Z39" i="63"/>
  <c r="X39" i="63"/>
  <c r="V39" i="63"/>
  <c r="N39" i="63"/>
  <c r="L39" i="63"/>
  <c r="J39" i="63"/>
  <c r="B39" i="63"/>
  <c r="Z38" i="63"/>
  <c r="X38" i="63"/>
  <c r="N38" i="63"/>
  <c r="L38" i="63"/>
  <c r="B38" i="63"/>
  <c r="Z37" i="63"/>
  <c r="X37" i="63"/>
  <c r="V37" i="63"/>
  <c r="N37" i="63"/>
  <c r="L37" i="63"/>
  <c r="B37" i="63"/>
  <c r="X36" i="63"/>
  <c r="Z36" i="63" s="1"/>
  <c r="L36" i="63"/>
  <c r="N36" i="63" s="1"/>
  <c r="J36" i="63"/>
  <c r="B36" i="63"/>
  <c r="Z35" i="63"/>
  <c r="X35" i="63"/>
  <c r="V35" i="63"/>
  <c r="N35" i="63"/>
  <c r="L35" i="63"/>
  <c r="J35" i="63"/>
  <c r="B35" i="63"/>
  <c r="Z34" i="63"/>
  <c r="X34" i="63"/>
  <c r="N34" i="63"/>
  <c r="L34" i="63"/>
  <c r="B34" i="63"/>
  <c r="Z33" i="63"/>
  <c r="X33" i="63"/>
  <c r="V33" i="63"/>
  <c r="L33" i="63"/>
  <c r="N33" i="63" s="1"/>
  <c r="B33" i="63"/>
  <c r="Z32" i="63"/>
  <c r="X32" i="63"/>
  <c r="V32" i="63"/>
  <c r="N32" i="63"/>
  <c r="L32" i="63"/>
  <c r="J32" i="63"/>
  <c r="B32" i="63"/>
  <c r="Z31" i="63"/>
  <c r="X31" i="63"/>
  <c r="V31" i="63"/>
  <c r="N31" i="63"/>
  <c r="L31" i="63"/>
  <c r="J31" i="63"/>
  <c r="B31" i="63"/>
  <c r="Z30" i="63"/>
  <c r="X30" i="63"/>
  <c r="V30" i="63"/>
  <c r="L30" i="63"/>
  <c r="N30" i="63" s="1"/>
  <c r="B30" i="63"/>
  <c r="V29" i="63"/>
  <c r="T29" i="63"/>
  <c r="P29" i="63"/>
  <c r="X29" i="63" s="1"/>
  <c r="Z29" i="63" s="1"/>
  <c r="J29" i="63"/>
  <c r="H29" i="63"/>
  <c r="N29" i="63" s="1"/>
  <c r="D29" i="63"/>
  <c r="L29" i="63" s="1"/>
  <c r="B29" i="63"/>
  <c r="Z28" i="63"/>
  <c r="X28" i="63"/>
  <c r="V28" i="63"/>
  <c r="N28" i="63"/>
  <c r="L28" i="63"/>
  <c r="F28" i="63"/>
  <c r="B28" i="63"/>
  <c r="Z27" i="63"/>
  <c r="X27" i="63"/>
  <c r="V27" i="63"/>
  <c r="N27" i="63"/>
  <c r="L27" i="63"/>
  <c r="B27" i="63"/>
  <c r="X26" i="63"/>
  <c r="Z26" i="63" s="1"/>
  <c r="V26" i="63"/>
  <c r="L26" i="63"/>
  <c r="N26" i="63" s="1"/>
  <c r="F26" i="63"/>
  <c r="B26" i="63"/>
  <c r="Z25" i="63"/>
  <c r="X25" i="63"/>
  <c r="V25" i="63"/>
  <c r="N25" i="63"/>
  <c r="L25" i="63"/>
  <c r="J25" i="63"/>
  <c r="B25" i="63"/>
  <c r="X24" i="63"/>
  <c r="Z24" i="63" s="1"/>
  <c r="V24" i="63"/>
  <c r="L24" i="63"/>
  <c r="N24" i="63" s="1"/>
  <c r="F24" i="63"/>
  <c r="B24" i="63"/>
  <c r="Z23" i="63"/>
  <c r="X23" i="63"/>
  <c r="V23" i="63"/>
  <c r="N23" i="63"/>
  <c r="L23" i="63"/>
  <c r="B23" i="63"/>
  <c r="X22" i="63"/>
  <c r="Z22" i="63" s="1"/>
  <c r="V22" i="63"/>
  <c r="L22" i="63"/>
  <c r="N22" i="63" s="1"/>
  <c r="F22" i="63"/>
  <c r="B22" i="63"/>
  <c r="X21" i="63"/>
  <c r="Z21" i="63" s="1"/>
  <c r="V21" i="63"/>
  <c r="N21" i="63"/>
  <c r="L21" i="63"/>
  <c r="J21" i="63"/>
  <c r="B21" i="63"/>
  <c r="X20" i="63"/>
  <c r="Z20" i="63" s="1"/>
  <c r="V20" i="63"/>
  <c r="L20" i="63"/>
  <c r="N20" i="63" s="1"/>
  <c r="F20" i="63"/>
  <c r="B20" i="63"/>
  <c r="V19" i="63"/>
  <c r="T19" i="63"/>
  <c r="R19" i="63"/>
  <c r="P19" i="63"/>
  <c r="X19" i="63" s="1"/>
  <c r="Z19" i="63" s="1"/>
  <c r="J19" i="63"/>
  <c r="H19" i="63"/>
  <c r="N19" i="63" s="1"/>
  <c r="F19" i="63"/>
  <c r="D19" i="63"/>
  <c r="L19" i="63" s="1"/>
  <c r="B19" i="63"/>
  <c r="T18" i="63"/>
  <c r="P18" i="63"/>
  <c r="H18" i="63"/>
  <c r="F18" i="63"/>
  <c r="D18" i="63"/>
  <c r="L18" i="63" s="1"/>
  <c r="F16" i="63"/>
  <c r="T14" i="63"/>
  <c r="Z14" i="63" s="1"/>
  <c r="P14" i="63"/>
  <c r="H14" i="63"/>
  <c r="N14" i="63" s="1"/>
  <c r="F14" i="63"/>
  <c r="D14" i="63"/>
  <c r="Z12" i="63"/>
  <c r="X12" i="63"/>
  <c r="T12" i="63"/>
  <c r="V80" i="63" s="1"/>
  <c r="P12" i="63"/>
  <c r="R83" i="63" s="1"/>
  <c r="N12" i="63"/>
  <c r="L12" i="63"/>
  <c r="H12" i="63"/>
  <c r="J88" i="63" s="1"/>
  <c r="D12" i="63"/>
  <c r="F73" i="63" s="1"/>
  <c r="D6" i="63"/>
  <c r="D4" i="63"/>
  <c r="Z62" i="61"/>
  <c r="X62" i="61"/>
  <c r="N62" i="61"/>
  <c r="L62" i="61"/>
  <c r="T60" i="61"/>
  <c r="T58" i="61"/>
  <c r="Z58" i="61" s="1"/>
  <c r="P58" i="61"/>
  <c r="H58" i="61"/>
  <c r="N58" i="61" s="1"/>
  <c r="D58" i="61"/>
  <c r="L58" i="61" s="1"/>
  <c r="X56" i="61"/>
  <c r="Z56" i="61" s="1"/>
  <c r="R56" i="61"/>
  <c r="N56" i="61"/>
  <c r="L56" i="61"/>
  <c r="B56" i="61"/>
  <c r="Z55" i="61"/>
  <c r="X55" i="61"/>
  <c r="V55" i="61"/>
  <c r="T55" i="61"/>
  <c r="P55" i="61"/>
  <c r="N55" i="61"/>
  <c r="L55" i="61"/>
  <c r="H55" i="61"/>
  <c r="D55" i="61"/>
  <c r="B55" i="61"/>
  <c r="Z54" i="61"/>
  <c r="X54" i="61"/>
  <c r="N54" i="61"/>
  <c r="L54" i="61"/>
  <c r="B54" i="61"/>
  <c r="Z53" i="61"/>
  <c r="X53" i="61"/>
  <c r="V53" i="61"/>
  <c r="N53" i="61"/>
  <c r="L53" i="61"/>
  <c r="J53" i="61"/>
  <c r="B53" i="61"/>
  <c r="T52" i="61"/>
  <c r="P52" i="61"/>
  <c r="X52" i="61" s="1"/>
  <c r="Z52" i="61" s="1"/>
  <c r="H52" i="61"/>
  <c r="D52" i="61"/>
  <c r="L52" i="61" s="1"/>
  <c r="B52" i="61"/>
  <c r="Z51" i="61"/>
  <c r="X51" i="61"/>
  <c r="N51" i="61"/>
  <c r="L51" i="61"/>
  <c r="B51" i="61"/>
  <c r="X50" i="61"/>
  <c r="V50" i="61"/>
  <c r="T50" i="61"/>
  <c r="Z50" i="61" s="1"/>
  <c r="P50" i="61"/>
  <c r="L50" i="61"/>
  <c r="H50" i="61"/>
  <c r="N50" i="61" s="1"/>
  <c r="D50" i="61"/>
  <c r="B50" i="61"/>
  <c r="Z49" i="61"/>
  <c r="X49" i="61"/>
  <c r="N49" i="61"/>
  <c r="L49" i="61"/>
  <c r="J49" i="61"/>
  <c r="B49" i="61"/>
  <c r="X48" i="61"/>
  <c r="T48" i="61"/>
  <c r="P48" i="61"/>
  <c r="H48" i="61"/>
  <c r="D48" i="61"/>
  <c r="B48" i="61"/>
  <c r="Z47" i="61"/>
  <c r="X47" i="61"/>
  <c r="V47" i="61"/>
  <c r="R47" i="61"/>
  <c r="N47" i="61"/>
  <c r="L47" i="61"/>
  <c r="B47" i="61"/>
  <c r="T46" i="61"/>
  <c r="P46" i="61"/>
  <c r="X46" i="61" s="1"/>
  <c r="H46" i="61"/>
  <c r="D46" i="61"/>
  <c r="L46" i="61" s="1"/>
  <c r="N46" i="61" s="1"/>
  <c r="B46" i="61"/>
  <c r="Z45" i="61"/>
  <c r="X45" i="61"/>
  <c r="V45" i="61"/>
  <c r="L45" i="61"/>
  <c r="N45" i="61" s="1"/>
  <c r="B45" i="61"/>
  <c r="X44" i="61"/>
  <c r="T44" i="61"/>
  <c r="Z44" i="61" s="1"/>
  <c r="P44" i="61"/>
  <c r="L44" i="61"/>
  <c r="J44" i="61"/>
  <c r="H44" i="61"/>
  <c r="N44" i="61" s="1"/>
  <c r="D44" i="61"/>
  <c r="B44" i="61"/>
  <c r="Z43" i="61"/>
  <c r="X43" i="61"/>
  <c r="V43" i="61"/>
  <c r="N43" i="61"/>
  <c r="L43" i="61"/>
  <c r="J43" i="61"/>
  <c r="B43" i="61"/>
  <c r="T42" i="61"/>
  <c r="P42" i="61"/>
  <c r="H42" i="61"/>
  <c r="D42" i="61"/>
  <c r="B42" i="61"/>
  <c r="Z41" i="61"/>
  <c r="X41" i="61"/>
  <c r="V41" i="61"/>
  <c r="N41" i="61"/>
  <c r="L41" i="61"/>
  <c r="J41" i="61"/>
  <c r="B41" i="61"/>
  <c r="Z40" i="61"/>
  <c r="T40" i="61"/>
  <c r="P40" i="61"/>
  <c r="X40" i="61" s="1"/>
  <c r="H40" i="61"/>
  <c r="D40" i="61"/>
  <c r="L40" i="61" s="1"/>
  <c r="B40" i="61"/>
  <c r="Z39" i="61"/>
  <c r="X39" i="61"/>
  <c r="N39" i="61"/>
  <c r="L39" i="61"/>
  <c r="B39" i="61"/>
  <c r="Z38" i="61"/>
  <c r="X38" i="61"/>
  <c r="V38" i="61"/>
  <c r="N38" i="61"/>
  <c r="L38" i="61"/>
  <c r="F38" i="61"/>
  <c r="B38" i="61"/>
  <c r="Z37" i="61"/>
  <c r="X37" i="61"/>
  <c r="V37" i="61"/>
  <c r="N37" i="61"/>
  <c r="L37" i="61"/>
  <c r="B37" i="61"/>
  <c r="X36" i="61"/>
  <c r="Z36" i="61" s="1"/>
  <c r="L36" i="61"/>
  <c r="N36" i="61" s="1"/>
  <c r="B36" i="61"/>
  <c r="Z35" i="61"/>
  <c r="X35" i="61"/>
  <c r="N35" i="61"/>
  <c r="L35" i="61"/>
  <c r="B35" i="61"/>
  <c r="Z34" i="61"/>
  <c r="X34" i="61"/>
  <c r="V34" i="61"/>
  <c r="N34" i="61"/>
  <c r="L34" i="61"/>
  <c r="B34" i="61"/>
  <c r="Z33" i="61"/>
  <c r="X33" i="61"/>
  <c r="V33" i="61"/>
  <c r="N33" i="61"/>
  <c r="L33" i="61"/>
  <c r="B33" i="61"/>
  <c r="Z32" i="61"/>
  <c r="X32" i="61"/>
  <c r="V32" i="61"/>
  <c r="N32" i="61"/>
  <c r="L32" i="61"/>
  <c r="B32" i="61"/>
  <c r="Z31" i="61"/>
  <c r="X31" i="61"/>
  <c r="V31" i="61"/>
  <c r="N31" i="61"/>
  <c r="L31" i="61"/>
  <c r="B31" i="61"/>
  <c r="Z30" i="61"/>
  <c r="X30" i="61"/>
  <c r="V30" i="61"/>
  <c r="N30" i="61"/>
  <c r="L30" i="61"/>
  <c r="F30" i="61"/>
  <c r="B30" i="61"/>
  <c r="V29" i="61"/>
  <c r="T29" i="61"/>
  <c r="P29" i="61"/>
  <c r="X29" i="61" s="1"/>
  <c r="Z29" i="61" s="1"/>
  <c r="H29" i="61"/>
  <c r="F29" i="61"/>
  <c r="D29" i="61"/>
  <c r="L29" i="61" s="1"/>
  <c r="N29" i="61" s="1"/>
  <c r="B29" i="61"/>
  <c r="X28" i="61"/>
  <c r="Z28" i="61" s="1"/>
  <c r="R28" i="61"/>
  <c r="N28" i="61"/>
  <c r="L28" i="61"/>
  <c r="B28" i="61"/>
  <c r="Z27" i="61"/>
  <c r="X27" i="61"/>
  <c r="V27" i="61"/>
  <c r="N27" i="61"/>
  <c r="L27" i="61"/>
  <c r="J27" i="61"/>
  <c r="B27" i="61"/>
  <c r="X26" i="61"/>
  <c r="Z26" i="61" s="1"/>
  <c r="R26" i="61"/>
  <c r="L26" i="61"/>
  <c r="N26" i="61" s="1"/>
  <c r="B26" i="61"/>
  <c r="Z25" i="61"/>
  <c r="X25" i="61"/>
  <c r="V25" i="61"/>
  <c r="N25" i="61"/>
  <c r="L25" i="61"/>
  <c r="J25" i="61"/>
  <c r="B25" i="61"/>
  <c r="Z24" i="61"/>
  <c r="X24" i="61"/>
  <c r="N24" i="61"/>
  <c r="L24" i="61"/>
  <c r="B24" i="61"/>
  <c r="Z23" i="61"/>
  <c r="X23" i="61"/>
  <c r="V23" i="61"/>
  <c r="N23" i="61"/>
  <c r="L23" i="61"/>
  <c r="J23" i="61"/>
  <c r="F23" i="61"/>
  <c r="B23" i="61"/>
  <c r="X22" i="61"/>
  <c r="Z22" i="61" s="1"/>
  <c r="L22" i="61"/>
  <c r="N22" i="61" s="1"/>
  <c r="B22" i="61"/>
  <c r="X21" i="61"/>
  <c r="Z21" i="61" s="1"/>
  <c r="V21" i="61"/>
  <c r="N21" i="61"/>
  <c r="L21" i="61"/>
  <c r="J21" i="61"/>
  <c r="B21" i="61"/>
  <c r="X20" i="61"/>
  <c r="Z20" i="61" s="1"/>
  <c r="N20" i="61"/>
  <c r="L20" i="61"/>
  <c r="B20" i="61"/>
  <c r="Z19" i="61"/>
  <c r="X19" i="61"/>
  <c r="V19" i="61"/>
  <c r="T19" i="61"/>
  <c r="P19" i="61"/>
  <c r="N19" i="61"/>
  <c r="L19" i="61"/>
  <c r="H19" i="61"/>
  <c r="D19" i="61"/>
  <c r="B19" i="61"/>
  <c r="T18" i="61"/>
  <c r="P18" i="61"/>
  <c r="X18" i="61" s="1"/>
  <c r="N18" i="61"/>
  <c r="H18" i="61"/>
  <c r="D18" i="61"/>
  <c r="L18" i="61" s="1"/>
  <c r="T16" i="61"/>
  <c r="Z16" i="61" s="1"/>
  <c r="T14" i="61"/>
  <c r="Z14" i="61" s="1"/>
  <c r="P14" i="61"/>
  <c r="X14" i="61" s="1"/>
  <c r="N14" i="61"/>
  <c r="H14" i="61"/>
  <c r="H16" i="61" s="1"/>
  <c r="D14" i="61"/>
  <c r="Z12" i="61"/>
  <c r="X12" i="61"/>
  <c r="T12" i="61"/>
  <c r="V54" i="61" s="1"/>
  <c r="P12" i="61"/>
  <c r="R55" i="61" s="1"/>
  <c r="H12" i="61"/>
  <c r="D12" i="61"/>
  <c r="D6" i="61"/>
  <c r="D4" i="61"/>
  <c r="Z56" i="60"/>
  <c r="X56" i="60"/>
  <c r="N56" i="60"/>
  <c r="L56" i="60"/>
  <c r="Z52" i="60"/>
  <c r="X52" i="60"/>
  <c r="T52" i="60"/>
  <c r="P52" i="60"/>
  <c r="H52" i="60"/>
  <c r="N52" i="60" s="1"/>
  <c r="D52" i="60"/>
  <c r="L52" i="60" s="1"/>
  <c r="X50" i="60"/>
  <c r="Z50" i="60" s="1"/>
  <c r="L50" i="60"/>
  <c r="N50" i="60" s="1"/>
  <c r="B50" i="60"/>
  <c r="T49" i="60"/>
  <c r="P49" i="60"/>
  <c r="H49" i="60"/>
  <c r="L49" i="60" s="1"/>
  <c r="N49" i="60" s="1"/>
  <c r="F49" i="60"/>
  <c r="D49" i="60"/>
  <c r="B49" i="60"/>
  <c r="X48" i="60"/>
  <c r="Z48" i="60" s="1"/>
  <c r="L48" i="60"/>
  <c r="N48" i="60" s="1"/>
  <c r="B48" i="60"/>
  <c r="Z47" i="60"/>
  <c r="T47" i="60"/>
  <c r="R47" i="60"/>
  <c r="P47" i="60"/>
  <c r="X47" i="60" s="1"/>
  <c r="N47" i="60"/>
  <c r="H47" i="60"/>
  <c r="D47" i="60"/>
  <c r="L47" i="60" s="1"/>
  <c r="B47" i="60"/>
  <c r="X46" i="60"/>
  <c r="Z46" i="60" s="1"/>
  <c r="L46" i="60"/>
  <c r="N46" i="60" s="1"/>
  <c r="F46" i="60"/>
  <c r="B46" i="60"/>
  <c r="X45" i="60"/>
  <c r="Z45" i="60" s="1"/>
  <c r="T45" i="60"/>
  <c r="P45" i="60"/>
  <c r="L45" i="60"/>
  <c r="N45" i="60" s="1"/>
  <c r="H45" i="60"/>
  <c r="F45" i="60"/>
  <c r="D45" i="60"/>
  <c r="B45" i="60"/>
  <c r="Z44" i="60"/>
  <c r="X44" i="60"/>
  <c r="N44" i="60"/>
  <c r="L44" i="60"/>
  <c r="F44" i="60"/>
  <c r="B44" i="60"/>
  <c r="Z43" i="60"/>
  <c r="X43" i="60"/>
  <c r="N43" i="60"/>
  <c r="L43" i="60"/>
  <c r="B43" i="60"/>
  <c r="T42" i="60"/>
  <c r="Z42" i="60" s="1"/>
  <c r="P42" i="60"/>
  <c r="X42" i="60" s="1"/>
  <c r="L42" i="60"/>
  <c r="N42" i="60" s="1"/>
  <c r="H42" i="60"/>
  <c r="D42" i="60"/>
  <c r="B42" i="60"/>
  <c r="Z41" i="60"/>
  <c r="X41" i="60"/>
  <c r="N41" i="60"/>
  <c r="L41" i="60"/>
  <c r="B41" i="60"/>
  <c r="X40" i="60"/>
  <c r="V40" i="60"/>
  <c r="T40" i="60"/>
  <c r="P40" i="60"/>
  <c r="N40" i="60"/>
  <c r="L40" i="60"/>
  <c r="H40" i="60"/>
  <c r="D40" i="60"/>
  <c r="B40" i="60"/>
  <c r="Z39" i="60"/>
  <c r="X39" i="60"/>
  <c r="N39" i="60"/>
  <c r="L39" i="60"/>
  <c r="F39" i="60"/>
  <c r="B39" i="60"/>
  <c r="Z38" i="60"/>
  <c r="X38" i="60"/>
  <c r="N38" i="60"/>
  <c r="L38" i="60"/>
  <c r="B38" i="60"/>
  <c r="Z37" i="60"/>
  <c r="X37" i="60"/>
  <c r="N37" i="60"/>
  <c r="L37" i="60"/>
  <c r="B37" i="60"/>
  <c r="Z36" i="60"/>
  <c r="X36" i="60"/>
  <c r="N36" i="60"/>
  <c r="L36" i="60"/>
  <c r="B36" i="60"/>
  <c r="Z35" i="60"/>
  <c r="X35" i="60"/>
  <c r="N35" i="60"/>
  <c r="L35" i="60"/>
  <c r="F35" i="60"/>
  <c r="B35" i="60"/>
  <c r="Z34" i="60"/>
  <c r="X34" i="60"/>
  <c r="N34" i="60"/>
  <c r="L34" i="60"/>
  <c r="B34" i="60"/>
  <c r="X33" i="60"/>
  <c r="Z33" i="60" s="1"/>
  <c r="V33" i="60"/>
  <c r="L33" i="60"/>
  <c r="N33" i="60" s="1"/>
  <c r="B33" i="60"/>
  <c r="Z32" i="60"/>
  <c r="X32" i="60"/>
  <c r="N32" i="60"/>
  <c r="L32" i="60"/>
  <c r="B32" i="60"/>
  <c r="Z31" i="60"/>
  <c r="X31" i="60"/>
  <c r="N31" i="60"/>
  <c r="L31" i="60"/>
  <c r="F31" i="60"/>
  <c r="B31" i="60"/>
  <c r="Z30" i="60"/>
  <c r="X30" i="60"/>
  <c r="N30" i="60"/>
  <c r="L30" i="60"/>
  <c r="B30" i="60"/>
  <c r="V29" i="60"/>
  <c r="T29" i="60"/>
  <c r="Z29" i="60" s="1"/>
  <c r="P29" i="60"/>
  <c r="X29" i="60" s="1"/>
  <c r="H29" i="60"/>
  <c r="D29" i="60"/>
  <c r="L29" i="60" s="1"/>
  <c r="N29" i="60" s="1"/>
  <c r="B29" i="60"/>
  <c r="Z28" i="60"/>
  <c r="X28" i="60"/>
  <c r="N28" i="60"/>
  <c r="L28" i="60"/>
  <c r="B28" i="60"/>
  <c r="X27" i="60"/>
  <c r="Z27" i="60" s="1"/>
  <c r="N27" i="60"/>
  <c r="L27" i="60"/>
  <c r="F27" i="60"/>
  <c r="B27" i="60"/>
  <c r="X26" i="60"/>
  <c r="Z26" i="60" s="1"/>
  <c r="N26" i="60"/>
  <c r="L26" i="60"/>
  <c r="F26" i="60"/>
  <c r="B26" i="60"/>
  <c r="Z25" i="60"/>
  <c r="X25" i="60"/>
  <c r="N25" i="60"/>
  <c r="L25" i="60"/>
  <c r="F25" i="60"/>
  <c r="B25" i="60"/>
  <c r="Z24" i="60"/>
  <c r="X24" i="60"/>
  <c r="N24" i="60"/>
  <c r="L24" i="60"/>
  <c r="B24" i="60"/>
  <c r="X23" i="60"/>
  <c r="Z23" i="60" s="1"/>
  <c r="N23" i="60"/>
  <c r="L23" i="60"/>
  <c r="F23" i="60"/>
  <c r="B23" i="60"/>
  <c r="X22" i="60"/>
  <c r="Z22" i="60" s="1"/>
  <c r="N22" i="60"/>
  <c r="L22" i="60"/>
  <c r="F22" i="60"/>
  <c r="B22" i="60"/>
  <c r="X21" i="60"/>
  <c r="Z21" i="60" s="1"/>
  <c r="N21" i="60"/>
  <c r="L21" i="60"/>
  <c r="F21" i="60"/>
  <c r="B21" i="60"/>
  <c r="X20" i="60"/>
  <c r="Z20" i="60" s="1"/>
  <c r="N20" i="60"/>
  <c r="L20" i="60"/>
  <c r="B20" i="60"/>
  <c r="T19" i="60"/>
  <c r="R19" i="60"/>
  <c r="P19" i="60"/>
  <c r="L19" i="60"/>
  <c r="N19" i="60" s="1"/>
  <c r="H19" i="60"/>
  <c r="D19" i="60"/>
  <c r="B19" i="60"/>
  <c r="T18" i="60"/>
  <c r="P18" i="60"/>
  <c r="H18" i="60"/>
  <c r="L18" i="60" s="1"/>
  <c r="N18" i="60" s="1"/>
  <c r="D18" i="60"/>
  <c r="T14" i="60"/>
  <c r="Z14" i="60" s="1"/>
  <c r="P14" i="60"/>
  <c r="N14" i="60"/>
  <c r="H14" i="60"/>
  <c r="L14" i="60" s="1"/>
  <c r="D14" i="60"/>
  <c r="T12" i="60"/>
  <c r="P12" i="60"/>
  <c r="H12" i="60"/>
  <c r="J61" i="60" s="1"/>
  <c r="D12" i="60"/>
  <c r="F47" i="60" s="1"/>
  <c r="D6" i="60"/>
  <c r="D4" i="60"/>
  <c r="R75" i="59"/>
  <c r="J75" i="59"/>
  <c r="R72" i="59"/>
  <c r="J72" i="59"/>
  <c r="Z70" i="59"/>
  <c r="X70" i="59"/>
  <c r="N70" i="59"/>
  <c r="L70" i="59"/>
  <c r="J68" i="59"/>
  <c r="Z66" i="59"/>
  <c r="X66" i="59"/>
  <c r="P66" i="59"/>
  <c r="F66" i="59"/>
  <c r="D66" i="59"/>
  <c r="B66" i="59"/>
  <c r="X65" i="59"/>
  <c r="Z65" i="59" s="1"/>
  <c r="T65" i="59"/>
  <c r="P65" i="59"/>
  <c r="H65" i="59"/>
  <c r="F65" i="59"/>
  <c r="X63" i="59"/>
  <c r="Z63" i="59" s="1"/>
  <c r="N63" i="59"/>
  <c r="L63" i="59"/>
  <c r="B63" i="59"/>
  <c r="X62" i="59"/>
  <c r="Z62" i="59" s="1"/>
  <c r="T62" i="59"/>
  <c r="R62" i="59"/>
  <c r="P62" i="59"/>
  <c r="L62" i="59"/>
  <c r="H62" i="59"/>
  <c r="N62" i="59" s="1"/>
  <c r="F62" i="59"/>
  <c r="D62" i="59"/>
  <c r="B62" i="59"/>
  <c r="Z61" i="59"/>
  <c r="X61" i="59"/>
  <c r="R61" i="59"/>
  <c r="N61" i="59"/>
  <c r="L61" i="59"/>
  <c r="B61" i="59"/>
  <c r="Z60" i="59"/>
  <c r="X60" i="59"/>
  <c r="V60" i="59"/>
  <c r="R60" i="59"/>
  <c r="N60" i="59"/>
  <c r="L60" i="59"/>
  <c r="J60" i="59"/>
  <c r="B60" i="59"/>
  <c r="T59" i="59"/>
  <c r="Z59" i="59" s="1"/>
  <c r="P59" i="59"/>
  <c r="X59" i="59" s="1"/>
  <c r="H59" i="59"/>
  <c r="L59" i="59" s="1"/>
  <c r="N59" i="59" s="1"/>
  <c r="D59" i="59"/>
  <c r="B59" i="59"/>
  <c r="X58" i="59"/>
  <c r="Z58" i="59" s="1"/>
  <c r="L58" i="59"/>
  <c r="N58" i="59" s="1"/>
  <c r="B58" i="59"/>
  <c r="T57" i="59"/>
  <c r="P57" i="59"/>
  <c r="X57" i="59" s="1"/>
  <c r="Z57" i="59" s="1"/>
  <c r="L57" i="59"/>
  <c r="J57" i="59"/>
  <c r="H57" i="59"/>
  <c r="N57" i="59" s="1"/>
  <c r="D57" i="59"/>
  <c r="B57" i="59"/>
  <c r="X56" i="59"/>
  <c r="Z56" i="59" s="1"/>
  <c r="N56" i="59"/>
  <c r="L56" i="59"/>
  <c r="J56" i="59"/>
  <c r="F56" i="59"/>
  <c r="B56" i="59"/>
  <c r="X55" i="59"/>
  <c r="Z55" i="59" s="1"/>
  <c r="N55" i="59"/>
  <c r="L55" i="59"/>
  <c r="F55" i="59"/>
  <c r="B55" i="59"/>
  <c r="X54" i="59"/>
  <c r="Z54" i="59" s="1"/>
  <c r="T54" i="59"/>
  <c r="R54" i="59"/>
  <c r="P54" i="59"/>
  <c r="L54" i="59"/>
  <c r="H54" i="59"/>
  <c r="N54" i="59" s="1"/>
  <c r="F54" i="59"/>
  <c r="D54" i="59"/>
  <c r="B54" i="59"/>
  <c r="Z53" i="59"/>
  <c r="X53" i="59"/>
  <c r="R53" i="59"/>
  <c r="N53" i="59"/>
  <c r="L53" i="59"/>
  <c r="B53" i="59"/>
  <c r="Z52" i="59"/>
  <c r="X52" i="59"/>
  <c r="V52" i="59"/>
  <c r="R52" i="59"/>
  <c r="N52" i="59"/>
  <c r="L52" i="59"/>
  <c r="J52" i="59"/>
  <c r="B52" i="59"/>
  <c r="Z51" i="59"/>
  <c r="X51" i="59"/>
  <c r="L51" i="59"/>
  <c r="N51" i="59" s="1"/>
  <c r="J51" i="59"/>
  <c r="B51" i="59"/>
  <c r="T50" i="59"/>
  <c r="X50" i="59" s="1"/>
  <c r="Z50" i="59" s="1"/>
  <c r="P50" i="59"/>
  <c r="J50" i="59"/>
  <c r="H50" i="59"/>
  <c r="D50" i="59"/>
  <c r="B50" i="59"/>
  <c r="Z49" i="59"/>
  <c r="X49" i="59"/>
  <c r="L49" i="59"/>
  <c r="N49" i="59" s="1"/>
  <c r="F49" i="59"/>
  <c r="B49" i="59"/>
  <c r="V48" i="59"/>
  <c r="T48" i="59"/>
  <c r="P48" i="59"/>
  <c r="X48" i="59" s="1"/>
  <c r="Z48" i="59" s="1"/>
  <c r="J48" i="59"/>
  <c r="H48" i="59"/>
  <c r="F48" i="59"/>
  <c r="D48" i="59"/>
  <c r="L48" i="59" s="1"/>
  <c r="B48" i="59"/>
  <c r="X47" i="59"/>
  <c r="Z47" i="59" s="1"/>
  <c r="N47" i="59"/>
  <c r="L47" i="59"/>
  <c r="F47" i="59"/>
  <c r="B47" i="59"/>
  <c r="X46" i="59"/>
  <c r="Z46" i="59" s="1"/>
  <c r="T46" i="59"/>
  <c r="R46" i="59"/>
  <c r="P46" i="59"/>
  <c r="H46" i="59"/>
  <c r="F46" i="59"/>
  <c r="D46" i="59"/>
  <c r="L46" i="59" s="1"/>
  <c r="B46" i="59"/>
  <c r="Z45" i="59"/>
  <c r="X45" i="59"/>
  <c r="R45" i="59"/>
  <c r="N45" i="59"/>
  <c r="L45" i="59"/>
  <c r="B45" i="59"/>
  <c r="Z44" i="59"/>
  <c r="X44" i="59"/>
  <c r="V44" i="59"/>
  <c r="R44" i="59"/>
  <c r="N44" i="59"/>
  <c r="L44" i="59"/>
  <c r="J44" i="59"/>
  <c r="B44" i="59"/>
  <c r="T43" i="59"/>
  <c r="Z43" i="59" s="1"/>
  <c r="P43" i="59"/>
  <c r="X43" i="59" s="1"/>
  <c r="N43" i="59"/>
  <c r="H43" i="59"/>
  <c r="L43" i="59" s="1"/>
  <c r="D43" i="59"/>
  <c r="B43" i="59"/>
  <c r="X42" i="59"/>
  <c r="Z42" i="59" s="1"/>
  <c r="L42" i="59"/>
  <c r="N42" i="59" s="1"/>
  <c r="B42" i="59"/>
  <c r="T41" i="59"/>
  <c r="P41" i="59"/>
  <c r="X41" i="59" s="1"/>
  <c r="Z41" i="59" s="1"/>
  <c r="J41" i="59"/>
  <c r="H41" i="59"/>
  <c r="D41" i="59"/>
  <c r="L41" i="59" s="1"/>
  <c r="N41" i="59" s="1"/>
  <c r="B41" i="59"/>
  <c r="Z40" i="59"/>
  <c r="X40" i="59"/>
  <c r="N40" i="59"/>
  <c r="L40" i="59"/>
  <c r="J40" i="59"/>
  <c r="F40" i="59"/>
  <c r="B40" i="59"/>
  <c r="Z39" i="59"/>
  <c r="X39" i="59"/>
  <c r="N39" i="59"/>
  <c r="L39" i="59"/>
  <c r="F39" i="59"/>
  <c r="B39" i="59"/>
  <c r="Z38" i="59"/>
  <c r="X38" i="59"/>
  <c r="N38" i="59"/>
  <c r="L38" i="59"/>
  <c r="B38" i="59"/>
  <c r="Z37" i="59"/>
  <c r="X37" i="59"/>
  <c r="R37" i="59"/>
  <c r="N37" i="59"/>
  <c r="L37" i="59"/>
  <c r="F37" i="59"/>
  <c r="B37" i="59"/>
  <c r="Z36" i="59"/>
  <c r="X36" i="59"/>
  <c r="N36" i="59"/>
  <c r="L36" i="59"/>
  <c r="J36" i="59"/>
  <c r="F36" i="59"/>
  <c r="B36" i="59"/>
  <c r="Z35" i="59"/>
  <c r="X35" i="59"/>
  <c r="N35" i="59"/>
  <c r="L35" i="59"/>
  <c r="F35" i="59"/>
  <c r="B35" i="59"/>
  <c r="X34" i="59"/>
  <c r="Z34" i="59" s="1"/>
  <c r="N34" i="59"/>
  <c r="L34" i="59"/>
  <c r="B34" i="59"/>
  <c r="Z33" i="59"/>
  <c r="X33" i="59"/>
  <c r="R33" i="59"/>
  <c r="N33" i="59"/>
  <c r="L33" i="59"/>
  <c r="F33" i="59"/>
  <c r="B33" i="59"/>
  <c r="X32" i="59"/>
  <c r="Z32" i="59" s="1"/>
  <c r="N32" i="59"/>
  <c r="L32" i="59"/>
  <c r="J32" i="59"/>
  <c r="F32" i="59"/>
  <c r="B32" i="59"/>
  <c r="Z31" i="59"/>
  <c r="X31" i="59"/>
  <c r="N31" i="59"/>
  <c r="L31" i="59"/>
  <c r="F31" i="59"/>
  <c r="B31" i="59"/>
  <c r="X30" i="59"/>
  <c r="Z30" i="59" s="1"/>
  <c r="T30" i="59"/>
  <c r="R30" i="59"/>
  <c r="P30" i="59"/>
  <c r="H30" i="59"/>
  <c r="F30" i="59"/>
  <c r="D30" i="59"/>
  <c r="L30" i="59" s="1"/>
  <c r="B30" i="59"/>
  <c r="Z29" i="59"/>
  <c r="X29" i="59"/>
  <c r="R29" i="59"/>
  <c r="N29" i="59"/>
  <c r="L29" i="59"/>
  <c r="B29" i="59"/>
  <c r="Z28" i="59"/>
  <c r="X28" i="59"/>
  <c r="V28" i="59"/>
  <c r="R28" i="59"/>
  <c r="N28" i="59"/>
  <c r="L28" i="59"/>
  <c r="J28" i="59"/>
  <c r="B28" i="59"/>
  <c r="Z27" i="59"/>
  <c r="X27" i="59"/>
  <c r="L27" i="59"/>
  <c r="N27" i="59" s="1"/>
  <c r="J27" i="59"/>
  <c r="F27" i="59"/>
  <c r="B27" i="59"/>
  <c r="Z26" i="59"/>
  <c r="X26" i="59"/>
  <c r="N26" i="59"/>
  <c r="L26" i="59"/>
  <c r="J26" i="59"/>
  <c r="F26" i="59"/>
  <c r="B26" i="59"/>
  <c r="Z25" i="59"/>
  <c r="X25" i="59"/>
  <c r="R25" i="59"/>
  <c r="N25" i="59"/>
  <c r="L25" i="59"/>
  <c r="B25" i="59"/>
  <c r="Z24" i="59"/>
  <c r="X24" i="59"/>
  <c r="V24" i="59"/>
  <c r="R24" i="59"/>
  <c r="N24" i="59"/>
  <c r="L24" i="59"/>
  <c r="J24" i="59"/>
  <c r="B24" i="59"/>
  <c r="Z23" i="59"/>
  <c r="X23" i="59"/>
  <c r="R23" i="59"/>
  <c r="L23" i="59"/>
  <c r="N23" i="59" s="1"/>
  <c r="J23" i="59"/>
  <c r="F23" i="59"/>
  <c r="B23" i="59"/>
  <c r="Z22" i="59"/>
  <c r="X22" i="59"/>
  <c r="L22" i="59"/>
  <c r="N22" i="59" s="1"/>
  <c r="J22" i="59"/>
  <c r="F22" i="59"/>
  <c r="B22" i="59"/>
  <c r="Z21" i="59"/>
  <c r="X21" i="59"/>
  <c r="R21" i="59"/>
  <c r="N21" i="59"/>
  <c r="L21" i="59"/>
  <c r="B21" i="59"/>
  <c r="Z20" i="59"/>
  <c r="X20" i="59"/>
  <c r="V20" i="59"/>
  <c r="R20" i="59"/>
  <c r="N20" i="59"/>
  <c r="L20" i="59"/>
  <c r="J20" i="59"/>
  <c r="B20" i="59"/>
  <c r="T19" i="59"/>
  <c r="P19" i="59"/>
  <c r="X19" i="59" s="1"/>
  <c r="N19" i="59"/>
  <c r="H19" i="59"/>
  <c r="L19" i="59" s="1"/>
  <c r="D19" i="59"/>
  <c r="B19" i="59"/>
  <c r="T18" i="59"/>
  <c r="Z18" i="59" s="1"/>
  <c r="R18" i="59"/>
  <c r="P18" i="59"/>
  <c r="X18" i="59" s="1"/>
  <c r="J18" i="59"/>
  <c r="H18" i="59"/>
  <c r="D18" i="59"/>
  <c r="L18" i="59" s="1"/>
  <c r="N18" i="59" s="1"/>
  <c r="R16" i="59"/>
  <c r="P16" i="59"/>
  <c r="J16" i="59"/>
  <c r="T14" i="59"/>
  <c r="Z14" i="59" s="1"/>
  <c r="R14" i="59"/>
  <c r="P14" i="59"/>
  <c r="X14" i="59" s="1"/>
  <c r="N14" i="59"/>
  <c r="J14" i="59"/>
  <c r="H14" i="59"/>
  <c r="D14" i="59"/>
  <c r="L14" i="59" s="1"/>
  <c r="T12" i="59"/>
  <c r="V62" i="59" s="1"/>
  <c r="P12" i="59"/>
  <c r="R38" i="59" s="1"/>
  <c r="N12" i="59"/>
  <c r="L12" i="59"/>
  <c r="H12" i="59"/>
  <c r="J70" i="59" s="1"/>
  <c r="D12" i="59"/>
  <c r="F68" i="59" s="1"/>
  <c r="D6" i="59"/>
  <c r="D4" i="59"/>
  <c r="F78" i="58"/>
  <c r="F75" i="58"/>
  <c r="Z73" i="58"/>
  <c r="X73" i="58"/>
  <c r="N73" i="58"/>
  <c r="L73" i="58"/>
  <c r="J73" i="58"/>
  <c r="F73" i="58"/>
  <c r="V71" i="58"/>
  <c r="V69" i="58"/>
  <c r="T69" i="58"/>
  <c r="Z69" i="58" s="1"/>
  <c r="P69" i="58"/>
  <c r="X69" i="58" s="1"/>
  <c r="H69" i="58"/>
  <c r="N69" i="58" s="1"/>
  <c r="D69" i="58"/>
  <c r="L69" i="58" s="1"/>
  <c r="Z67" i="58"/>
  <c r="X67" i="58"/>
  <c r="V67" i="58"/>
  <c r="L67" i="58"/>
  <c r="N67" i="58" s="1"/>
  <c r="B67" i="58"/>
  <c r="V66" i="58"/>
  <c r="T66" i="58"/>
  <c r="P66" i="58"/>
  <c r="X66" i="58" s="1"/>
  <c r="Z66" i="58" s="1"/>
  <c r="H66" i="58"/>
  <c r="D66" i="58"/>
  <c r="L66" i="58" s="1"/>
  <c r="N66" i="58" s="1"/>
  <c r="B66" i="58"/>
  <c r="X65" i="58"/>
  <c r="Z65" i="58" s="1"/>
  <c r="N65" i="58"/>
  <c r="L65" i="58"/>
  <c r="B65" i="58"/>
  <c r="T64" i="58"/>
  <c r="R64" i="58"/>
  <c r="P64" i="58"/>
  <c r="L64" i="58"/>
  <c r="N64" i="58" s="1"/>
  <c r="H64" i="58"/>
  <c r="D64" i="58"/>
  <c r="B64" i="58"/>
  <c r="Z63" i="58"/>
  <c r="X63" i="58"/>
  <c r="V63" i="58"/>
  <c r="R63" i="58"/>
  <c r="N63" i="58"/>
  <c r="L63" i="58"/>
  <c r="J63" i="58"/>
  <c r="B63" i="58"/>
  <c r="Z62" i="58"/>
  <c r="X62" i="58"/>
  <c r="L62" i="58"/>
  <c r="N62" i="58" s="1"/>
  <c r="J62" i="58"/>
  <c r="B62" i="58"/>
  <c r="Z61" i="58"/>
  <c r="X61" i="58"/>
  <c r="L61" i="58"/>
  <c r="N61" i="58" s="1"/>
  <c r="B61" i="58"/>
  <c r="Z60" i="58"/>
  <c r="T60" i="58"/>
  <c r="X60" i="58" s="1"/>
  <c r="P60" i="58"/>
  <c r="H60" i="58"/>
  <c r="D60" i="58"/>
  <c r="L60" i="58" s="1"/>
  <c r="B60" i="58"/>
  <c r="Z59" i="58"/>
  <c r="X59" i="58"/>
  <c r="V59" i="58"/>
  <c r="L59" i="58"/>
  <c r="N59" i="58" s="1"/>
  <c r="B59" i="58"/>
  <c r="V58" i="58"/>
  <c r="T58" i="58"/>
  <c r="P58" i="58"/>
  <c r="X58" i="58" s="1"/>
  <c r="Z58" i="58" s="1"/>
  <c r="H58" i="58"/>
  <c r="D58" i="58"/>
  <c r="L58" i="58" s="1"/>
  <c r="N58" i="58" s="1"/>
  <c r="B58" i="58"/>
  <c r="X57" i="58"/>
  <c r="Z57" i="58" s="1"/>
  <c r="N57" i="58"/>
  <c r="L57" i="58"/>
  <c r="B57" i="58"/>
  <c r="T56" i="58"/>
  <c r="R56" i="58"/>
  <c r="P56" i="58"/>
  <c r="L56" i="58"/>
  <c r="N56" i="58" s="1"/>
  <c r="H56" i="58"/>
  <c r="D56" i="58"/>
  <c r="B56" i="58"/>
  <c r="Z55" i="58"/>
  <c r="X55" i="58"/>
  <c r="V55" i="58"/>
  <c r="R55" i="58"/>
  <c r="N55" i="58"/>
  <c r="L55" i="58"/>
  <c r="J55" i="58"/>
  <c r="B55" i="58"/>
  <c r="Z54" i="58"/>
  <c r="X54" i="58"/>
  <c r="L54" i="58"/>
  <c r="N54" i="58" s="1"/>
  <c r="J54" i="58"/>
  <c r="B54" i="58"/>
  <c r="Z53" i="58"/>
  <c r="X53" i="58"/>
  <c r="N53" i="58"/>
  <c r="L53" i="58"/>
  <c r="J53" i="58"/>
  <c r="B53" i="58"/>
  <c r="T52" i="58"/>
  <c r="X52" i="58" s="1"/>
  <c r="P52" i="58"/>
  <c r="H52" i="58"/>
  <c r="N52" i="58" s="1"/>
  <c r="D52" i="58"/>
  <c r="L52" i="58" s="1"/>
  <c r="B52" i="58"/>
  <c r="Z51" i="58"/>
  <c r="X51" i="58"/>
  <c r="V51" i="58"/>
  <c r="L51" i="58"/>
  <c r="N51" i="58" s="1"/>
  <c r="B51" i="58"/>
  <c r="X50" i="58"/>
  <c r="Z50" i="58" s="1"/>
  <c r="V50" i="58"/>
  <c r="L50" i="58"/>
  <c r="N50" i="58" s="1"/>
  <c r="B50" i="58"/>
  <c r="V49" i="58"/>
  <c r="T49" i="58"/>
  <c r="R49" i="58"/>
  <c r="P49" i="58"/>
  <c r="X49" i="58" s="1"/>
  <c r="J49" i="58"/>
  <c r="H49" i="58"/>
  <c r="D49" i="58"/>
  <c r="L49" i="58" s="1"/>
  <c r="N49" i="58" s="1"/>
  <c r="B49" i="58"/>
  <c r="X48" i="58"/>
  <c r="Z48" i="58" s="1"/>
  <c r="R48" i="58"/>
  <c r="N48" i="58"/>
  <c r="L48" i="58"/>
  <c r="F48" i="58"/>
  <c r="B48" i="58"/>
  <c r="T47" i="58"/>
  <c r="Z47" i="58" s="1"/>
  <c r="P47" i="58"/>
  <c r="X47" i="58" s="1"/>
  <c r="L47" i="58"/>
  <c r="N47" i="58" s="1"/>
  <c r="H47" i="58"/>
  <c r="F47" i="58"/>
  <c r="D47" i="58"/>
  <c r="B47" i="58"/>
  <c r="Z46" i="58"/>
  <c r="X46" i="58"/>
  <c r="L46" i="58"/>
  <c r="N46" i="58" s="1"/>
  <c r="J46" i="58"/>
  <c r="B46" i="58"/>
  <c r="Z45" i="58"/>
  <c r="T45" i="58"/>
  <c r="X45" i="58" s="1"/>
  <c r="P45" i="58"/>
  <c r="J45" i="58"/>
  <c r="H45" i="58"/>
  <c r="D45" i="58"/>
  <c r="B45" i="58"/>
  <c r="Z44" i="58"/>
  <c r="X44" i="58"/>
  <c r="N44" i="58"/>
  <c r="L44" i="58"/>
  <c r="F44" i="58"/>
  <c r="B44" i="58"/>
  <c r="V43" i="58"/>
  <c r="T43" i="58"/>
  <c r="Z43" i="58" s="1"/>
  <c r="P43" i="58"/>
  <c r="X43" i="58" s="1"/>
  <c r="J43" i="58"/>
  <c r="H43" i="58"/>
  <c r="N43" i="58" s="1"/>
  <c r="F43" i="58"/>
  <c r="D43" i="58"/>
  <c r="L43" i="58" s="1"/>
  <c r="B43" i="58"/>
  <c r="X42" i="58"/>
  <c r="Z42" i="58" s="1"/>
  <c r="N42" i="58"/>
  <c r="L42" i="58"/>
  <c r="B42" i="58"/>
  <c r="X41" i="58"/>
  <c r="Z41" i="58" s="1"/>
  <c r="T41" i="58"/>
  <c r="R41" i="58"/>
  <c r="P41" i="58"/>
  <c r="H41" i="58"/>
  <c r="D41" i="58"/>
  <c r="L41" i="58" s="1"/>
  <c r="B41" i="58"/>
  <c r="Z40" i="58"/>
  <c r="X40" i="58"/>
  <c r="R40" i="58"/>
  <c r="N40" i="58"/>
  <c r="L40" i="58"/>
  <c r="B40" i="58"/>
  <c r="Z39" i="58"/>
  <c r="X39" i="58"/>
  <c r="V39" i="58"/>
  <c r="R39" i="58"/>
  <c r="N39" i="58"/>
  <c r="L39" i="58"/>
  <c r="J39" i="58"/>
  <c r="B39" i="58"/>
  <c r="Z38" i="58"/>
  <c r="X38" i="58"/>
  <c r="R38" i="58"/>
  <c r="N38" i="58"/>
  <c r="L38" i="58"/>
  <c r="J38" i="58"/>
  <c r="B38" i="58"/>
  <c r="Z37" i="58"/>
  <c r="X37" i="58"/>
  <c r="N37" i="58"/>
  <c r="L37" i="58"/>
  <c r="J37" i="58"/>
  <c r="B37" i="58"/>
  <c r="Z36" i="58"/>
  <c r="X36" i="58"/>
  <c r="R36" i="58"/>
  <c r="N36" i="58"/>
  <c r="L36" i="58"/>
  <c r="B36" i="58"/>
  <c r="Z35" i="58"/>
  <c r="X35" i="58"/>
  <c r="V35" i="58"/>
  <c r="R35" i="58"/>
  <c r="N35" i="58"/>
  <c r="L35" i="58"/>
  <c r="J35" i="58"/>
  <c r="B35" i="58"/>
  <c r="Z34" i="58"/>
  <c r="X34" i="58"/>
  <c r="R34" i="58"/>
  <c r="L34" i="58"/>
  <c r="N34" i="58" s="1"/>
  <c r="J34" i="58"/>
  <c r="B34" i="58"/>
  <c r="Z33" i="58"/>
  <c r="X33" i="58"/>
  <c r="N33" i="58"/>
  <c r="L33" i="58"/>
  <c r="J33" i="58"/>
  <c r="B33" i="58"/>
  <c r="Z32" i="58"/>
  <c r="X32" i="58"/>
  <c r="R32" i="58"/>
  <c r="N32" i="58"/>
  <c r="L32" i="58"/>
  <c r="B32" i="58"/>
  <c r="Z31" i="58"/>
  <c r="X31" i="58"/>
  <c r="V31" i="58"/>
  <c r="R31" i="58"/>
  <c r="N31" i="58"/>
  <c r="L31" i="58"/>
  <c r="J31" i="58"/>
  <c r="B31" i="58"/>
  <c r="T30" i="58"/>
  <c r="P30" i="58"/>
  <c r="X30" i="58" s="1"/>
  <c r="H30" i="58"/>
  <c r="N30" i="58" s="1"/>
  <c r="D30" i="58"/>
  <c r="L30" i="58" s="1"/>
  <c r="B30" i="58"/>
  <c r="X29" i="58"/>
  <c r="Z29" i="58" s="1"/>
  <c r="V29" i="58"/>
  <c r="L29" i="58"/>
  <c r="N29" i="58" s="1"/>
  <c r="B29" i="58"/>
  <c r="X28" i="58"/>
  <c r="Z28" i="58" s="1"/>
  <c r="L28" i="58"/>
  <c r="N28" i="58" s="1"/>
  <c r="J28" i="58"/>
  <c r="F28" i="58"/>
  <c r="B28" i="58"/>
  <c r="Z27" i="58"/>
  <c r="X27" i="58"/>
  <c r="V27" i="58"/>
  <c r="L27" i="58"/>
  <c r="N27" i="58" s="1"/>
  <c r="B27" i="58"/>
  <c r="Z26" i="58"/>
  <c r="X26" i="58"/>
  <c r="V26" i="58"/>
  <c r="N26" i="58"/>
  <c r="L26" i="58"/>
  <c r="B26" i="58"/>
  <c r="Z25" i="58"/>
  <c r="X25" i="58"/>
  <c r="V25" i="58"/>
  <c r="N25" i="58"/>
  <c r="L25" i="58"/>
  <c r="B25" i="58"/>
  <c r="X24" i="58"/>
  <c r="Z24" i="58" s="1"/>
  <c r="V24" i="58"/>
  <c r="L24" i="58"/>
  <c r="N24" i="58" s="1"/>
  <c r="J24" i="58"/>
  <c r="F24" i="58"/>
  <c r="B24" i="58"/>
  <c r="Z23" i="58"/>
  <c r="X23" i="58"/>
  <c r="V23" i="58"/>
  <c r="L23" i="58"/>
  <c r="N23" i="58" s="1"/>
  <c r="B23" i="58"/>
  <c r="X22" i="58"/>
  <c r="Z22" i="58" s="1"/>
  <c r="V22" i="58"/>
  <c r="L22" i="58"/>
  <c r="N22" i="58" s="1"/>
  <c r="B22" i="58"/>
  <c r="X21" i="58"/>
  <c r="Z21" i="58" s="1"/>
  <c r="V21" i="58"/>
  <c r="L21" i="58"/>
  <c r="N21" i="58" s="1"/>
  <c r="B21" i="58"/>
  <c r="X20" i="58"/>
  <c r="Z20" i="58" s="1"/>
  <c r="V20" i="58"/>
  <c r="L20" i="58"/>
  <c r="N20" i="58" s="1"/>
  <c r="J20" i="58"/>
  <c r="F20" i="58"/>
  <c r="B20" i="58"/>
  <c r="V19" i="58"/>
  <c r="T19" i="58"/>
  <c r="P19" i="58"/>
  <c r="X19" i="58" s="1"/>
  <c r="Z19" i="58" s="1"/>
  <c r="J19" i="58"/>
  <c r="H19" i="58"/>
  <c r="N19" i="58" s="1"/>
  <c r="F19" i="58"/>
  <c r="D19" i="58"/>
  <c r="L19" i="58" s="1"/>
  <c r="B19" i="58"/>
  <c r="X18" i="58"/>
  <c r="T18" i="58"/>
  <c r="P18" i="58"/>
  <c r="J18" i="58"/>
  <c r="H18" i="58"/>
  <c r="F18" i="58"/>
  <c r="D18" i="58"/>
  <c r="J16" i="58"/>
  <c r="F16" i="58"/>
  <c r="X14" i="58"/>
  <c r="T14" i="58"/>
  <c r="Z14" i="58" s="1"/>
  <c r="P14" i="58"/>
  <c r="J14" i="58"/>
  <c r="H14" i="58"/>
  <c r="N14" i="58" s="1"/>
  <c r="F14" i="58"/>
  <c r="D14" i="58"/>
  <c r="Z12" i="58"/>
  <c r="X12" i="58"/>
  <c r="T12" i="58"/>
  <c r="V65" i="58" s="1"/>
  <c r="P12" i="58"/>
  <c r="R50" i="58" s="1"/>
  <c r="N12" i="58"/>
  <c r="H12" i="58"/>
  <c r="J78" i="58" s="1"/>
  <c r="D12" i="58"/>
  <c r="F62" i="58" s="1"/>
  <c r="D6" i="58"/>
  <c r="D4" i="58"/>
  <c r="Z74" i="57"/>
  <c r="X74" i="57"/>
  <c r="N74" i="57"/>
  <c r="L74" i="57"/>
  <c r="Z70" i="57"/>
  <c r="R70" i="57"/>
  <c r="P70" i="57"/>
  <c r="X70" i="57" s="1"/>
  <c r="N70" i="57"/>
  <c r="J70" i="57"/>
  <c r="D70" i="57"/>
  <c r="L70" i="57" s="1"/>
  <c r="B70" i="57"/>
  <c r="Z69" i="57"/>
  <c r="P69" i="57"/>
  <c r="N69" i="57"/>
  <c r="L69" i="57"/>
  <c r="F69" i="57"/>
  <c r="D69" i="57"/>
  <c r="B69" i="57"/>
  <c r="Z68" i="57"/>
  <c r="P68" i="57"/>
  <c r="X68" i="57" s="1"/>
  <c r="N68" i="57"/>
  <c r="L68" i="57"/>
  <c r="D68" i="57"/>
  <c r="D67" i="57" s="1"/>
  <c r="L67" i="57" s="1"/>
  <c r="B68" i="57"/>
  <c r="Z67" i="57"/>
  <c r="T67" i="57"/>
  <c r="N67" i="57"/>
  <c r="H67" i="57"/>
  <c r="F67" i="57"/>
  <c r="Z65" i="57"/>
  <c r="X65" i="57"/>
  <c r="N65" i="57"/>
  <c r="L65" i="57"/>
  <c r="J65" i="57"/>
  <c r="F65" i="57"/>
  <c r="B65" i="57"/>
  <c r="X64" i="57"/>
  <c r="T64" i="57"/>
  <c r="Z64" i="57" s="1"/>
  <c r="P64" i="57"/>
  <c r="H64" i="57"/>
  <c r="F64" i="57"/>
  <c r="D64" i="57"/>
  <c r="B64" i="57"/>
  <c r="Z63" i="57"/>
  <c r="X63" i="57"/>
  <c r="N63" i="57"/>
  <c r="L63" i="57"/>
  <c r="J63" i="57"/>
  <c r="B63" i="57"/>
  <c r="T62" i="57"/>
  <c r="P62" i="57"/>
  <c r="X62" i="57" s="1"/>
  <c r="Z62" i="57" s="1"/>
  <c r="H62" i="57"/>
  <c r="N62" i="57" s="1"/>
  <c r="D62" i="57"/>
  <c r="L62" i="57" s="1"/>
  <c r="B62" i="57"/>
  <c r="Z61" i="57"/>
  <c r="X61" i="57"/>
  <c r="N61" i="57"/>
  <c r="L61" i="57"/>
  <c r="B61" i="57"/>
  <c r="T60" i="57"/>
  <c r="P60" i="57"/>
  <c r="X60" i="57" s="1"/>
  <c r="Z60" i="57" s="1"/>
  <c r="H60" i="57"/>
  <c r="D60" i="57"/>
  <c r="L60" i="57" s="1"/>
  <c r="B60" i="57"/>
  <c r="X59" i="57"/>
  <c r="Z59" i="57" s="1"/>
  <c r="N59" i="57"/>
  <c r="L59" i="57"/>
  <c r="B59" i="57"/>
  <c r="Z58" i="57"/>
  <c r="X58" i="57"/>
  <c r="R58" i="57"/>
  <c r="N58" i="57"/>
  <c r="L58" i="57"/>
  <c r="F58" i="57"/>
  <c r="B58" i="57"/>
  <c r="Z57" i="57"/>
  <c r="X57" i="57"/>
  <c r="N57" i="57"/>
  <c r="L57" i="57"/>
  <c r="J57" i="57"/>
  <c r="F57" i="57"/>
  <c r="B57" i="57"/>
  <c r="X56" i="57"/>
  <c r="T56" i="57"/>
  <c r="P56" i="57"/>
  <c r="H56" i="57"/>
  <c r="F56" i="57"/>
  <c r="D56" i="57"/>
  <c r="B56" i="57"/>
  <c r="Z55" i="57"/>
  <c r="X55" i="57"/>
  <c r="N55" i="57"/>
  <c r="L55" i="57"/>
  <c r="J55" i="57"/>
  <c r="B55" i="57"/>
  <c r="Z54" i="57"/>
  <c r="T54" i="57"/>
  <c r="P54" i="57"/>
  <c r="X54" i="57" s="1"/>
  <c r="H54" i="57"/>
  <c r="D54" i="57"/>
  <c r="L54" i="57" s="1"/>
  <c r="B54" i="57"/>
  <c r="Z53" i="57"/>
  <c r="X53" i="57"/>
  <c r="N53" i="57"/>
  <c r="L53" i="57"/>
  <c r="B53" i="57"/>
  <c r="X52" i="57"/>
  <c r="Z52" i="57" s="1"/>
  <c r="L52" i="57"/>
  <c r="N52" i="57" s="1"/>
  <c r="B52" i="57"/>
  <c r="T51" i="57"/>
  <c r="P51" i="57"/>
  <c r="X51" i="57" s="1"/>
  <c r="J51" i="57"/>
  <c r="H51" i="57"/>
  <c r="D51" i="57"/>
  <c r="L51" i="57" s="1"/>
  <c r="N51" i="57" s="1"/>
  <c r="B51" i="57"/>
  <c r="X50" i="57"/>
  <c r="Z50" i="57" s="1"/>
  <c r="R50" i="57"/>
  <c r="N50" i="57"/>
  <c r="L50" i="57"/>
  <c r="F50" i="57"/>
  <c r="B50" i="57"/>
  <c r="T49" i="57"/>
  <c r="P49" i="57"/>
  <c r="X49" i="57" s="1"/>
  <c r="Z49" i="57" s="1"/>
  <c r="N49" i="57"/>
  <c r="L49" i="57"/>
  <c r="H49" i="57"/>
  <c r="F49" i="57"/>
  <c r="D49" i="57"/>
  <c r="B49" i="57"/>
  <c r="Z48" i="57"/>
  <c r="X48" i="57"/>
  <c r="L48" i="57"/>
  <c r="N48" i="57" s="1"/>
  <c r="J48" i="57"/>
  <c r="B48" i="57"/>
  <c r="T47" i="57"/>
  <c r="X47" i="57" s="1"/>
  <c r="Z47" i="57" s="1"/>
  <c r="P47" i="57"/>
  <c r="J47" i="57"/>
  <c r="H47" i="57"/>
  <c r="D47" i="57"/>
  <c r="B47" i="57"/>
  <c r="X46" i="57"/>
  <c r="Z46" i="57" s="1"/>
  <c r="L46" i="57"/>
  <c r="N46" i="57" s="1"/>
  <c r="F46" i="57"/>
  <c r="B46" i="57"/>
  <c r="T45" i="57"/>
  <c r="P45" i="57"/>
  <c r="X45" i="57" s="1"/>
  <c r="Z45" i="57" s="1"/>
  <c r="J45" i="57"/>
  <c r="H45" i="57"/>
  <c r="F45" i="57"/>
  <c r="D45" i="57"/>
  <c r="L45" i="57" s="1"/>
  <c r="B45" i="57"/>
  <c r="X44" i="57"/>
  <c r="Z44" i="57" s="1"/>
  <c r="N44" i="57"/>
  <c r="L44" i="57"/>
  <c r="F44" i="57"/>
  <c r="B44" i="57"/>
  <c r="X43" i="57"/>
  <c r="Z43" i="57" s="1"/>
  <c r="T43" i="57"/>
  <c r="P43" i="57"/>
  <c r="H43" i="57"/>
  <c r="F43" i="57"/>
  <c r="D43" i="57"/>
  <c r="L43" i="57" s="1"/>
  <c r="N43" i="57" s="1"/>
  <c r="B43" i="57"/>
  <c r="Z42" i="57"/>
  <c r="X42" i="57"/>
  <c r="L42" i="57"/>
  <c r="N42" i="57" s="1"/>
  <c r="B42" i="57"/>
  <c r="T41" i="57"/>
  <c r="P41" i="57"/>
  <c r="N41" i="57"/>
  <c r="H41" i="57"/>
  <c r="D41" i="57"/>
  <c r="L41" i="57" s="1"/>
  <c r="B41" i="57"/>
  <c r="Z40" i="57"/>
  <c r="X40" i="57"/>
  <c r="N40" i="57"/>
  <c r="L40" i="57"/>
  <c r="B40" i="57"/>
  <c r="Z39" i="57"/>
  <c r="X39" i="57"/>
  <c r="N39" i="57"/>
  <c r="L39" i="57"/>
  <c r="B39" i="57"/>
  <c r="Z38" i="57"/>
  <c r="X38" i="57"/>
  <c r="N38" i="57"/>
  <c r="L38" i="57"/>
  <c r="F38" i="57"/>
  <c r="B38" i="57"/>
  <c r="Z37" i="57"/>
  <c r="X37" i="57"/>
  <c r="N37" i="57"/>
  <c r="L37" i="57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N34" i="57"/>
  <c r="L34" i="57"/>
  <c r="F34" i="57"/>
  <c r="B34" i="57"/>
  <c r="Z33" i="57"/>
  <c r="X33" i="57"/>
  <c r="N33" i="57"/>
  <c r="L33" i="57"/>
  <c r="B33" i="57"/>
  <c r="X32" i="57"/>
  <c r="Z32" i="57" s="1"/>
  <c r="L32" i="57"/>
  <c r="N32" i="57" s="1"/>
  <c r="B32" i="57"/>
  <c r="X31" i="57"/>
  <c r="Z31" i="57" s="1"/>
  <c r="L31" i="57"/>
  <c r="N31" i="57" s="1"/>
  <c r="B31" i="57"/>
  <c r="T30" i="57"/>
  <c r="Z30" i="57" s="1"/>
  <c r="P30" i="57"/>
  <c r="X30" i="57" s="1"/>
  <c r="L30" i="57"/>
  <c r="J30" i="57"/>
  <c r="H30" i="57"/>
  <c r="D30" i="57"/>
  <c r="B30" i="57"/>
  <c r="X29" i="57"/>
  <c r="Z29" i="57" s="1"/>
  <c r="N29" i="57"/>
  <c r="L29" i="57"/>
  <c r="J29" i="57"/>
  <c r="F29" i="57"/>
  <c r="B29" i="57"/>
  <c r="X28" i="57"/>
  <c r="Z28" i="57" s="1"/>
  <c r="N28" i="57"/>
  <c r="L28" i="57"/>
  <c r="F28" i="57"/>
  <c r="B28" i="57"/>
  <c r="X27" i="57"/>
  <c r="Z27" i="57" s="1"/>
  <c r="N27" i="57"/>
  <c r="L27" i="57"/>
  <c r="J27" i="57"/>
  <c r="B27" i="57"/>
  <c r="Z26" i="57"/>
  <c r="X26" i="57"/>
  <c r="R26" i="57"/>
  <c r="N26" i="57"/>
  <c r="L26" i="57"/>
  <c r="F26" i="57"/>
  <c r="B26" i="57"/>
  <c r="X25" i="57"/>
  <c r="Z25" i="57" s="1"/>
  <c r="N25" i="57"/>
  <c r="L25" i="57"/>
  <c r="J25" i="57"/>
  <c r="F25" i="57"/>
  <c r="B25" i="57"/>
  <c r="X24" i="57"/>
  <c r="Z24" i="57" s="1"/>
  <c r="N24" i="57"/>
  <c r="L24" i="57"/>
  <c r="F24" i="57"/>
  <c r="B24" i="57"/>
  <c r="X23" i="57"/>
  <c r="Z23" i="57" s="1"/>
  <c r="N23" i="57"/>
  <c r="L23" i="57"/>
  <c r="J23" i="57"/>
  <c r="B23" i="57"/>
  <c r="X22" i="57"/>
  <c r="Z22" i="57" s="1"/>
  <c r="N22" i="57"/>
  <c r="L22" i="57"/>
  <c r="F22" i="57"/>
  <c r="B22" i="57"/>
  <c r="X21" i="57"/>
  <c r="Z21" i="57" s="1"/>
  <c r="N21" i="57"/>
  <c r="L21" i="57"/>
  <c r="J21" i="57"/>
  <c r="F21" i="57"/>
  <c r="B21" i="57"/>
  <c r="X20" i="57"/>
  <c r="T20" i="57"/>
  <c r="P20" i="57"/>
  <c r="L20" i="57"/>
  <c r="J20" i="57"/>
  <c r="H20" i="57"/>
  <c r="F20" i="57"/>
  <c r="D20" i="57"/>
  <c r="B20" i="57"/>
  <c r="Z19" i="57"/>
  <c r="T19" i="57"/>
  <c r="P19" i="57"/>
  <c r="X19" i="57" s="1"/>
  <c r="J19" i="57"/>
  <c r="H19" i="57"/>
  <c r="D19" i="57"/>
  <c r="J17" i="57"/>
  <c r="H17" i="57"/>
  <c r="Z15" i="57"/>
  <c r="T15" i="57"/>
  <c r="P15" i="57"/>
  <c r="X15" i="57" s="1"/>
  <c r="J15" i="57"/>
  <c r="H15" i="57"/>
  <c r="L15" i="57" s="1"/>
  <c r="D15" i="57"/>
  <c r="Z13" i="57"/>
  <c r="P13" i="57"/>
  <c r="P12" i="57" s="1"/>
  <c r="R74" i="57" s="1"/>
  <c r="N13" i="57"/>
  <c r="D13" i="57"/>
  <c r="L13" i="57" s="1"/>
  <c r="B13" i="57"/>
  <c r="T12" i="57"/>
  <c r="V53" i="57" s="1"/>
  <c r="N12" i="57"/>
  <c r="L12" i="57"/>
  <c r="H12" i="57"/>
  <c r="J68" i="57" s="1"/>
  <c r="D12" i="57"/>
  <c r="F48" i="57" s="1"/>
  <c r="D6" i="57"/>
  <c r="D4" i="57"/>
  <c r="R72" i="56"/>
  <c r="Z70" i="56"/>
  <c r="X70" i="56"/>
  <c r="R70" i="56"/>
  <c r="N70" i="56"/>
  <c r="L70" i="56"/>
  <c r="T66" i="56"/>
  <c r="Z66" i="56" s="1"/>
  <c r="P66" i="56"/>
  <c r="X66" i="56" s="1"/>
  <c r="H66" i="56"/>
  <c r="N66" i="56" s="1"/>
  <c r="D66" i="56"/>
  <c r="L66" i="56" s="1"/>
  <c r="X64" i="56"/>
  <c r="Z64" i="56" s="1"/>
  <c r="L64" i="56"/>
  <c r="N64" i="56" s="1"/>
  <c r="B64" i="56"/>
  <c r="V63" i="56"/>
  <c r="T63" i="56"/>
  <c r="P63" i="56"/>
  <c r="X63" i="56" s="1"/>
  <c r="Z63" i="56" s="1"/>
  <c r="H63" i="56"/>
  <c r="D63" i="56"/>
  <c r="L63" i="56" s="1"/>
  <c r="N63" i="56" s="1"/>
  <c r="B63" i="56"/>
  <c r="Z62" i="56"/>
  <c r="X62" i="56"/>
  <c r="N62" i="56"/>
  <c r="L62" i="56"/>
  <c r="B62" i="56"/>
  <c r="Z61" i="56"/>
  <c r="X61" i="56"/>
  <c r="N61" i="56"/>
  <c r="L61" i="56"/>
  <c r="B61" i="56"/>
  <c r="X60" i="56"/>
  <c r="Z60" i="56" s="1"/>
  <c r="N60" i="56"/>
  <c r="L60" i="56"/>
  <c r="B60" i="56"/>
  <c r="X59" i="56"/>
  <c r="Z59" i="56" s="1"/>
  <c r="T59" i="56"/>
  <c r="P59" i="56"/>
  <c r="L59" i="56"/>
  <c r="N59" i="56" s="1"/>
  <c r="H59" i="56"/>
  <c r="D59" i="56"/>
  <c r="B59" i="56"/>
  <c r="Z58" i="56"/>
  <c r="X58" i="56"/>
  <c r="R58" i="56"/>
  <c r="L58" i="56"/>
  <c r="N58" i="56" s="1"/>
  <c r="B58" i="56"/>
  <c r="T57" i="56"/>
  <c r="P57" i="56"/>
  <c r="X57" i="56" s="1"/>
  <c r="Z57" i="56" s="1"/>
  <c r="H57" i="56"/>
  <c r="L57" i="56" s="1"/>
  <c r="D57" i="56"/>
  <c r="B57" i="56"/>
  <c r="X56" i="56"/>
  <c r="Z56" i="56" s="1"/>
  <c r="L56" i="56"/>
  <c r="N56" i="56" s="1"/>
  <c r="B56" i="56"/>
  <c r="V55" i="56"/>
  <c r="T55" i="56"/>
  <c r="P55" i="56"/>
  <c r="X55" i="56" s="1"/>
  <c r="Z55" i="56" s="1"/>
  <c r="H55" i="56"/>
  <c r="D55" i="56"/>
  <c r="L55" i="56" s="1"/>
  <c r="N55" i="56" s="1"/>
  <c r="B55" i="56"/>
  <c r="Z54" i="56"/>
  <c r="X54" i="56"/>
  <c r="N54" i="56"/>
  <c r="L54" i="56"/>
  <c r="B54" i="56"/>
  <c r="Z53" i="56"/>
  <c r="X53" i="56"/>
  <c r="T53" i="56"/>
  <c r="R53" i="56"/>
  <c r="P53" i="56"/>
  <c r="N53" i="56"/>
  <c r="L53" i="56"/>
  <c r="H53" i="56"/>
  <c r="D53" i="56"/>
  <c r="B53" i="56"/>
  <c r="Z52" i="56"/>
  <c r="X52" i="56"/>
  <c r="L52" i="56"/>
  <c r="N52" i="56" s="1"/>
  <c r="B52" i="56"/>
  <c r="V51" i="56"/>
  <c r="T51" i="56"/>
  <c r="X51" i="56" s="1"/>
  <c r="P51" i="56"/>
  <c r="H51" i="56"/>
  <c r="D51" i="56"/>
  <c r="L51" i="56" s="1"/>
  <c r="N51" i="56" s="1"/>
  <c r="B51" i="56"/>
  <c r="X50" i="56"/>
  <c r="Z50" i="56" s="1"/>
  <c r="V50" i="56"/>
  <c r="L50" i="56"/>
  <c r="N50" i="56" s="1"/>
  <c r="B50" i="56"/>
  <c r="V49" i="56"/>
  <c r="T49" i="56"/>
  <c r="R49" i="56"/>
  <c r="P49" i="56"/>
  <c r="X49" i="56" s="1"/>
  <c r="H49" i="56"/>
  <c r="D49" i="56"/>
  <c r="L49" i="56" s="1"/>
  <c r="N49" i="56" s="1"/>
  <c r="B49" i="56"/>
  <c r="X48" i="56"/>
  <c r="Z48" i="56" s="1"/>
  <c r="N48" i="56"/>
  <c r="L48" i="56"/>
  <c r="B48" i="56"/>
  <c r="X47" i="56"/>
  <c r="Z47" i="56" s="1"/>
  <c r="T47" i="56"/>
  <c r="P47" i="56"/>
  <c r="L47" i="56"/>
  <c r="N47" i="56" s="1"/>
  <c r="H47" i="56"/>
  <c r="D47" i="56"/>
  <c r="B47" i="56"/>
  <c r="Z46" i="56"/>
  <c r="X46" i="56"/>
  <c r="R46" i="56"/>
  <c r="L46" i="56"/>
  <c r="N46" i="56" s="1"/>
  <c r="B46" i="56"/>
  <c r="T45" i="56"/>
  <c r="P45" i="56"/>
  <c r="X45" i="56" s="1"/>
  <c r="Z45" i="56" s="1"/>
  <c r="H45" i="56"/>
  <c r="L45" i="56" s="1"/>
  <c r="D45" i="56"/>
  <c r="B45" i="56"/>
  <c r="X44" i="56"/>
  <c r="Z44" i="56" s="1"/>
  <c r="L44" i="56"/>
  <c r="N44" i="56" s="1"/>
  <c r="B44" i="56"/>
  <c r="V43" i="56"/>
  <c r="T43" i="56"/>
  <c r="P43" i="56"/>
  <c r="X43" i="56" s="1"/>
  <c r="Z43" i="56" s="1"/>
  <c r="H43" i="56"/>
  <c r="D43" i="56"/>
  <c r="L43" i="56" s="1"/>
  <c r="B43" i="56"/>
  <c r="X42" i="56"/>
  <c r="Z42" i="56" s="1"/>
  <c r="N42" i="56"/>
  <c r="L42" i="56"/>
  <c r="B42" i="56"/>
  <c r="Z41" i="56"/>
  <c r="X41" i="56"/>
  <c r="T41" i="56"/>
  <c r="P41" i="56"/>
  <c r="L41" i="56"/>
  <c r="N41" i="56" s="1"/>
  <c r="H41" i="56"/>
  <c r="F41" i="56"/>
  <c r="D41" i="56"/>
  <c r="B41" i="56"/>
  <c r="Z40" i="56"/>
  <c r="X40" i="56"/>
  <c r="R40" i="56"/>
  <c r="N40" i="56"/>
  <c r="L40" i="56"/>
  <c r="B40" i="56"/>
  <c r="Z39" i="56"/>
  <c r="X39" i="56"/>
  <c r="V39" i="56"/>
  <c r="R39" i="56"/>
  <c r="N39" i="56"/>
  <c r="L39" i="56"/>
  <c r="B39" i="56"/>
  <c r="Z38" i="56"/>
  <c r="X38" i="56"/>
  <c r="R38" i="56"/>
  <c r="N38" i="56"/>
  <c r="L38" i="56"/>
  <c r="B38" i="56"/>
  <c r="Z37" i="56"/>
  <c r="X37" i="56"/>
  <c r="N37" i="56"/>
  <c r="L37" i="56"/>
  <c r="B37" i="56"/>
  <c r="Z36" i="56"/>
  <c r="X36" i="56"/>
  <c r="R36" i="56"/>
  <c r="N36" i="56"/>
  <c r="L36" i="56"/>
  <c r="B36" i="56"/>
  <c r="Z35" i="56"/>
  <c r="X35" i="56"/>
  <c r="V35" i="56"/>
  <c r="R35" i="56"/>
  <c r="N35" i="56"/>
  <c r="L35" i="56"/>
  <c r="J35" i="56"/>
  <c r="B35" i="56"/>
  <c r="Z34" i="56"/>
  <c r="X34" i="56"/>
  <c r="R34" i="56"/>
  <c r="N34" i="56"/>
  <c r="L34" i="56"/>
  <c r="J34" i="56"/>
  <c r="B34" i="56"/>
  <c r="Z33" i="56"/>
  <c r="X33" i="56"/>
  <c r="N33" i="56"/>
  <c r="L33" i="56"/>
  <c r="B33" i="56"/>
  <c r="Z32" i="56"/>
  <c r="X32" i="56"/>
  <c r="R32" i="56"/>
  <c r="L32" i="56"/>
  <c r="N32" i="56" s="1"/>
  <c r="B32" i="56"/>
  <c r="Z31" i="56"/>
  <c r="X31" i="56"/>
  <c r="V31" i="56"/>
  <c r="R31" i="56"/>
  <c r="N31" i="56"/>
  <c r="L31" i="56"/>
  <c r="B31" i="56"/>
  <c r="T30" i="56"/>
  <c r="P30" i="56"/>
  <c r="H30" i="56"/>
  <c r="D30" i="56"/>
  <c r="B30" i="56"/>
  <c r="X29" i="56"/>
  <c r="Z29" i="56" s="1"/>
  <c r="V29" i="56"/>
  <c r="N29" i="56"/>
  <c r="L29" i="56"/>
  <c r="B29" i="56"/>
  <c r="X28" i="56"/>
  <c r="Z28" i="56" s="1"/>
  <c r="L28" i="56"/>
  <c r="N28" i="56" s="1"/>
  <c r="B28" i="56"/>
  <c r="Z27" i="56"/>
  <c r="X27" i="56"/>
  <c r="V27" i="56"/>
  <c r="L27" i="56"/>
  <c r="N27" i="56" s="1"/>
  <c r="B27" i="56"/>
  <c r="Z26" i="56"/>
  <c r="X26" i="56"/>
  <c r="V26" i="56"/>
  <c r="N26" i="56"/>
  <c r="L26" i="56"/>
  <c r="B26" i="56"/>
  <c r="X25" i="56"/>
  <c r="Z25" i="56" s="1"/>
  <c r="V25" i="56"/>
  <c r="L25" i="56"/>
  <c r="N25" i="56" s="1"/>
  <c r="B25" i="56"/>
  <c r="X24" i="56"/>
  <c r="Z24" i="56" s="1"/>
  <c r="V24" i="56"/>
  <c r="L24" i="56"/>
  <c r="N24" i="56" s="1"/>
  <c r="B24" i="56"/>
  <c r="X23" i="56"/>
  <c r="Z23" i="56" s="1"/>
  <c r="V23" i="56"/>
  <c r="L23" i="56"/>
  <c r="N23" i="56" s="1"/>
  <c r="B23" i="56"/>
  <c r="X22" i="56"/>
  <c r="Z22" i="56" s="1"/>
  <c r="V22" i="56"/>
  <c r="L22" i="56"/>
  <c r="N22" i="56" s="1"/>
  <c r="B22" i="56"/>
  <c r="X21" i="56"/>
  <c r="Z21" i="56" s="1"/>
  <c r="V21" i="56"/>
  <c r="L21" i="56"/>
  <c r="N21" i="56" s="1"/>
  <c r="B21" i="56"/>
  <c r="V20" i="56"/>
  <c r="T20" i="56"/>
  <c r="P20" i="56"/>
  <c r="X20" i="56" s="1"/>
  <c r="H20" i="56"/>
  <c r="D20" i="56"/>
  <c r="L20" i="56" s="1"/>
  <c r="B20" i="56"/>
  <c r="X19" i="56"/>
  <c r="T19" i="56"/>
  <c r="Z19" i="56" s="1"/>
  <c r="R19" i="56"/>
  <c r="P19" i="56"/>
  <c r="L19" i="56"/>
  <c r="N19" i="56" s="1"/>
  <c r="H19" i="56"/>
  <c r="D19" i="56"/>
  <c r="R17" i="56"/>
  <c r="X15" i="56"/>
  <c r="T15" i="56"/>
  <c r="Z15" i="56" s="1"/>
  <c r="R15" i="56"/>
  <c r="P15" i="56"/>
  <c r="N15" i="56"/>
  <c r="L15" i="56"/>
  <c r="H15" i="56"/>
  <c r="D15" i="56"/>
  <c r="Z13" i="56"/>
  <c r="X13" i="56"/>
  <c r="P13" i="56"/>
  <c r="N13" i="56"/>
  <c r="L13" i="56"/>
  <c r="D13" i="56"/>
  <c r="D12" i="56" s="1"/>
  <c r="F62" i="56" s="1"/>
  <c r="B13" i="56"/>
  <c r="Z12" i="56"/>
  <c r="T12" i="56"/>
  <c r="V61" i="56" s="1"/>
  <c r="P12" i="56"/>
  <c r="H12" i="56"/>
  <c r="J66" i="56" s="1"/>
  <c r="D6" i="56"/>
  <c r="D4" i="56"/>
  <c r="J38" i="55"/>
  <c r="J35" i="55"/>
  <c r="Z33" i="55"/>
  <c r="X33" i="55"/>
  <c r="N33" i="55"/>
  <c r="L33" i="55"/>
  <c r="Z29" i="55"/>
  <c r="T29" i="55"/>
  <c r="P29" i="55"/>
  <c r="X29" i="55" s="1"/>
  <c r="H29" i="55"/>
  <c r="N29" i="55" s="1"/>
  <c r="D29" i="55"/>
  <c r="Z27" i="55"/>
  <c r="X27" i="55"/>
  <c r="N27" i="55"/>
  <c r="L27" i="55"/>
  <c r="J27" i="55"/>
  <c r="B27" i="55"/>
  <c r="Z26" i="55"/>
  <c r="X26" i="55"/>
  <c r="L26" i="55"/>
  <c r="N26" i="55" s="1"/>
  <c r="J26" i="55"/>
  <c r="B26" i="55"/>
  <c r="T25" i="55"/>
  <c r="Z25" i="55" s="1"/>
  <c r="P25" i="55"/>
  <c r="X25" i="55" s="1"/>
  <c r="N25" i="55"/>
  <c r="J25" i="55"/>
  <c r="H25" i="55"/>
  <c r="D25" i="55"/>
  <c r="L25" i="55" s="1"/>
  <c r="B25" i="55"/>
  <c r="X24" i="55"/>
  <c r="Z24" i="55" s="1"/>
  <c r="L24" i="55"/>
  <c r="N24" i="55" s="1"/>
  <c r="F24" i="55"/>
  <c r="B24" i="55"/>
  <c r="T23" i="55"/>
  <c r="P23" i="55"/>
  <c r="X23" i="55" s="1"/>
  <c r="Z23" i="55" s="1"/>
  <c r="J23" i="55"/>
  <c r="H23" i="55"/>
  <c r="D23" i="55"/>
  <c r="L23" i="55" s="1"/>
  <c r="N23" i="55" s="1"/>
  <c r="B23" i="55"/>
  <c r="Z22" i="55"/>
  <c r="X22" i="55"/>
  <c r="N22" i="55"/>
  <c r="L22" i="55"/>
  <c r="J22" i="55"/>
  <c r="F22" i="55"/>
  <c r="B22" i="55"/>
  <c r="T21" i="55"/>
  <c r="P21" i="55"/>
  <c r="L21" i="55"/>
  <c r="H21" i="55"/>
  <c r="D21" i="55"/>
  <c r="B21" i="55"/>
  <c r="Z20" i="55"/>
  <c r="X20" i="55"/>
  <c r="L20" i="55"/>
  <c r="N20" i="55" s="1"/>
  <c r="J20" i="55"/>
  <c r="B20" i="55"/>
  <c r="T19" i="55"/>
  <c r="P19" i="55"/>
  <c r="N19" i="55"/>
  <c r="J19" i="55"/>
  <c r="H19" i="55"/>
  <c r="D19" i="55"/>
  <c r="L19" i="55" s="1"/>
  <c r="B19" i="55"/>
  <c r="X18" i="55"/>
  <c r="T18" i="55"/>
  <c r="Z18" i="55" s="1"/>
  <c r="R18" i="55"/>
  <c r="P18" i="55"/>
  <c r="L18" i="55"/>
  <c r="J18" i="55"/>
  <c r="H18" i="55"/>
  <c r="N18" i="55" s="1"/>
  <c r="F18" i="55"/>
  <c r="D18" i="55"/>
  <c r="J16" i="55"/>
  <c r="D16" i="55"/>
  <c r="X14" i="55"/>
  <c r="T14" i="55"/>
  <c r="Z14" i="55" s="1"/>
  <c r="P14" i="55"/>
  <c r="J14" i="55"/>
  <c r="H14" i="55"/>
  <c r="N14" i="55" s="1"/>
  <c r="D14" i="55"/>
  <c r="T12" i="55"/>
  <c r="P12" i="55"/>
  <c r="R20" i="55" s="1"/>
  <c r="N12" i="55"/>
  <c r="H12" i="55"/>
  <c r="J31" i="55" s="1"/>
  <c r="D12" i="55"/>
  <c r="F14" i="55" s="1"/>
  <c r="D6" i="55"/>
  <c r="D4" i="55"/>
  <c r="T29" i="54"/>
  <c r="P29" i="54"/>
  <c r="L29" i="54"/>
  <c r="H29" i="54"/>
  <c r="N29" i="54" s="1"/>
  <c r="D29" i="54"/>
  <c r="T28" i="54"/>
  <c r="Z28" i="54" s="1"/>
  <c r="P28" i="54"/>
  <c r="X28" i="54" s="1"/>
  <c r="H28" i="54"/>
  <c r="N28" i="54" s="1"/>
  <c r="F28" i="54"/>
  <c r="D28" i="54"/>
  <c r="L28" i="54" s="1"/>
  <c r="F26" i="54"/>
  <c r="Z24" i="54"/>
  <c r="X24" i="54"/>
  <c r="N24" i="54"/>
  <c r="L24" i="54"/>
  <c r="J24" i="54"/>
  <c r="V22" i="54"/>
  <c r="J22" i="54"/>
  <c r="F22" i="54"/>
  <c r="T20" i="54"/>
  <c r="Z20" i="54" s="1"/>
  <c r="P20" i="54"/>
  <c r="X20" i="54" s="1"/>
  <c r="J20" i="54"/>
  <c r="H20" i="54"/>
  <c r="N20" i="54" s="1"/>
  <c r="F20" i="54"/>
  <c r="D20" i="54"/>
  <c r="T18" i="54"/>
  <c r="Z18" i="54" s="1"/>
  <c r="P18" i="54"/>
  <c r="X18" i="54" s="1"/>
  <c r="J18" i="54"/>
  <c r="H18" i="54"/>
  <c r="N18" i="54" s="1"/>
  <c r="F18" i="54"/>
  <c r="D18" i="54"/>
  <c r="J16" i="54"/>
  <c r="F16" i="54"/>
  <c r="V14" i="54"/>
  <c r="T14" i="54"/>
  <c r="Z14" i="54" s="1"/>
  <c r="P14" i="54"/>
  <c r="X14" i="54" s="1"/>
  <c r="J14" i="54"/>
  <c r="H14" i="54"/>
  <c r="N14" i="54" s="1"/>
  <c r="F14" i="54"/>
  <c r="D14" i="54"/>
  <c r="T12" i="54"/>
  <c r="V16" i="54" s="1"/>
  <c r="P12" i="54"/>
  <c r="R22" i="54" s="1"/>
  <c r="H12" i="54"/>
  <c r="J26" i="54" s="1"/>
  <c r="D12" i="54"/>
  <c r="F29" i="54" s="1"/>
  <c r="D6" i="54"/>
  <c r="D4" i="54"/>
  <c r="Z95" i="51"/>
  <c r="X95" i="51"/>
  <c r="V95" i="51"/>
  <c r="L95" i="51"/>
  <c r="N95" i="51" s="1"/>
  <c r="X91" i="51"/>
  <c r="Z91" i="51" s="1"/>
  <c r="V91" i="51"/>
  <c r="P91" i="51"/>
  <c r="L91" i="51"/>
  <c r="N91" i="51" s="1"/>
  <c r="D91" i="51"/>
  <c r="B91" i="51"/>
  <c r="Z90" i="51"/>
  <c r="X90" i="51"/>
  <c r="P90" i="51"/>
  <c r="N90" i="51"/>
  <c r="L90" i="51"/>
  <c r="J90" i="51"/>
  <c r="D90" i="51"/>
  <c r="B90" i="51"/>
  <c r="T89" i="51"/>
  <c r="P89" i="51"/>
  <c r="J89" i="51"/>
  <c r="H89" i="51"/>
  <c r="D89" i="51"/>
  <c r="L89" i="51" s="1"/>
  <c r="X87" i="51"/>
  <c r="Z87" i="51" s="1"/>
  <c r="N87" i="51"/>
  <c r="L87" i="51"/>
  <c r="B87" i="51"/>
  <c r="T86" i="51"/>
  <c r="P86" i="51"/>
  <c r="X86" i="51" s="1"/>
  <c r="Z86" i="51" s="1"/>
  <c r="H86" i="51"/>
  <c r="D86" i="51"/>
  <c r="L86" i="51" s="1"/>
  <c r="N86" i="51" s="1"/>
  <c r="B86" i="51"/>
  <c r="X85" i="51"/>
  <c r="Z85" i="51" s="1"/>
  <c r="L85" i="51"/>
  <c r="N85" i="51" s="1"/>
  <c r="B85" i="51"/>
  <c r="X84" i="51"/>
  <c r="Z84" i="51" s="1"/>
  <c r="N84" i="51"/>
  <c r="L84" i="51"/>
  <c r="B84" i="51"/>
  <c r="Z83" i="51"/>
  <c r="X83" i="51"/>
  <c r="N83" i="51"/>
  <c r="L83" i="51"/>
  <c r="B83" i="51"/>
  <c r="T82" i="51"/>
  <c r="P82" i="51"/>
  <c r="L82" i="51"/>
  <c r="N82" i="51" s="1"/>
  <c r="H82" i="51"/>
  <c r="D82" i="51"/>
  <c r="B82" i="51"/>
  <c r="X81" i="51"/>
  <c r="Z81" i="51" s="1"/>
  <c r="V81" i="51"/>
  <c r="N81" i="51"/>
  <c r="L81" i="51"/>
  <c r="J81" i="51"/>
  <c r="B81" i="51"/>
  <c r="T80" i="51"/>
  <c r="P80" i="51"/>
  <c r="X80" i="51" s="1"/>
  <c r="H80" i="51"/>
  <c r="D80" i="51"/>
  <c r="B80" i="51"/>
  <c r="Z79" i="51"/>
  <c r="X79" i="51"/>
  <c r="N79" i="51"/>
  <c r="L79" i="51"/>
  <c r="B79" i="51"/>
  <c r="T78" i="51"/>
  <c r="P78" i="51"/>
  <c r="X78" i="51" s="1"/>
  <c r="Z78" i="51" s="1"/>
  <c r="H78" i="51"/>
  <c r="D78" i="51"/>
  <c r="L78" i="51" s="1"/>
  <c r="N78" i="51" s="1"/>
  <c r="B78" i="51"/>
  <c r="X77" i="51"/>
  <c r="Z77" i="51" s="1"/>
  <c r="L77" i="51"/>
  <c r="N77" i="51" s="1"/>
  <c r="B77" i="51"/>
  <c r="X76" i="51"/>
  <c r="V76" i="51"/>
  <c r="T76" i="51"/>
  <c r="Z76" i="51" s="1"/>
  <c r="P76" i="51"/>
  <c r="H76" i="51"/>
  <c r="D76" i="51"/>
  <c r="B76" i="51"/>
  <c r="Z75" i="51"/>
  <c r="X75" i="51"/>
  <c r="N75" i="51"/>
  <c r="L75" i="51"/>
  <c r="B75" i="51"/>
  <c r="X74" i="51"/>
  <c r="Z74" i="51" s="1"/>
  <c r="N74" i="51"/>
  <c r="L74" i="51"/>
  <c r="B74" i="51"/>
  <c r="X73" i="51"/>
  <c r="Z73" i="51" s="1"/>
  <c r="V73" i="51"/>
  <c r="T73" i="51"/>
  <c r="P73" i="51"/>
  <c r="N73" i="51"/>
  <c r="L73" i="51"/>
  <c r="H73" i="51"/>
  <c r="D73" i="51"/>
  <c r="B73" i="51"/>
  <c r="X72" i="51"/>
  <c r="Z72" i="51" s="1"/>
  <c r="L72" i="51"/>
  <c r="N72" i="51" s="1"/>
  <c r="B72" i="51"/>
  <c r="T71" i="51"/>
  <c r="P71" i="51"/>
  <c r="J71" i="51"/>
  <c r="H71" i="51"/>
  <c r="N71" i="51" s="1"/>
  <c r="D71" i="51"/>
  <c r="L71" i="51" s="1"/>
  <c r="B71" i="51"/>
  <c r="X70" i="51"/>
  <c r="Z70" i="51" s="1"/>
  <c r="L70" i="51"/>
  <c r="N70" i="51" s="1"/>
  <c r="B70" i="51"/>
  <c r="T69" i="51"/>
  <c r="Z69" i="51" s="1"/>
  <c r="P69" i="51"/>
  <c r="X69" i="51" s="1"/>
  <c r="H69" i="51"/>
  <c r="D69" i="51"/>
  <c r="L69" i="51" s="1"/>
  <c r="N69" i="51" s="1"/>
  <c r="B69" i="51"/>
  <c r="X68" i="51"/>
  <c r="Z68" i="51" s="1"/>
  <c r="L68" i="51"/>
  <c r="N68" i="51" s="1"/>
  <c r="B68" i="51"/>
  <c r="Z67" i="51"/>
  <c r="X67" i="51"/>
  <c r="T67" i="51"/>
  <c r="P67" i="51"/>
  <c r="L67" i="51"/>
  <c r="N67" i="51" s="1"/>
  <c r="H67" i="51"/>
  <c r="D67" i="51"/>
  <c r="B67" i="51"/>
  <c r="Z66" i="51"/>
  <c r="X66" i="51"/>
  <c r="L66" i="51"/>
  <c r="N66" i="51" s="1"/>
  <c r="B66" i="51"/>
  <c r="V65" i="51"/>
  <c r="T65" i="51"/>
  <c r="Z65" i="51" s="1"/>
  <c r="P65" i="51"/>
  <c r="X65" i="51" s="1"/>
  <c r="H65" i="51"/>
  <c r="D65" i="51"/>
  <c r="B65" i="51"/>
  <c r="Z64" i="51"/>
  <c r="X64" i="51"/>
  <c r="V64" i="51"/>
  <c r="N64" i="51"/>
  <c r="L64" i="51"/>
  <c r="B64" i="51"/>
  <c r="Z63" i="51"/>
  <c r="X63" i="51"/>
  <c r="N63" i="51"/>
  <c r="L63" i="51"/>
  <c r="B63" i="51"/>
  <c r="Z62" i="51"/>
  <c r="X62" i="51"/>
  <c r="N62" i="51"/>
  <c r="L62" i="51"/>
  <c r="B62" i="51"/>
  <c r="X61" i="51"/>
  <c r="Z61" i="51" s="1"/>
  <c r="L61" i="51"/>
  <c r="N61" i="51" s="1"/>
  <c r="B61" i="51"/>
  <c r="Z60" i="51"/>
  <c r="X60" i="51"/>
  <c r="V60" i="51"/>
  <c r="N60" i="51"/>
  <c r="L60" i="51"/>
  <c r="B60" i="51"/>
  <c r="Z59" i="51"/>
  <c r="X59" i="51"/>
  <c r="N59" i="51"/>
  <c r="L59" i="51"/>
  <c r="B59" i="51"/>
  <c r="X58" i="51"/>
  <c r="Z58" i="51" s="1"/>
  <c r="V58" i="51"/>
  <c r="L58" i="51"/>
  <c r="N58" i="51" s="1"/>
  <c r="B58" i="51"/>
  <c r="Z57" i="51"/>
  <c r="X57" i="51"/>
  <c r="N57" i="51"/>
  <c r="L57" i="51"/>
  <c r="B57" i="51"/>
  <c r="X56" i="51"/>
  <c r="Z56" i="51" s="1"/>
  <c r="V56" i="51"/>
  <c r="L56" i="51"/>
  <c r="N56" i="51" s="1"/>
  <c r="B56" i="51"/>
  <c r="Z55" i="51"/>
  <c r="X55" i="51"/>
  <c r="N55" i="51"/>
  <c r="L55" i="51"/>
  <c r="B55" i="51"/>
  <c r="T54" i="51"/>
  <c r="Z54" i="51" s="1"/>
  <c r="P54" i="51"/>
  <c r="X54" i="51" s="1"/>
  <c r="L54" i="51"/>
  <c r="N54" i="51" s="1"/>
  <c r="H54" i="51"/>
  <c r="D54" i="51"/>
  <c r="B54" i="51"/>
  <c r="X53" i="51"/>
  <c r="Z53" i="51" s="1"/>
  <c r="V53" i="51"/>
  <c r="N53" i="51"/>
  <c r="L53" i="51"/>
  <c r="J53" i="51"/>
  <c r="B53" i="51"/>
  <c r="X52" i="51"/>
  <c r="Z52" i="51" s="1"/>
  <c r="L52" i="51"/>
  <c r="N52" i="51" s="1"/>
  <c r="B52" i="51"/>
  <c r="Z51" i="51"/>
  <c r="X51" i="51"/>
  <c r="N51" i="51"/>
  <c r="L51" i="51"/>
  <c r="B51" i="51"/>
  <c r="Z50" i="51"/>
  <c r="X50" i="51"/>
  <c r="N50" i="51"/>
  <c r="L50" i="51"/>
  <c r="B50" i="51"/>
  <c r="Z49" i="51"/>
  <c r="X49" i="51"/>
  <c r="V49" i="51"/>
  <c r="N49" i="51"/>
  <c r="L49" i="51"/>
  <c r="J49" i="51"/>
  <c r="B49" i="51"/>
  <c r="X48" i="51"/>
  <c r="Z48" i="51" s="1"/>
  <c r="L48" i="51"/>
  <c r="N48" i="51" s="1"/>
  <c r="B48" i="51"/>
  <c r="Z47" i="51"/>
  <c r="X47" i="51"/>
  <c r="L47" i="51"/>
  <c r="N47" i="51" s="1"/>
  <c r="B47" i="51"/>
  <c r="X46" i="51"/>
  <c r="Z46" i="51" s="1"/>
  <c r="N46" i="51"/>
  <c r="L46" i="51"/>
  <c r="B46" i="51"/>
  <c r="X45" i="51"/>
  <c r="Z45" i="51" s="1"/>
  <c r="V45" i="51"/>
  <c r="N45" i="51"/>
  <c r="L45" i="51"/>
  <c r="J45" i="51"/>
  <c r="B45" i="51"/>
  <c r="X44" i="51"/>
  <c r="Z44" i="51" s="1"/>
  <c r="L44" i="51"/>
  <c r="N44" i="51" s="1"/>
  <c r="B44" i="51"/>
  <c r="Z43" i="51"/>
  <c r="X43" i="51"/>
  <c r="T43" i="51"/>
  <c r="P43" i="51"/>
  <c r="L43" i="51"/>
  <c r="N43" i="51" s="1"/>
  <c r="H43" i="51"/>
  <c r="D43" i="51"/>
  <c r="B43" i="51"/>
  <c r="T42" i="51"/>
  <c r="P42" i="51"/>
  <c r="X42" i="51" s="1"/>
  <c r="Z42" i="51" s="1"/>
  <c r="H42" i="51"/>
  <c r="D42" i="51"/>
  <c r="L42" i="51" s="1"/>
  <c r="N42" i="51" s="1"/>
  <c r="Z38" i="51"/>
  <c r="X38" i="51"/>
  <c r="N38" i="51"/>
  <c r="L38" i="51"/>
  <c r="B38" i="51"/>
  <c r="Z37" i="51"/>
  <c r="X37" i="51"/>
  <c r="V37" i="51"/>
  <c r="N37" i="51"/>
  <c r="L37" i="51"/>
  <c r="B37" i="51"/>
  <c r="Z36" i="51"/>
  <c r="X36" i="51"/>
  <c r="N36" i="51"/>
  <c r="L36" i="51"/>
  <c r="B36" i="51"/>
  <c r="Z35" i="51"/>
  <c r="X35" i="51"/>
  <c r="V35" i="51"/>
  <c r="N35" i="51"/>
  <c r="L35" i="51"/>
  <c r="B35" i="51"/>
  <c r="Z34" i="51"/>
  <c r="X34" i="51"/>
  <c r="N34" i="51"/>
  <c r="L34" i="51"/>
  <c r="B34" i="51"/>
  <c r="Z33" i="51"/>
  <c r="X33" i="51"/>
  <c r="V33" i="51"/>
  <c r="N33" i="51"/>
  <c r="L33" i="51"/>
  <c r="B33" i="51"/>
  <c r="Z32" i="51"/>
  <c r="X32" i="51"/>
  <c r="N32" i="51"/>
  <c r="L32" i="51"/>
  <c r="B32" i="51"/>
  <c r="Z31" i="51"/>
  <c r="X31" i="51"/>
  <c r="V31" i="51"/>
  <c r="N31" i="51"/>
  <c r="L31" i="51"/>
  <c r="B31" i="51"/>
  <c r="Z30" i="51"/>
  <c r="X30" i="51"/>
  <c r="L30" i="51"/>
  <c r="N30" i="51" s="1"/>
  <c r="B30" i="51"/>
  <c r="V29" i="51"/>
  <c r="T29" i="51"/>
  <c r="Z29" i="51" s="1"/>
  <c r="P29" i="51"/>
  <c r="X29" i="51" s="1"/>
  <c r="H29" i="51"/>
  <c r="D29" i="51"/>
  <c r="Z27" i="51"/>
  <c r="P27" i="51"/>
  <c r="X27" i="51" s="1"/>
  <c r="N27" i="51"/>
  <c r="D27" i="51"/>
  <c r="L27" i="51" s="1"/>
  <c r="B27" i="51"/>
  <c r="Z26" i="51"/>
  <c r="P26" i="51"/>
  <c r="X26" i="51" s="1"/>
  <c r="N26" i="51"/>
  <c r="D26" i="51"/>
  <c r="L26" i="51" s="1"/>
  <c r="B26" i="51"/>
  <c r="Z25" i="51"/>
  <c r="X25" i="51"/>
  <c r="P25" i="51"/>
  <c r="N25" i="51"/>
  <c r="L25" i="51"/>
  <c r="D25" i="51"/>
  <c r="B25" i="51"/>
  <c r="Z24" i="51"/>
  <c r="X24" i="51"/>
  <c r="P24" i="51"/>
  <c r="N24" i="51"/>
  <c r="D24" i="51"/>
  <c r="L24" i="51" s="1"/>
  <c r="B24" i="51"/>
  <c r="Z23" i="51"/>
  <c r="P23" i="51"/>
  <c r="X23" i="51" s="1"/>
  <c r="N23" i="51"/>
  <c r="D23" i="51"/>
  <c r="L23" i="51" s="1"/>
  <c r="B23" i="51"/>
  <c r="Z22" i="51"/>
  <c r="X22" i="51"/>
  <c r="P22" i="51"/>
  <c r="N22" i="51"/>
  <c r="L22" i="51"/>
  <c r="D22" i="51"/>
  <c r="B22" i="51"/>
  <c r="Z21" i="51"/>
  <c r="P21" i="51"/>
  <c r="X21" i="51" s="1"/>
  <c r="N21" i="51"/>
  <c r="L21" i="51"/>
  <c r="D21" i="51"/>
  <c r="B21" i="51"/>
  <c r="Z20" i="51"/>
  <c r="X20" i="51"/>
  <c r="P20" i="51"/>
  <c r="N20" i="51"/>
  <c r="D20" i="51"/>
  <c r="L20" i="51" s="1"/>
  <c r="B20" i="51"/>
  <c r="Z19" i="51"/>
  <c r="P19" i="51"/>
  <c r="X19" i="51" s="1"/>
  <c r="N19" i="51"/>
  <c r="L19" i="51"/>
  <c r="D19" i="51"/>
  <c r="B19" i="51"/>
  <c r="P18" i="51"/>
  <c r="X18" i="51" s="1"/>
  <c r="Z18" i="51" s="1"/>
  <c r="D18" i="51"/>
  <c r="L18" i="51" s="1"/>
  <c r="N18" i="51" s="1"/>
  <c r="B18" i="51"/>
  <c r="Z17" i="51"/>
  <c r="P17" i="51"/>
  <c r="X17" i="51" s="1"/>
  <c r="N17" i="51"/>
  <c r="L17" i="51"/>
  <c r="D17" i="51"/>
  <c r="B17" i="51"/>
  <c r="Z16" i="51"/>
  <c r="X16" i="51"/>
  <c r="P16" i="51"/>
  <c r="N16" i="51"/>
  <c r="D16" i="51"/>
  <c r="L16" i="51" s="1"/>
  <c r="B16" i="51"/>
  <c r="Z15" i="51"/>
  <c r="P15" i="51"/>
  <c r="X15" i="51" s="1"/>
  <c r="N15" i="51"/>
  <c r="D15" i="51"/>
  <c r="L15" i="51" s="1"/>
  <c r="B15" i="51"/>
  <c r="Z14" i="51"/>
  <c r="P14" i="51"/>
  <c r="X14" i="51" s="1"/>
  <c r="N14" i="51"/>
  <c r="D14" i="51"/>
  <c r="L14" i="51" s="1"/>
  <c r="B14" i="51"/>
  <c r="Z13" i="51"/>
  <c r="X13" i="51"/>
  <c r="P13" i="51"/>
  <c r="L13" i="51"/>
  <c r="N13" i="51" s="1"/>
  <c r="D13" i="51"/>
  <c r="B13" i="51"/>
  <c r="T12" i="51"/>
  <c r="V84" i="51" s="1"/>
  <c r="H12" i="51"/>
  <c r="J91" i="51" s="1"/>
  <c r="D4" i="51"/>
  <c r="X69" i="48"/>
  <c r="Z69" i="48" s="1"/>
  <c r="N69" i="48"/>
  <c r="L69" i="48"/>
  <c r="J69" i="48"/>
  <c r="P65" i="48"/>
  <c r="X65" i="48" s="1"/>
  <c r="Z65" i="48" s="1"/>
  <c r="L65" i="48"/>
  <c r="N65" i="48" s="1"/>
  <c r="D65" i="48"/>
  <c r="B65" i="48"/>
  <c r="Z64" i="48"/>
  <c r="T64" i="48"/>
  <c r="P64" i="48"/>
  <c r="X64" i="48" s="1"/>
  <c r="H64" i="48"/>
  <c r="D64" i="48"/>
  <c r="L64" i="48" s="1"/>
  <c r="N64" i="48" s="1"/>
  <c r="Z62" i="48"/>
  <c r="X62" i="48"/>
  <c r="L62" i="48"/>
  <c r="N62" i="48" s="1"/>
  <c r="F62" i="48"/>
  <c r="B62" i="48"/>
  <c r="V61" i="48"/>
  <c r="T61" i="48"/>
  <c r="P61" i="48"/>
  <c r="H61" i="48"/>
  <c r="D61" i="48"/>
  <c r="B61" i="48"/>
  <c r="Z60" i="48"/>
  <c r="X60" i="48"/>
  <c r="N60" i="48"/>
  <c r="L60" i="48"/>
  <c r="B60" i="48"/>
  <c r="Z59" i="48"/>
  <c r="X59" i="48"/>
  <c r="L59" i="48"/>
  <c r="N59" i="48" s="1"/>
  <c r="B59" i="48"/>
  <c r="T58" i="48"/>
  <c r="P58" i="48"/>
  <c r="L58" i="48"/>
  <c r="H58" i="48"/>
  <c r="N58" i="48" s="1"/>
  <c r="D58" i="48"/>
  <c r="B58" i="48"/>
  <c r="X57" i="48"/>
  <c r="Z57" i="48" s="1"/>
  <c r="N57" i="48"/>
  <c r="L57" i="48"/>
  <c r="J57" i="48"/>
  <c r="F57" i="48"/>
  <c r="B57" i="48"/>
  <c r="T56" i="48"/>
  <c r="P56" i="48"/>
  <c r="X56" i="48" s="1"/>
  <c r="H56" i="48"/>
  <c r="D56" i="48"/>
  <c r="B56" i="48"/>
  <c r="X55" i="48"/>
  <c r="Z55" i="48" s="1"/>
  <c r="N55" i="48"/>
  <c r="L55" i="48"/>
  <c r="B55" i="48"/>
  <c r="Z54" i="48"/>
  <c r="T54" i="48"/>
  <c r="P54" i="48"/>
  <c r="X54" i="48" s="1"/>
  <c r="L54" i="48"/>
  <c r="N54" i="48" s="1"/>
  <c r="H54" i="48"/>
  <c r="D54" i="48"/>
  <c r="B54" i="48"/>
  <c r="Z53" i="48"/>
  <c r="X53" i="48"/>
  <c r="L53" i="48"/>
  <c r="N53" i="48" s="1"/>
  <c r="B53" i="48"/>
  <c r="X52" i="48"/>
  <c r="T52" i="48"/>
  <c r="P52" i="48"/>
  <c r="H52" i="48"/>
  <c r="D52" i="48"/>
  <c r="B52" i="48"/>
  <c r="Z51" i="48"/>
  <c r="X51" i="48"/>
  <c r="L51" i="48"/>
  <c r="N51" i="48" s="1"/>
  <c r="B51" i="48"/>
  <c r="T50" i="48"/>
  <c r="P50" i="48"/>
  <c r="H50" i="48"/>
  <c r="D50" i="48"/>
  <c r="L50" i="48" s="1"/>
  <c r="B50" i="48"/>
  <c r="Z49" i="48"/>
  <c r="X49" i="48"/>
  <c r="V49" i="48"/>
  <c r="N49" i="48"/>
  <c r="L49" i="48"/>
  <c r="B49" i="48"/>
  <c r="X48" i="48"/>
  <c r="Z48" i="48" s="1"/>
  <c r="T48" i="48"/>
  <c r="P48" i="48"/>
  <c r="N48" i="48"/>
  <c r="H48" i="48"/>
  <c r="D48" i="48"/>
  <c r="L48" i="48" s="1"/>
  <c r="B48" i="48"/>
  <c r="Z47" i="48"/>
  <c r="X47" i="48"/>
  <c r="L47" i="48"/>
  <c r="N47" i="48" s="1"/>
  <c r="B47" i="48"/>
  <c r="V46" i="48"/>
  <c r="T46" i="48"/>
  <c r="P46" i="48"/>
  <c r="L46" i="48"/>
  <c r="H46" i="48"/>
  <c r="D46" i="48"/>
  <c r="B46" i="48"/>
  <c r="X45" i="48"/>
  <c r="Z45" i="48" s="1"/>
  <c r="N45" i="48"/>
  <c r="L45" i="48"/>
  <c r="B45" i="48"/>
  <c r="T44" i="48"/>
  <c r="Z44" i="48" s="1"/>
  <c r="P44" i="48"/>
  <c r="X44" i="48" s="1"/>
  <c r="H44" i="48"/>
  <c r="F44" i="48"/>
  <c r="D44" i="48"/>
  <c r="B44" i="48"/>
  <c r="Z43" i="48"/>
  <c r="X43" i="48"/>
  <c r="N43" i="48"/>
  <c r="L43" i="48"/>
  <c r="B43" i="48"/>
  <c r="T42" i="48"/>
  <c r="P42" i="48"/>
  <c r="X42" i="48" s="1"/>
  <c r="Z42" i="48" s="1"/>
  <c r="N42" i="48"/>
  <c r="L42" i="48"/>
  <c r="H42" i="48"/>
  <c r="D42" i="48"/>
  <c r="B42" i="48"/>
  <c r="Z41" i="48"/>
  <c r="X41" i="48"/>
  <c r="N41" i="48"/>
  <c r="L41" i="48"/>
  <c r="B41" i="48"/>
  <c r="Z40" i="48"/>
  <c r="X40" i="48"/>
  <c r="N40" i="48"/>
  <c r="L40" i="48"/>
  <c r="B40" i="48"/>
  <c r="Z39" i="48"/>
  <c r="X39" i="48"/>
  <c r="N39" i="48"/>
  <c r="L39" i="48"/>
  <c r="B39" i="48"/>
  <c r="X38" i="48"/>
  <c r="Z38" i="48" s="1"/>
  <c r="V38" i="48"/>
  <c r="L38" i="48"/>
  <c r="N38" i="48" s="1"/>
  <c r="B38" i="48"/>
  <c r="Z37" i="48"/>
  <c r="X37" i="48"/>
  <c r="N37" i="48"/>
  <c r="L37" i="48"/>
  <c r="B37" i="48"/>
  <c r="Z36" i="48"/>
  <c r="X36" i="48"/>
  <c r="V36" i="48"/>
  <c r="N36" i="48"/>
  <c r="L36" i="48"/>
  <c r="B36" i="48"/>
  <c r="Z35" i="48"/>
  <c r="X35" i="48"/>
  <c r="N35" i="48"/>
  <c r="L35" i="48"/>
  <c r="B35" i="48"/>
  <c r="Z34" i="48"/>
  <c r="X34" i="48"/>
  <c r="V34" i="48"/>
  <c r="N34" i="48"/>
  <c r="L34" i="48"/>
  <c r="B34" i="48"/>
  <c r="Z33" i="48"/>
  <c r="X33" i="48"/>
  <c r="L33" i="48"/>
  <c r="N33" i="48" s="1"/>
  <c r="B33" i="48"/>
  <c r="X32" i="48"/>
  <c r="Z32" i="48" s="1"/>
  <c r="V32" i="48"/>
  <c r="L32" i="48"/>
  <c r="N32" i="48" s="1"/>
  <c r="B32" i="48"/>
  <c r="Z31" i="48"/>
  <c r="T31" i="48"/>
  <c r="P31" i="48"/>
  <c r="X31" i="48" s="1"/>
  <c r="H31" i="48"/>
  <c r="N31" i="48" s="1"/>
  <c r="F31" i="48"/>
  <c r="D31" i="48"/>
  <c r="L31" i="48" s="1"/>
  <c r="B31" i="48"/>
  <c r="X30" i="48"/>
  <c r="Z30" i="48" s="1"/>
  <c r="N30" i="48"/>
  <c r="L30" i="48"/>
  <c r="B30" i="48"/>
  <c r="Z29" i="48"/>
  <c r="X29" i="48"/>
  <c r="N29" i="48"/>
  <c r="L29" i="48"/>
  <c r="F29" i="48"/>
  <c r="B29" i="48"/>
  <c r="X28" i="48"/>
  <c r="Z28" i="48" s="1"/>
  <c r="L28" i="48"/>
  <c r="N28" i="48" s="1"/>
  <c r="B28" i="48"/>
  <c r="Z27" i="48"/>
  <c r="X27" i="48"/>
  <c r="N27" i="48"/>
  <c r="L27" i="48"/>
  <c r="F27" i="48"/>
  <c r="B27" i="48"/>
  <c r="Z26" i="48"/>
  <c r="X26" i="48"/>
  <c r="N26" i="48"/>
  <c r="L26" i="48"/>
  <c r="B26" i="48"/>
  <c r="X25" i="48"/>
  <c r="Z25" i="48" s="1"/>
  <c r="V25" i="48"/>
  <c r="N25" i="48"/>
  <c r="L25" i="48"/>
  <c r="J25" i="48"/>
  <c r="B25" i="48"/>
  <c r="X24" i="48"/>
  <c r="Z24" i="48" s="1"/>
  <c r="V24" i="48"/>
  <c r="N24" i="48"/>
  <c r="L24" i="48"/>
  <c r="B24" i="48"/>
  <c r="Z23" i="48"/>
  <c r="X23" i="48"/>
  <c r="N23" i="48"/>
  <c r="L23" i="48"/>
  <c r="B23" i="48"/>
  <c r="X22" i="48"/>
  <c r="Z22" i="48" s="1"/>
  <c r="N22" i="48"/>
  <c r="L22" i="48"/>
  <c r="F22" i="48"/>
  <c r="B22" i="48"/>
  <c r="X21" i="48"/>
  <c r="Z21" i="48" s="1"/>
  <c r="V21" i="48"/>
  <c r="N21" i="48"/>
  <c r="L21" i="48"/>
  <c r="F21" i="48"/>
  <c r="B21" i="48"/>
  <c r="T20" i="48"/>
  <c r="P20" i="48"/>
  <c r="L20" i="48"/>
  <c r="H20" i="48"/>
  <c r="D20" i="48"/>
  <c r="B20" i="48"/>
  <c r="Z19" i="48"/>
  <c r="X19" i="48"/>
  <c r="T19" i="48"/>
  <c r="P19" i="48"/>
  <c r="J19" i="48"/>
  <c r="H19" i="48"/>
  <c r="D19" i="48"/>
  <c r="V17" i="48"/>
  <c r="T17" i="48"/>
  <c r="T67" i="48" s="1"/>
  <c r="D17" i="48"/>
  <c r="Z15" i="48"/>
  <c r="T15" i="48"/>
  <c r="R15" i="48"/>
  <c r="P15" i="48"/>
  <c r="X15" i="48" s="1"/>
  <c r="H15" i="48"/>
  <c r="N15" i="48" s="1"/>
  <c r="D15" i="48"/>
  <c r="L15" i="48" s="1"/>
  <c r="X13" i="48"/>
  <c r="Z13" i="48" s="1"/>
  <c r="P13" i="48"/>
  <c r="P12" i="48" s="1"/>
  <c r="R49" i="48" s="1"/>
  <c r="D13" i="48"/>
  <c r="L13" i="48" s="1"/>
  <c r="N13" i="48" s="1"/>
  <c r="B13" i="48"/>
  <c r="T12" i="48"/>
  <c r="V29" i="48" s="1"/>
  <c r="H12" i="48"/>
  <c r="J29" i="48" s="1"/>
  <c r="D12" i="48"/>
  <c r="F25" i="48" s="1"/>
  <c r="D4" i="48"/>
  <c r="Z95" i="45"/>
  <c r="X95" i="45"/>
  <c r="N95" i="45"/>
  <c r="L95" i="45"/>
  <c r="J93" i="45"/>
  <c r="X91" i="45"/>
  <c r="T91" i="45"/>
  <c r="Z91" i="45" s="1"/>
  <c r="P91" i="45"/>
  <c r="J91" i="45"/>
  <c r="H91" i="45"/>
  <c r="N91" i="45" s="1"/>
  <c r="D91" i="45"/>
  <c r="X89" i="45"/>
  <c r="Z89" i="45" s="1"/>
  <c r="L89" i="45"/>
  <c r="N89" i="45" s="1"/>
  <c r="B89" i="45"/>
  <c r="T88" i="45"/>
  <c r="P88" i="45"/>
  <c r="X88" i="45" s="1"/>
  <c r="Z88" i="45" s="1"/>
  <c r="H88" i="45"/>
  <c r="N88" i="45" s="1"/>
  <c r="D88" i="45"/>
  <c r="L88" i="45" s="1"/>
  <c r="B88" i="45"/>
  <c r="Z87" i="45"/>
  <c r="X87" i="45"/>
  <c r="N87" i="45"/>
  <c r="L87" i="45"/>
  <c r="B87" i="45"/>
  <c r="X86" i="45"/>
  <c r="Z86" i="45" s="1"/>
  <c r="T86" i="45"/>
  <c r="P86" i="45"/>
  <c r="H86" i="45"/>
  <c r="D86" i="45"/>
  <c r="L86" i="45" s="1"/>
  <c r="N86" i="45" s="1"/>
  <c r="B86" i="45"/>
  <c r="Z85" i="45"/>
  <c r="X85" i="45"/>
  <c r="L85" i="45"/>
  <c r="N85" i="45" s="1"/>
  <c r="B85" i="45"/>
  <c r="X84" i="45"/>
  <c r="Z84" i="45" s="1"/>
  <c r="N84" i="45"/>
  <c r="L84" i="45"/>
  <c r="B84" i="45"/>
  <c r="T83" i="45"/>
  <c r="X83" i="45" s="1"/>
  <c r="Z83" i="45" s="1"/>
  <c r="P83" i="45"/>
  <c r="H83" i="45"/>
  <c r="D83" i="45"/>
  <c r="L83" i="45" s="1"/>
  <c r="N83" i="45" s="1"/>
  <c r="B83" i="45"/>
  <c r="Z82" i="45"/>
  <c r="X82" i="45"/>
  <c r="L82" i="45"/>
  <c r="N82" i="45" s="1"/>
  <c r="B82" i="45"/>
  <c r="X81" i="45"/>
  <c r="Z81" i="45" s="1"/>
  <c r="L81" i="45"/>
  <c r="N81" i="45" s="1"/>
  <c r="B81" i="45"/>
  <c r="Z80" i="45"/>
  <c r="X80" i="45"/>
  <c r="N80" i="45"/>
  <c r="L80" i="45"/>
  <c r="B80" i="45"/>
  <c r="Z79" i="45"/>
  <c r="X79" i="45"/>
  <c r="V79" i="45"/>
  <c r="L79" i="45"/>
  <c r="N79" i="45" s="1"/>
  <c r="B79" i="45"/>
  <c r="Z78" i="45"/>
  <c r="X78" i="45"/>
  <c r="L78" i="45"/>
  <c r="N78" i="45" s="1"/>
  <c r="B78" i="45"/>
  <c r="X77" i="45"/>
  <c r="Z77" i="45" s="1"/>
  <c r="L77" i="45"/>
  <c r="N77" i="45" s="1"/>
  <c r="B77" i="45"/>
  <c r="Z76" i="45"/>
  <c r="X76" i="45"/>
  <c r="N76" i="45"/>
  <c r="L76" i="45"/>
  <c r="B76" i="45"/>
  <c r="Z75" i="45"/>
  <c r="X75" i="45"/>
  <c r="V75" i="45"/>
  <c r="L75" i="45"/>
  <c r="N75" i="45" s="1"/>
  <c r="B75" i="45"/>
  <c r="Z74" i="45"/>
  <c r="X74" i="45"/>
  <c r="L74" i="45"/>
  <c r="N74" i="45" s="1"/>
  <c r="B74" i="45"/>
  <c r="X73" i="45"/>
  <c r="T73" i="45"/>
  <c r="P73" i="45"/>
  <c r="J73" i="45"/>
  <c r="H73" i="45"/>
  <c r="D73" i="45"/>
  <c r="L73" i="45" s="1"/>
  <c r="B73" i="45"/>
  <c r="Z72" i="45"/>
  <c r="X72" i="45"/>
  <c r="L72" i="45"/>
  <c r="N72" i="45" s="1"/>
  <c r="B72" i="45"/>
  <c r="X71" i="45"/>
  <c r="Z71" i="45" s="1"/>
  <c r="R71" i="45"/>
  <c r="N71" i="45"/>
  <c r="L71" i="45"/>
  <c r="B71" i="45"/>
  <c r="X70" i="45"/>
  <c r="Z70" i="45" s="1"/>
  <c r="V70" i="45"/>
  <c r="N70" i="45"/>
  <c r="L70" i="45"/>
  <c r="J70" i="45"/>
  <c r="B70" i="45"/>
  <c r="X69" i="45"/>
  <c r="Z69" i="45" s="1"/>
  <c r="N69" i="45"/>
  <c r="L69" i="45"/>
  <c r="B69" i="45"/>
  <c r="Z68" i="45"/>
  <c r="T68" i="45"/>
  <c r="P68" i="45"/>
  <c r="X68" i="45" s="1"/>
  <c r="L68" i="45"/>
  <c r="N68" i="45" s="1"/>
  <c r="J68" i="45"/>
  <c r="H68" i="45"/>
  <c r="D68" i="45"/>
  <c r="B68" i="45"/>
  <c r="Z67" i="45"/>
  <c r="X67" i="45"/>
  <c r="N67" i="45"/>
  <c r="L67" i="45"/>
  <c r="J67" i="45"/>
  <c r="B67" i="45"/>
  <c r="Z66" i="45"/>
  <c r="X66" i="45"/>
  <c r="V66" i="45"/>
  <c r="N66" i="45"/>
  <c r="L66" i="45"/>
  <c r="B66" i="45"/>
  <c r="Z65" i="45"/>
  <c r="X65" i="45"/>
  <c r="L65" i="45"/>
  <c r="N65" i="45" s="1"/>
  <c r="B65" i="45"/>
  <c r="T64" i="45"/>
  <c r="P64" i="45"/>
  <c r="J64" i="45"/>
  <c r="H64" i="45"/>
  <c r="N64" i="45" s="1"/>
  <c r="D64" i="45"/>
  <c r="L64" i="45" s="1"/>
  <c r="B64" i="45"/>
  <c r="Z63" i="45"/>
  <c r="X63" i="45"/>
  <c r="V63" i="45"/>
  <c r="N63" i="45"/>
  <c r="L63" i="45"/>
  <c r="B63" i="45"/>
  <c r="T62" i="45"/>
  <c r="Z62" i="45" s="1"/>
  <c r="P62" i="45"/>
  <c r="X62" i="45" s="1"/>
  <c r="N62" i="45"/>
  <c r="H62" i="45"/>
  <c r="D62" i="45"/>
  <c r="L62" i="45" s="1"/>
  <c r="B62" i="45"/>
  <c r="X61" i="45"/>
  <c r="Z61" i="45" s="1"/>
  <c r="N61" i="45"/>
  <c r="L61" i="45"/>
  <c r="B61" i="45"/>
  <c r="Z60" i="45"/>
  <c r="T60" i="45"/>
  <c r="P60" i="45"/>
  <c r="X60" i="45" s="1"/>
  <c r="L60" i="45"/>
  <c r="N60" i="45" s="1"/>
  <c r="J60" i="45"/>
  <c r="H60" i="45"/>
  <c r="D60" i="45"/>
  <c r="B60" i="45"/>
  <c r="Z59" i="45"/>
  <c r="X59" i="45"/>
  <c r="N59" i="45"/>
  <c r="L59" i="45"/>
  <c r="J59" i="45"/>
  <c r="B59" i="45"/>
  <c r="V58" i="45"/>
  <c r="T58" i="45"/>
  <c r="Z58" i="45" s="1"/>
  <c r="P58" i="45"/>
  <c r="X58" i="45" s="1"/>
  <c r="H58" i="45"/>
  <c r="D58" i="45"/>
  <c r="B58" i="45"/>
  <c r="X57" i="45"/>
  <c r="Z57" i="45" s="1"/>
  <c r="L57" i="45"/>
  <c r="N57" i="45" s="1"/>
  <c r="B57" i="45"/>
  <c r="T56" i="45"/>
  <c r="R56" i="45"/>
  <c r="P56" i="45"/>
  <c r="X56" i="45" s="1"/>
  <c r="Z56" i="45" s="1"/>
  <c r="H56" i="45"/>
  <c r="D56" i="45"/>
  <c r="L56" i="45" s="1"/>
  <c r="B56" i="45"/>
  <c r="X55" i="45"/>
  <c r="Z55" i="45" s="1"/>
  <c r="N55" i="45"/>
  <c r="L55" i="45"/>
  <c r="B55" i="45"/>
  <c r="X54" i="45"/>
  <c r="V54" i="45"/>
  <c r="T54" i="45"/>
  <c r="Z54" i="45" s="1"/>
  <c r="P54" i="45"/>
  <c r="H54" i="45"/>
  <c r="D54" i="45"/>
  <c r="L54" i="45" s="1"/>
  <c r="N54" i="45" s="1"/>
  <c r="B54" i="45"/>
  <c r="Z53" i="45"/>
  <c r="X53" i="45"/>
  <c r="L53" i="45"/>
  <c r="N53" i="45" s="1"/>
  <c r="B53" i="45"/>
  <c r="T52" i="45"/>
  <c r="P52" i="45"/>
  <c r="J52" i="45"/>
  <c r="H52" i="45"/>
  <c r="N52" i="45" s="1"/>
  <c r="D52" i="45"/>
  <c r="L52" i="45" s="1"/>
  <c r="B52" i="45"/>
  <c r="Z51" i="45"/>
  <c r="X51" i="45"/>
  <c r="V51" i="45"/>
  <c r="L51" i="45"/>
  <c r="N51" i="45" s="1"/>
  <c r="B51" i="45"/>
  <c r="T50" i="45"/>
  <c r="Z50" i="45" s="1"/>
  <c r="P50" i="45"/>
  <c r="X50" i="45" s="1"/>
  <c r="H50" i="45"/>
  <c r="D50" i="45"/>
  <c r="L50" i="45" s="1"/>
  <c r="N50" i="45" s="1"/>
  <c r="B50" i="45"/>
  <c r="X49" i="45"/>
  <c r="Z49" i="45" s="1"/>
  <c r="N49" i="45"/>
  <c r="L49" i="45"/>
  <c r="B49" i="45"/>
  <c r="T48" i="45"/>
  <c r="P48" i="45"/>
  <c r="X48" i="45" s="1"/>
  <c r="Z48" i="45" s="1"/>
  <c r="L48" i="45"/>
  <c r="J48" i="45"/>
  <c r="H48" i="45"/>
  <c r="N48" i="45" s="1"/>
  <c r="D48" i="45"/>
  <c r="B48" i="45"/>
  <c r="Z47" i="45"/>
  <c r="X47" i="45"/>
  <c r="N47" i="45"/>
  <c r="L47" i="45"/>
  <c r="J47" i="45"/>
  <c r="B47" i="45"/>
  <c r="V46" i="45"/>
  <c r="T46" i="45"/>
  <c r="P46" i="45"/>
  <c r="H46" i="45"/>
  <c r="D46" i="45"/>
  <c r="B46" i="45"/>
  <c r="Z45" i="45"/>
  <c r="X45" i="45"/>
  <c r="N45" i="45"/>
  <c r="L45" i="45"/>
  <c r="B45" i="45"/>
  <c r="Z44" i="45"/>
  <c r="X44" i="45"/>
  <c r="N44" i="45"/>
  <c r="L44" i="45"/>
  <c r="B44" i="45"/>
  <c r="Z43" i="45"/>
  <c r="X43" i="45"/>
  <c r="V43" i="45"/>
  <c r="N43" i="45"/>
  <c r="L43" i="45"/>
  <c r="B43" i="45"/>
  <c r="Z42" i="45"/>
  <c r="X42" i="45"/>
  <c r="N42" i="45"/>
  <c r="L42" i="45"/>
  <c r="J42" i="45"/>
  <c r="B42" i="45"/>
  <c r="Z41" i="45"/>
  <c r="X41" i="45"/>
  <c r="N41" i="45"/>
  <c r="L41" i="45"/>
  <c r="J41" i="45"/>
  <c r="B41" i="45"/>
  <c r="Z40" i="45"/>
  <c r="X40" i="45"/>
  <c r="N40" i="45"/>
  <c r="L40" i="45"/>
  <c r="B40" i="45"/>
  <c r="Z39" i="45"/>
  <c r="X39" i="45"/>
  <c r="V39" i="45"/>
  <c r="L39" i="45"/>
  <c r="N39" i="45" s="1"/>
  <c r="B39" i="45"/>
  <c r="Z38" i="45"/>
  <c r="X38" i="45"/>
  <c r="N38" i="45"/>
  <c r="L38" i="45"/>
  <c r="J38" i="45"/>
  <c r="B38" i="45"/>
  <c r="X37" i="45"/>
  <c r="Z37" i="45" s="1"/>
  <c r="V37" i="45"/>
  <c r="L37" i="45"/>
  <c r="N37" i="45" s="1"/>
  <c r="J37" i="45"/>
  <c r="B37" i="45"/>
  <c r="Z36" i="45"/>
  <c r="X36" i="45"/>
  <c r="N36" i="45"/>
  <c r="L36" i="45"/>
  <c r="B36" i="45"/>
  <c r="V35" i="45"/>
  <c r="T35" i="45"/>
  <c r="Z35" i="45" s="1"/>
  <c r="P35" i="45"/>
  <c r="X35" i="45" s="1"/>
  <c r="L35" i="45"/>
  <c r="J35" i="45"/>
  <c r="H35" i="45"/>
  <c r="N35" i="45" s="1"/>
  <c r="D35" i="45"/>
  <c r="B35" i="45"/>
  <c r="X34" i="45"/>
  <c r="Z34" i="45" s="1"/>
  <c r="V34" i="45"/>
  <c r="N34" i="45"/>
  <c r="L34" i="45"/>
  <c r="J34" i="45"/>
  <c r="B34" i="45"/>
  <c r="X33" i="45"/>
  <c r="Z33" i="45" s="1"/>
  <c r="V33" i="45"/>
  <c r="N33" i="45"/>
  <c r="L33" i="45"/>
  <c r="B33" i="45"/>
  <c r="Z32" i="45"/>
  <c r="X32" i="45"/>
  <c r="L32" i="45"/>
  <c r="N32" i="45" s="1"/>
  <c r="B32" i="45"/>
  <c r="Z31" i="45"/>
  <c r="X31" i="45"/>
  <c r="N31" i="45"/>
  <c r="L31" i="45"/>
  <c r="B31" i="45"/>
  <c r="Z30" i="45"/>
  <c r="X30" i="45"/>
  <c r="V30" i="45"/>
  <c r="N30" i="45"/>
  <c r="L30" i="45"/>
  <c r="J30" i="45"/>
  <c r="B30" i="45"/>
  <c r="X29" i="45"/>
  <c r="Z29" i="45" s="1"/>
  <c r="V29" i="45"/>
  <c r="N29" i="45"/>
  <c r="L29" i="45"/>
  <c r="B29" i="45"/>
  <c r="Z28" i="45"/>
  <c r="X28" i="45"/>
  <c r="L28" i="45"/>
  <c r="N28" i="45" s="1"/>
  <c r="B28" i="45"/>
  <c r="X27" i="45"/>
  <c r="Z27" i="45" s="1"/>
  <c r="R27" i="45"/>
  <c r="N27" i="45"/>
  <c r="L27" i="45"/>
  <c r="B27" i="45"/>
  <c r="X26" i="45"/>
  <c r="Z26" i="45" s="1"/>
  <c r="V26" i="45"/>
  <c r="N26" i="45"/>
  <c r="L26" i="45"/>
  <c r="J26" i="45"/>
  <c r="B26" i="45"/>
  <c r="X25" i="45"/>
  <c r="Z25" i="45" s="1"/>
  <c r="V25" i="45"/>
  <c r="N25" i="45"/>
  <c r="L25" i="45"/>
  <c r="B25" i="45"/>
  <c r="Z24" i="45"/>
  <c r="T24" i="45"/>
  <c r="P24" i="45"/>
  <c r="X24" i="45" s="1"/>
  <c r="L24" i="45"/>
  <c r="J24" i="45"/>
  <c r="H24" i="45"/>
  <c r="D24" i="45"/>
  <c r="B24" i="45"/>
  <c r="T23" i="45"/>
  <c r="P23" i="45"/>
  <c r="X23" i="45" s="1"/>
  <c r="Z23" i="45" s="1"/>
  <c r="H23" i="45"/>
  <c r="D23" i="45"/>
  <c r="L23" i="45" s="1"/>
  <c r="N23" i="45" s="1"/>
  <c r="Z19" i="45"/>
  <c r="X19" i="45"/>
  <c r="N19" i="45"/>
  <c r="L19" i="45"/>
  <c r="J19" i="45"/>
  <c r="B19" i="45"/>
  <c r="Z18" i="45"/>
  <c r="X18" i="45"/>
  <c r="V18" i="45"/>
  <c r="N18" i="45"/>
  <c r="L18" i="45"/>
  <c r="B18" i="45"/>
  <c r="Z17" i="45"/>
  <c r="T17" i="45"/>
  <c r="P17" i="45"/>
  <c r="X17" i="45" s="1"/>
  <c r="N17" i="45"/>
  <c r="H17" i="45"/>
  <c r="D17" i="45"/>
  <c r="L17" i="45" s="1"/>
  <c r="Z15" i="45"/>
  <c r="X15" i="45"/>
  <c r="P15" i="45"/>
  <c r="N15" i="45"/>
  <c r="D15" i="45"/>
  <c r="L15" i="45" s="1"/>
  <c r="B15" i="45"/>
  <c r="Z14" i="45"/>
  <c r="P14" i="45"/>
  <c r="X14" i="45" s="1"/>
  <c r="N14" i="45"/>
  <c r="D14" i="45"/>
  <c r="L14" i="45" s="1"/>
  <c r="B14" i="45"/>
  <c r="Z13" i="45"/>
  <c r="X13" i="45"/>
  <c r="P13" i="45"/>
  <c r="N13" i="45"/>
  <c r="L13" i="45"/>
  <c r="D13" i="45"/>
  <c r="B13" i="45"/>
  <c r="Z12" i="45"/>
  <c r="T12" i="45"/>
  <c r="V93" i="45" s="1"/>
  <c r="P12" i="45"/>
  <c r="R88" i="45" s="1"/>
  <c r="N12" i="45"/>
  <c r="H12" i="45"/>
  <c r="J85" i="45" s="1"/>
  <c r="D4" i="45"/>
  <c r="X110" i="42"/>
  <c r="Z110" i="42" s="1"/>
  <c r="N110" i="42"/>
  <c r="L110" i="42"/>
  <c r="Z106" i="42"/>
  <c r="X106" i="42"/>
  <c r="P106" i="42"/>
  <c r="N106" i="42"/>
  <c r="D106" i="42"/>
  <c r="L106" i="42" s="1"/>
  <c r="B106" i="42"/>
  <c r="Z105" i="42"/>
  <c r="P105" i="42"/>
  <c r="X105" i="42" s="1"/>
  <c r="N105" i="42"/>
  <c r="D105" i="42"/>
  <c r="L105" i="42" s="1"/>
  <c r="B105" i="42"/>
  <c r="Z104" i="42"/>
  <c r="P104" i="42"/>
  <c r="X104" i="42" s="1"/>
  <c r="N104" i="42"/>
  <c r="D104" i="42"/>
  <c r="L104" i="42" s="1"/>
  <c r="B104" i="42"/>
  <c r="Z103" i="42"/>
  <c r="T103" i="42"/>
  <c r="P103" i="42"/>
  <c r="X103" i="42" s="1"/>
  <c r="H103" i="42"/>
  <c r="N103" i="42" s="1"/>
  <c r="Z101" i="42"/>
  <c r="X101" i="42"/>
  <c r="N101" i="42"/>
  <c r="L101" i="42"/>
  <c r="B101" i="42"/>
  <c r="T100" i="42"/>
  <c r="P100" i="42"/>
  <c r="L100" i="42"/>
  <c r="H100" i="42"/>
  <c r="D100" i="42"/>
  <c r="B100" i="42"/>
  <c r="Z99" i="42"/>
  <c r="X99" i="42"/>
  <c r="N99" i="42"/>
  <c r="L99" i="42"/>
  <c r="J99" i="42"/>
  <c r="B99" i="42"/>
  <c r="Z98" i="42"/>
  <c r="X98" i="42"/>
  <c r="N98" i="42"/>
  <c r="L98" i="42"/>
  <c r="B98" i="42"/>
  <c r="Z97" i="42"/>
  <c r="T97" i="42"/>
  <c r="P97" i="42"/>
  <c r="X97" i="42" s="1"/>
  <c r="N97" i="42"/>
  <c r="L97" i="42"/>
  <c r="H97" i="42"/>
  <c r="D97" i="42"/>
  <c r="B97" i="42"/>
  <c r="Z96" i="42"/>
  <c r="X96" i="42"/>
  <c r="N96" i="42"/>
  <c r="L96" i="42"/>
  <c r="J96" i="42"/>
  <c r="B96" i="42"/>
  <c r="T95" i="42"/>
  <c r="Z95" i="42" s="1"/>
  <c r="P95" i="42"/>
  <c r="H95" i="42"/>
  <c r="D95" i="42"/>
  <c r="B95" i="42"/>
  <c r="X94" i="42"/>
  <c r="Z94" i="42" s="1"/>
  <c r="L94" i="42"/>
  <c r="N94" i="42" s="1"/>
  <c r="B94" i="42"/>
  <c r="Z93" i="42"/>
  <c r="X93" i="42"/>
  <c r="N93" i="42"/>
  <c r="L93" i="42"/>
  <c r="B93" i="42"/>
  <c r="V92" i="42"/>
  <c r="T92" i="42"/>
  <c r="P92" i="42"/>
  <c r="L92" i="42"/>
  <c r="H92" i="42"/>
  <c r="N92" i="42" s="1"/>
  <c r="D92" i="42"/>
  <c r="B92" i="42"/>
  <c r="Z91" i="42"/>
  <c r="X91" i="42"/>
  <c r="N91" i="42"/>
  <c r="L91" i="42"/>
  <c r="J91" i="42"/>
  <c r="B91" i="42"/>
  <c r="Z90" i="42"/>
  <c r="X90" i="42"/>
  <c r="N90" i="42"/>
  <c r="L90" i="42"/>
  <c r="B90" i="42"/>
  <c r="Z89" i="42"/>
  <c r="X89" i="42"/>
  <c r="N89" i="42"/>
  <c r="L89" i="42"/>
  <c r="B89" i="42"/>
  <c r="Z88" i="42"/>
  <c r="X88" i="42"/>
  <c r="N88" i="42"/>
  <c r="L88" i="42"/>
  <c r="B88" i="42"/>
  <c r="Z87" i="42"/>
  <c r="X87" i="42"/>
  <c r="N87" i="42"/>
  <c r="L87" i="42"/>
  <c r="J87" i="42"/>
  <c r="B87" i="42"/>
  <c r="X86" i="42"/>
  <c r="Z86" i="42" s="1"/>
  <c r="N86" i="42"/>
  <c r="L86" i="42"/>
  <c r="B86" i="42"/>
  <c r="Z85" i="42"/>
  <c r="X85" i="42"/>
  <c r="L85" i="42"/>
  <c r="N85" i="42" s="1"/>
  <c r="B85" i="42"/>
  <c r="X84" i="42"/>
  <c r="Z84" i="42" s="1"/>
  <c r="N84" i="42"/>
  <c r="L84" i="42"/>
  <c r="B84" i="42"/>
  <c r="X83" i="42"/>
  <c r="Z83" i="42" s="1"/>
  <c r="N83" i="42"/>
  <c r="L83" i="42"/>
  <c r="J83" i="42"/>
  <c r="B83" i="42"/>
  <c r="Z82" i="42"/>
  <c r="X82" i="42"/>
  <c r="N82" i="42"/>
  <c r="L82" i="42"/>
  <c r="B82" i="42"/>
  <c r="Z81" i="42"/>
  <c r="X81" i="42"/>
  <c r="N81" i="42"/>
  <c r="L81" i="42"/>
  <c r="B81" i="42"/>
  <c r="T80" i="42"/>
  <c r="P80" i="42"/>
  <c r="X80" i="42" s="1"/>
  <c r="H80" i="42"/>
  <c r="D80" i="42"/>
  <c r="L80" i="42" s="1"/>
  <c r="B80" i="42"/>
  <c r="Z79" i="42"/>
  <c r="X79" i="42"/>
  <c r="N79" i="42"/>
  <c r="L79" i="42"/>
  <c r="B79" i="42"/>
  <c r="T78" i="42"/>
  <c r="P78" i="42"/>
  <c r="X78" i="42" s="1"/>
  <c r="Z78" i="42" s="1"/>
  <c r="H78" i="42"/>
  <c r="D78" i="42"/>
  <c r="L78" i="42" s="1"/>
  <c r="N78" i="42" s="1"/>
  <c r="B78" i="42"/>
  <c r="Z77" i="42"/>
  <c r="X77" i="42"/>
  <c r="N77" i="42"/>
  <c r="L77" i="42"/>
  <c r="B77" i="42"/>
  <c r="Z76" i="42"/>
  <c r="X76" i="42"/>
  <c r="N76" i="42"/>
  <c r="L76" i="42"/>
  <c r="B76" i="42"/>
  <c r="Z75" i="42"/>
  <c r="X75" i="42"/>
  <c r="L75" i="42"/>
  <c r="N75" i="42" s="1"/>
  <c r="J75" i="42"/>
  <c r="B75" i="42"/>
  <c r="X74" i="42"/>
  <c r="Z74" i="42" s="1"/>
  <c r="L74" i="42"/>
  <c r="N74" i="42" s="1"/>
  <c r="B74" i="42"/>
  <c r="Z73" i="42"/>
  <c r="X73" i="42"/>
  <c r="N73" i="42"/>
  <c r="L73" i="42"/>
  <c r="B73" i="42"/>
  <c r="T72" i="42"/>
  <c r="P72" i="42"/>
  <c r="L72" i="42"/>
  <c r="H72" i="42"/>
  <c r="D72" i="42"/>
  <c r="B72" i="42"/>
  <c r="Z71" i="42"/>
  <c r="X71" i="42"/>
  <c r="N71" i="42"/>
  <c r="L71" i="42"/>
  <c r="J71" i="42"/>
  <c r="B71" i="42"/>
  <c r="Z70" i="42"/>
  <c r="X70" i="42"/>
  <c r="N70" i="42"/>
  <c r="L70" i="42"/>
  <c r="B70" i="42"/>
  <c r="Z69" i="42"/>
  <c r="T69" i="42"/>
  <c r="P69" i="42"/>
  <c r="X69" i="42" s="1"/>
  <c r="N69" i="42"/>
  <c r="L69" i="42"/>
  <c r="J69" i="42"/>
  <c r="H69" i="42"/>
  <c r="D69" i="42"/>
  <c r="B69" i="42"/>
  <c r="Z68" i="42"/>
  <c r="X68" i="42"/>
  <c r="N68" i="42"/>
  <c r="L68" i="42"/>
  <c r="J68" i="42"/>
  <c r="B68" i="42"/>
  <c r="Z67" i="42"/>
  <c r="X67" i="42"/>
  <c r="N67" i="42"/>
  <c r="L67" i="42"/>
  <c r="B67" i="42"/>
  <c r="T66" i="42"/>
  <c r="P66" i="42"/>
  <c r="X66" i="42" s="1"/>
  <c r="Z66" i="42" s="1"/>
  <c r="H66" i="42"/>
  <c r="D66" i="42"/>
  <c r="L66" i="42" s="1"/>
  <c r="N66" i="42" s="1"/>
  <c r="B66" i="42"/>
  <c r="Z65" i="42"/>
  <c r="X65" i="42"/>
  <c r="N65" i="42"/>
  <c r="L65" i="42"/>
  <c r="B65" i="42"/>
  <c r="T64" i="42"/>
  <c r="P64" i="42"/>
  <c r="L64" i="42"/>
  <c r="H64" i="42"/>
  <c r="D64" i="42"/>
  <c r="B64" i="42"/>
  <c r="X63" i="42"/>
  <c r="Z63" i="42" s="1"/>
  <c r="N63" i="42"/>
  <c r="L63" i="42"/>
  <c r="J63" i="42"/>
  <c r="B63" i="42"/>
  <c r="T62" i="42"/>
  <c r="P62" i="42"/>
  <c r="X62" i="42" s="1"/>
  <c r="H62" i="42"/>
  <c r="D62" i="42"/>
  <c r="L62" i="42" s="1"/>
  <c r="B62" i="42"/>
  <c r="X61" i="42"/>
  <c r="Z61" i="42" s="1"/>
  <c r="N61" i="42"/>
  <c r="L61" i="42"/>
  <c r="B61" i="42"/>
  <c r="Z60" i="42"/>
  <c r="X60" i="42"/>
  <c r="T60" i="42"/>
  <c r="P60" i="42"/>
  <c r="L60" i="42"/>
  <c r="N60" i="42" s="1"/>
  <c r="H60" i="42"/>
  <c r="D60" i="42"/>
  <c r="B60" i="42"/>
  <c r="Z59" i="42"/>
  <c r="X59" i="42"/>
  <c r="L59" i="42"/>
  <c r="N59" i="42" s="1"/>
  <c r="J59" i="42"/>
  <c r="B59" i="42"/>
  <c r="X58" i="42"/>
  <c r="T58" i="42"/>
  <c r="Z58" i="42" s="1"/>
  <c r="P58" i="42"/>
  <c r="J58" i="42"/>
  <c r="H58" i="42"/>
  <c r="D58" i="42"/>
  <c r="B58" i="42"/>
  <c r="Z57" i="42"/>
  <c r="X57" i="42"/>
  <c r="L57" i="42"/>
  <c r="N57" i="42" s="1"/>
  <c r="B57" i="42"/>
  <c r="T56" i="42"/>
  <c r="P56" i="42"/>
  <c r="X56" i="42" s="1"/>
  <c r="J56" i="42"/>
  <c r="H56" i="42"/>
  <c r="N56" i="42" s="1"/>
  <c r="D56" i="42"/>
  <c r="L56" i="42" s="1"/>
  <c r="B56" i="42"/>
  <c r="Z55" i="42"/>
  <c r="X55" i="42"/>
  <c r="N55" i="42"/>
  <c r="L55" i="42"/>
  <c r="B55" i="42"/>
  <c r="Z54" i="42"/>
  <c r="T54" i="42"/>
  <c r="P54" i="42"/>
  <c r="X54" i="42" s="1"/>
  <c r="N54" i="42"/>
  <c r="H54" i="42"/>
  <c r="D54" i="42"/>
  <c r="L54" i="42" s="1"/>
  <c r="B54" i="42"/>
  <c r="Z53" i="42"/>
  <c r="X53" i="42"/>
  <c r="N53" i="42"/>
  <c r="L53" i="42"/>
  <c r="B53" i="42"/>
  <c r="Z52" i="42"/>
  <c r="X52" i="42"/>
  <c r="L52" i="42"/>
  <c r="N52" i="42" s="1"/>
  <c r="B52" i="42"/>
  <c r="Z51" i="42"/>
  <c r="X51" i="42"/>
  <c r="N51" i="42"/>
  <c r="L51" i="42"/>
  <c r="J51" i="42"/>
  <c r="B51" i="42"/>
  <c r="X50" i="42"/>
  <c r="T50" i="42"/>
  <c r="P50" i="42"/>
  <c r="H50" i="42"/>
  <c r="D50" i="42"/>
  <c r="B50" i="42"/>
  <c r="Z49" i="42"/>
  <c r="X49" i="42"/>
  <c r="L49" i="42"/>
  <c r="N49" i="42" s="1"/>
  <c r="B49" i="42"/>
  <c r="T48" i="42"/>
  <c r="P48" i="42"/>
  <c r="J48" i="42"/>
  <c r="H48" i="42"/>
  <c r="D48" i="42"/>
  <c r="L48" i="42" s="1"/>
  <c r="B48" i="42"/>
  <c r="Z47" i="42"/>
  <c r="X47" i="42"/>
  <c r="N47" i="42"/>
  <c r="L47" i="42"/>
  <c r="B47" i="42"/>
  <c r="T46" i="42"/>
  <c r="P46" i="42"/>
  <c r="X46" i="42" s="1"/>
  <c r="Z46" i="42" s="1"/>
  <c r="H46" i="42"/>
  <c r="D46" i="42"/>
  <c r="L46" i="42" s="1"/>
  <c r="N46" i="42" s="1"/>
  <c r="B46" i="42"/>
  <c r="Z45" i="42"/>
  <c r="X45" i="42"/>
  <c r="N45" i="42"/>
  <c r="L45" i="42"/>
  <c r="B45" i="42"/>
  <c r="T44" i="42"/>
  <c r="P44" i="42"/>
  <c r="L44" i="42"/>
  <c r="H44" i="42"/>
  <c r="N44" i="42" s="1"/>
  <c r="D44" i="42"/>
  <c r="B44" i="42"/>
  <c r="Z43" i="42"/>
  <c r="X43" i="42"/>
  <c r="V43" i="42"/>
  <c r="N43" i="42"/>
  <c r="L43" i="42"/>
  <c r="J43" i="42"/>
  <c r="B43" i="42"/>
  <c r="Z42" i="42"/>
  <c r="X42" i="42"/>
  <c r="N42" i="42"/>
  <c r="L42" i="42"/>
  <c r="B42" i="42"/>
  <c r="Z41" i="42"/>
  <c r="X41" i="42"/>
  <c r="N41" i="42"/>
  <c r="L41" i="42"/>
  <c r="B41" i="42"/>
  <c r="X40" i="42"/>
  <c r="Z40" i="42" s="1"/>
  <c r="N40" i="42"/>
  <c r="L40" i="42"/>
  <c r="B40" i="42"/>
  <c r="Z39" i="42"/>
  <c r="X39" i="42"/>
  <c r="V39" i="42"/>
  <c r="N39" i="42"/>
  <c r="L39" i="42"/>
  <c r="J39" i="42"/>
  <c r="B39" i="42"/>
  <c r="X38" i="42"/>
  <c r="Z38" i="42" s="1"/>
  <c r="N38" i="42"/>
  <c r="L38" i="42"/>
  <c r="B38" i="42"/>
  <c r="Z37" i="42"/>
  <c r="X37" i="42"/>
  <c r="L37" i="42"/>
  <c r="N37" i="42" s="1"/>
  <c r="J37" i="42"/>
  <c r="B37" i="42"/>
  <c r="Z36" i="42"/>
  <c r="X36" i="42"/>
  <c r="N36" i="42"/>
  <c r="L36" i="42"/>
  <c r="B36" i="42"/>
  <c r="X35" i="42"/>
  <c r="Z35" i="42" s="1"/>
  <c r="N35" i="42"/>
  <c r="L35" i="42"/>
  <c r="J35" i="42"/>
  <c r="B35" i="42"/>
  <c r="X34" i="42"/>
  <c r="Z34" i="42" s="1"/>
  <c r="L34" i="42"/>
  <c r="N34" i="42" s="1"/>
  <c r="B34" i="42"/>
  <c r="T33" i="42"/>
  <c r="P33" i="42"/>
  <c r="X33" i="42" s="1"/>
  <c r="Z33" i="42" s="1"/>
  <c r="L33" i="42"/>
  <c r="N33" i="42" s="1"/>
  <c r="J33" i="42"/>
  <c r="H33" i="42"/>
  <c r="D33" i="42"/>
  <c r="B33" i="42"/>
  <c r="X32" i="42"/>
  <c r="Z32" i="42" s="1"/>
  <c r="N32" i="42"/>
  <c r="L32" i="42"/>
  <c r="J32" i="42"/>
  <c r="B32" i="42"/>
  <c r="Z31" i="42"/>
  <c r="X31" i="42"/>
  <c r="N31" i="42"/>
  <c r="L31" i="42"/>
  <c r="J31" i="42"/>
  <c r="B31" i="42"/>
  <c r="Z30" i="42"/>
  <c r="X30" i="42"/>
  <c r="L30" i="42"/>
  <c r="N30" i="42" s="1"/>
  <c r="J30" i="42"/>
  <c r="B30" i="42"/>
  <c r="Z29" i="42"/>
  <c r="X29" i="42"/>
  <c r="N29" i="42"/>
  <c r="L29" i="42"/>
  <c r="B29" i="42"/>
  <c r="X28" i="42"/>
  <c r="Z28" i="42" s="1"/>
  <c r="N28" i="42"/>
  <c r="L28" i="42"/>
  <c r="J28" i="42"/>
  <c r="B28" i="42"/>
  <c r="Z27" i="42"/>
  <c r="X27" i="42"/>
  <c r="N27" i="42"/>
  <c r="L27" i="42"/>
  <c r="J27" i="42"/>
  <c r="B27" i="42"/>
  <c r="Z26" i="42"/>
  <c r="X26" i="42"/>
  <c r="L26" i="42"/>
  <c r="N26" i="42" s="1"/>
  <c r="J26" i="42"/>
  <c r="B26" i="42"/>
  <c r="X25" i="42"/>
  <c r="Z25" i="42" s="1"/>
  <c r="N25" i="42"/>
  <c r="L25" i="42"/>
  <c r="J25" i="42"/>
  <c r="B25" i="42"/>
  <c r="X24" i="42"/>
  <c r="Z24" i="42" s="1"/>
  <c r="N24" i="42"/>
  <c r="L24" i="42"/>
  <c r="J24" i="42"/>
  <c r="B24" i="42"/>
  <c r="T23" i="42"/>
  <c r="P23" i="42"/>
  <c r="L23" i="42"/>
  <c r="H23" i="42"/>
  <c r="D23" i="42"/>
  <c r="B23" i="42"/>
  <c r="X22" i="42"/>
  <c r="T22" i="42"/>
  <c r="Z22" i="42" s="1"/>
  <c r="P22" i="42"/>
  <c r="N22" i="42"/>
  <c r="J22" i="42"/>
  <c r="H22" i="42"/>
  <c r="L22" i="42" s="1"/>
  <c r="D22" i="42"/>
  <c r="X18" i="42"/>
  <c r="Z18" i="42" s="1"/>
  <c r="L18" i="42"/>
  <c r="N18" i="42" s="1"/>
  <c r="J18" i="42"/>
  <c r="B18" i="42"/>
  <c r="Z17" i="42"/>
  <c r="T17" i="42"/>
  <c r="P17" i="42"/>
  <c r="X17" i="42" s="1"/>
  <c r="N17" i="42"/>
  <c r="H17" i="42"/>
  <c r="J17" i="42" s="1"/>
  <c r="D17" i="42"/>
  <c r="L17" i="42" s="1"/>
  <c r="Z15" i="42"/>
  <c r="P15" i="42"/>
  <c r="X15" i="42" s="1"/>
  <c r="L15" i="42"/>
  <c r="N15" i="42" s="1"/>
  <c r="D15" i="42"/>
  <c r="B15" i="42"/>
  <c r="Z14" i="42"/>
  <c r="P14" i="42"/>
  <c r="N14" i="42"/>
  <c r="L14" i="42"/>
  <c r="D14" i="42"/>
  <c r="B14" i="42"/>
  <c r="Z13" i="42"/>
  <c r="P13" i="42"/>
  <c r="X13" i="42" s="1"/>
  <c r="L13" i="42"/>
  <c r="N13" i="42" s="1"/>
  <c r="D13" i="42"/>
  <c r="B13" i="42"/>
  <c r="T12" i="42"/>
  <c r="H12" i="42"/>
  <c r="J100" i="42" s="1"/>
  <c r="D12" i="42"/>
  <c r="D4" i="42"/>
  <c r="Z111" i="39"/>
  <c r="X111" i="39"/>
  <c r="V111" i="39"/>
  <c r="N111" i="39"/>
  <c r="L111" i="39"/>
  <c r="Z107" i="39"/>
  <c r="X107" i="39"/>
  <c r="P107" i="39"/>
  <c r="N107" i="39"/>
  <c r="L107" i="39"/>
  <c r="D107" i="39"/>
  <c r="B107" i="39"/>
  <c r="Z106" i="39"/>
  <c r="X106" i="39"/>
  <c r="P106" i="39"/>
  <c r="P104" i="39" s="1"/>
  <c r="N106" i="39"/>
  <c r="J106" i="39"/>
  <c r="D106" i="39"/>
  <c r="L106" i="39" s="1"/>
  <c r="B106" i="39"/>
  <c r="Z105" i="39"/>
  <c r="X105" i="39"/>
  <c r="V105" i="39"/>
  <c r="P105" i="39"/>
  <c r="N105" i="39"/>
  <c r="L105" i="39"/>
  <c r="D105" i="39"/>
  <c r="B105" i="39"/>
  <c r="T104" i="39"/>
  <c r="Z104" i="39" s="1"/>
  <c r="H104" i="39"/>
  <c r="N104" i="39" s="1"/>
  <c r="X102" i="39"/>
  <c r="Z102" i="39" s="1"/>
  <c r="N102" i="39"/>
  <c r="L102" i="39"/>
  <c r="B102" i="39"/>
  <c r="V101" i="39"/>
  <c r="T101" i="39"/>
  <c r="P101" i="39"/>
  <c r="X101" i="39" s="1"/>
  <c r="Z101" i="39" s="1"/>
  <c r="N101" i="39"/>
  <c r="H101" i="39"/>
  <c r="L101" i="39" s="1"/>
  <c r="D101" i="39"/>
  <c r="B101" i="39"/>
  <c r="Z100" i="39"/>
  <c r="X100" i="39"/>
  <c r="N100" i="39"/>
  <c r="L100" i="39"/>
  <c r="B100" i="39"/>
  <c r="Z99" i="39"/>
  <c r="X99" i="39"/>
  <c r="V99" i="39"/>
  <c r="N99" i="39"/>
  <c r="L99" i="39"/>
  <c r="B99" i="39"/>
  <c r="Z98" i="39"/>
  <c r="T98" i="39"/>
  <c r="P98" i="39"/>
  <c r="X98" i="39" s="1"/>
  <c r="L98" i="39"/>
  <c r="H98" i="39"/>
  <c r="N98" i="39" s="1"/>
  <c r="D98" i="39"/>
  <c r="B98" i="39"/>
  <c r="Z97" i="39"/>
  <c r="X97" i="39"/>
  <c r="N97" i="39"/>
  <c r="L97" i="39"/>
  <c r="J97" i="39"/>
  <c r="B97" i="39"/>
  <c r="Z96" i="39"/>
  <c r="X96" i="39"/>
  <c r="T96" i="39"/>
  <c r="P96" i="39"/>
  <c r="L96" i="39"/>
  <c r="H96" i="39"/>
  <c r="N96" i="39" s="1"/>
  <c r="D96" i="39"/>
  <c r="B96" i="39"/>
  <c r="Z95" i="39"/>
  <c r="X95" i="39"/>
  <c r="N95" i="39"/>
  <c r="L95" i="39"/>
  <c r="J95" i="39"/>
  <c r="B95" i="39"/>
  <c r="X94" i="39"/>
  <c r="Z94" i="39" s="1"/>
  <c r="N94" i="39"/>
  <c r="L94" i="39"/>
  <c r="B94" i="39"/>
  <c r="Z93" i="39"/>
  <c r="V93" i="39"/>
  <c r="T93" i="39"/>
  <c r="P93" i="39"/>
  <c r="X93" i="39" s="1"/>
  <c r="H93" i="39"/>
  <c r="L93" i="39" s="1"/>
  <c r="N93" i="39" s="1"/>
  <c r="D93" i="39"/>
  <c r="B93" i="39"/>
  <c r="Z92" i="39"/>
  <c r="X92" i="39"/>
  <c r="N92" i="39"/>
  <c r="L92" i="39"/>
  <c r="B92" i="39"/>
  <c r="Z91" i="39"/>
  <c r="X91" i="39"/>
  <c r="V91" i="39"/>
  <c r="N91" i="39"/>
  <c r="L91" i="39"/>
  <c r="B91" i="39"/>
  <c r="Z90" i="39"/>
  <c r="X90" i="39"/>
  <c r="N90" i="39"/>
  <c r="L90" i="39"/>
  <c r="B90" i="39"/>
  <c r="Z89" i="39"/>
  <c r="X89" i="39"/>
  <c r="V89" i="39"/>
  <c r="N89" i="39"/>
  <c r="L89" i="39"/>
  <c r="B89" i="39"/>
  <c r="Z88" i="39"/>
  <c r="X88" i="39"/>
  <c r="N88" i="39"/>
  <c r="L88" i="39"/>
  <c r="B88" i="39"/>
  <c r="Z87" i="39"/>
  <c r="X87" i="39"/>
  <c r="V87" i="39"/>
  <c r="N87" i="39"/>
  <c r="L87" i="39"/>
  <c r="B87" i="39"/>
  <c r="Z86" i="39"/>
  <c r="X86" i="39"/>
  <c r="V86" i="39"/>
  <c r="L86" i="39"/>
  <c r="N86" i="39" s="1"/>
  <c r="B86" i="39"/>
  <c r="Z85" i="39"/>
  <c r="X85" i="39"/>
  <c r="V85" i="39"/>
  <c r="L85" i="39"/>
  <c r="N85" i="39" s="1"/>
  <c r="B85" i="39"/>
  <c r="X84" i="39"/>
  <c r="Z84" i="39" s="1"/>
  <c r="L84" i="39"/>
  <c r="N84" i="39" s="1"/>
  <c r="B84" i="39"/>
  <c r="Z83" i="39"/>
  <c r="X83" i="39"/>
  <c r="V83" i="39"/>
  <c r="N83" i="39"/>
  <c r="L83" i="39"/>
  <c r="B83" i="39"/>
  <c r="Z82" i="39"/>
  <c r="X82" i="39"/>
  <c r="V82" i="39"/>
  <c r="N82" i="39"/>
  <c r="L82" i="39"/>
  <c r="B82" i="39"/>
  <c r="V81" i="39"/>
  <c r="T81" i="39"/>
  <c r="P81" i="39"/>
  <c r="X81" i="39" s="1"/>
  <c r="Z81" i="39" s="1"/>
  <c r="J81" i="39"/>
  <c r="H81" i="39"/>
  <c r="D81" i="39"/>
  <c r="L81" i="39" s="1"/>
  <c r="N81" i="39" s="1"/>
  <c r="B81" i="39"/>
  <c r="X80" i="39"/>
  <c r="Z80" i="39" s="1"/>
  <c r="N80" i="39"/>
  <c r="L80" i="39"/>
  <c r="B80" i="39"/>
  <c r="T79" i="39"/>
  <c r="P79" i="39"/>
  <c r="X79" i="39" s="1"/>
  <c r="Z79" i="39" s="1"/>
  <c r="L79" i="39"/>
  <c r="H79" i="39"/>
  <c r="N79" i="39" s="1"/>
  <c r="D79" i="39"/>
  <c r="B79" i="39"/>
  <c r="X78" i="39"/>
  <c r="Z78" i="39" s="1"/>
  <c r="N78" i="39"/>
  <c r="L78" i="39"/>
  <c r="B78" i="39"/>
  <c r="Z77" i="39"/>
  <c r="X77" i="39"/>
  <c r="V77" i="39"/>
  <c r="N77" i="39"/>
  <c r="L77" i="39"/>
  <c r="J77" i="39"/>
  <c r="B77" i="39"/>
  <c r="Z76" i="39"/>
  <c r="X76" i="39"/>
  <c r="L76" i="39"/>
  <c r="N76" i="39" s="1"/>
  <c r="B76" i="39"/>
  <c r="Z75" i="39"/>
  <c r="X75" i="39"/>
  <c r="N75" i="39"/>
  <c r="L75" i="39"/>
  <c r="J75" i="39"/>
  <c r="B75" i="39"/>
  <c r="X74" i="39"/>
  <c r="Z74" i="39" s="1"/>
  <c r="N74" i="39"/>
  <c r="L74" i="39"/>
  <c r="J74" i="39"/>
  <c r="B74" i="39"/>
  <c r="Z73" i="39"/>
  <c r="V73" i="39"/>
  <c r="T73" i="39"/>
  <c r="P73" i="39"/>
  <c r="X73" i="39" s="1"/>
  <c r="H73" i="39"/>
  <c r="L73" i="39" s="1"/>
  <c r="N73" i="39" s="1"/>
  <c r="D73" i="39"/>
  <c r="B73" i="39"/>
  <c r="Z72" i="39"/>
  <c r="X72" i="39"/>
  <c r="N72" i="39"/>
  <c r="L72" i="39"/>
  <c r="B72" i="39"/>
  <c r="Z71" i="39"/>
  <c r="X71" i="39"/>
  <c r="V71" i="39"/>
  <c r="N71" i="39"/>
  <c r="L71" i="39"/>
  <c r="B71" i="39"/>
  <c r="Z70" i="39"/>
  <c r="V70" i="39"/>
  <c r="T70" i="39"/>
  <c r="P70" i="39"/>
  <c r="X70" i="39" s="1"/>
  <c r="H70" i="39"/>
  <c r="N70" i="39" s="1"/>
  <c r="D70" i="39"/>
  <c r="L70" i="39" s="1"/>
  <c r="B70" i="39"/>
  <c r="X69" i="39"/>
  <c r="Z69" i="39" s="1"/>
  <c r="N69" i="39"/>
  <c r="L69" i="39"/>
  <c r="J69" i="39"/>
  <c r="B69" i="39"/>
  <c r="Z68" i="39"/>
  <c r="X68" i="39"/>
  <c r="V68" i="39"/>
  <c r="N68" i="39"/>
  <c r="L68" i="39"/>
  <c r="B68" i="39"/>
  <c r="V67" i="39"/>
  <c r="T67" i="39"/>
  <c r="P67" i="39"/>
  <c r="X67" i="39" s="1"/>
  <c r="Z67" i="39" s="1"/>
  <c r="L67" i="39"/>
  <c r="H67" i="39"/>
  <c r="N67" i="39" s="1"/>
  <c r="D67" i="39"/>
  <c r="B67" i="39"/>
  <c r="X66" i="39"/>
  <c r="Z66" i="39" s="1"/>
  <c r="N66" i="39"/>
  <c r="L66" i="39"/>
  <c r="J66" i="39"/>
  <c r="B66" i="39"/>
  <c r="Z65" i="39"/>
  <c r="V65" i="39"/>
  <c r="T65" i="39"/>
  <c r="P65" i="39"/>
  <c r="X65" i="39" s="1"/>
  <c r="H65" i="39"/>
  <c r="L65" i="39" s="1"/>
  <c r="N65" i="39" s="1"/>
  <c r="D65" i="39"/>
  <c r="B65" i="39"/>
  <c r="X64" i="39"/>
  <c r="Z64" i="39" s="1"/>
  <c r="L64" i="39"/>
  <c r="N64" i="39" s="1"/>
  <c r="B64" i="39"/>
  <c r="V63" i="39"/>
  <c r="T63" i="39"/>
  <c r="P63" i="39"/>
  <c r="X63" i="39" s="1"/>
  <c r="Z63" i="39" s="1"/>
  <c r="J63" i="39"/>
  <c r="H63" i="39"/>
  <c r="D63" i="39"/>
  <c r="L63" i="39" s="1"/>
  <c r="N63" i="39" s="1"/>
  <c r="B63" i="39"/>
  <c r="X62" i="39"/>
  <c r="Z62" i="39" s="1"/>
  <c r="L62" i="39"/>
  <c r="N62" i="39" s="1"/>
  <c r="F62" i="39"/>
  <c r="B62" i="39"/>
  <c r="X61" i="39"/>
  <c r="T61" i="39"/>
  <c r="Z61" i="39" s="1"/>
  <c r="P61" i="39"/>
  <c r="N61" i="39"/>
  <c r="H61" i="39"/>
  <c r="D61" i="39"/>
  <c r="L61" i="39" s="1"/>
  <c r="B61" i="39"/>
  <c r="Z60" i="39"/>
  <c r="X60" i="39"/>
  <c r="L60" i="39"/>
  <c r="N60" i="39" s="1"/>
  <c r="B60" i="39"/>
  <c r="Z59" i="39"/>
  <c r="T59" i="39"/>
  <c r="X59" i="39" s="1"/>
  <c r="P59" i="39"/>
  <c r="N59" i="39"/>
  <c r="J59" i="39"/>
  <c r="H59" i="39"/>
  <c r="D59" i="39"/>
  <c r="L59" i="39" s="1"/>
  <c r="B59" i="39"/>
  <c r="Z58" i="39"/>
  <c r="X58" i="39"/>
  <c r="V58" i="39"/>
  <c r="L58" i="39"/>
  <c r="N58" i="39" s="1"/>
  <c r="B58" i="39"/>
  <c r="V57" i="39"/>
  <c r="T57" i="39"/>
  <c r="P57" i="39"/>
  <c r="X57" i="39" s="1"/>
  <c r="J57" i="39"/>
  <c r="H57" i="39"/>
  <c r="D57" i="39"/>
  <c r="L57" i="39" s="1"/>
  <c r="N57" i="39" s="1"/>
  <c r="B57" i="39"/>
  <c r="Z56" i="39"/>
  <c r="X56" i="39"/>
  <c r="V56" i="39"/>
  <c r="N56" i="39"/>
  <c r="L56" i="39"/>
  <c r="B56" i="39"/>
  <c r="Z55" i="39"/>
  <c r="V55" i="39"/>
  <c r="T55" i="39"/>
  <c r="P55" i="39"/>
  <c r="X55" i="39" s="1"/>
  <c r="L55" i="39"/>
  <c r="H55" i="39"/>
  <c r="N55" i="39" s="1"/>
  <c r="D55" i="39"/>
  <c r="B55" i="39"/>
  <c r="X54" i="39"/>
  <c r="Z54" i="39" s="1"/>
  <c r="N54" i="39"/>
  <c r="L54" i="39"/>
  <c r="J54" i="39"/>
  <c r="B54" i="39"/>
  <c r="Z53" i="39"/>
  <c r="X53" i="39"/>
  <c r="V53" i="39"/>
  <c r="N53" i="39"/>
  <c r="L53" i="39"/>
  <c r="J53" i="39"/>
  <c r="B53" i="39"/>
  <c r="Z52" i="39"/>
  <c r="X52" i="39"/>
  <c r="N52" i="39"/>
  <c r="L52" i="39"/>
  <c r="B52" i="39"/>
  <c r="T51" i="39"/>
  <c r="X51" i="39" s="1"/>
  <c r="Z51" i="39" s="1"/>
  <c r="P51" i="39"/>
  <c r="J51" i="39"/>
  <c r="H51" i="39"/>
  <c r="D51" i="39"/>
  <c r="L51" i="39" s="1"/>
  <c r="N51" i="39" s="1"/>
  <c r="B51" i="39"/>
  <c r="Z50" i="39"/>
  <c r="X50" i="39"/>
  <c r="V50" i="39"/>
  <c r="L50" i="39"/>
  <c r="N50" i="39" s="1"/>
  <c r="B50" i="39"/>
  <c r="V49" i="39"/>
  <c r="T49" i="39"/>
  <c r="P49" i="39"/>
  <c r="X49" i="39" s="1"/>
  <c r="J49" i="39"/>
  <c r="H49" i="39"/>
  <c r="D49" i="39"/>
  <c r="L49" i="39" s="1"/>
  <c r="N49" i="39" s="1"/>
  <c r="B49" i="39"/>
  <c r="X48" i="39"/>
  <c r="Z48" i="39" s="1"/>
  <c r="V48" i="39"/>
  <c r="N48" i="39"/>
  <c r="L48" i="39"/>
  <c r="B48" i="39"/>
  <c r="Z47" i="39"/>
  <c r="V47" i="39"/>
  <c r="T47" i="39"/>
  <c r="P47" i="39"/>
  <c r="X47" i="39" s="1"/>
  <c r="L47" i="39"/>
  <c r="H47" i="39"/>
  <c r="N47" i="39" s="1"/>
  <c r="F47" i="39"/>
  <c r="D47" i="39"/>
  <c r="B47" i="39"/>
  <c r="X46" i="39"/>
  <c r="Z46" i="39" s="1"/>
  <c r="N46" i="39"/>
  <c r="L46" i="39"/>
  <c r="J46" i="39"/>
  <c r="B46" i="39"/>
  <c r="V45" i="39"/>
  <c r="T45" i="39"/>
  <c r="P45" i="39"/>
  <c r="X45" i="39" s="1"/>
  <c r="Z45" i="39" s="1"/>
  <c r="H45" i="39"/>
  <c r="L45" i="39" s="1"/>
  <c r="N45" i="39" s="1"/>
  <c r="D45" i="39"/>
  <c r="B45" i="39"/>
  <c r="Z44" i="39"/>
  <c r="X44" i="39"/>
  <c r="N44" i="39"/>
  <c r="L44" i="39"/>
  <c r="J44" i="39"/>
  <c r="B44" i="39"/>
  <c r="Z43" i="39"/>
  <c r="X43" i="39"/>
  <c r="V43" i="39"/>
  <c r="N43" i="39"/>
  <c r="L43" i="39"/>
  <c r="J43" i="39"/>
  <c r="B43" i="39"/>
  <c r="Z42" i="39"/>
  <c r="X42" i="39"/>
  <c r="V42" i="39"/>
  <c r="N42" i="39"/>
  <c r="L42" i="39"/>
  <c r="F42" i="39"/>
  <c r="B42" i="39"/>
  <c r="Z41" i="39"/>
  <c r="X41" i="39"/>
  <c r="V41" i="39"/>
  <c r="L41" i="39"/>
  <c r="N41" i="39" s="1"/>
  <c r="B41" i="39"/>
  <c r="Z40" i="39"/>
  <c r="X40" i="39"/>
  <c r="N40" i="39"/>
  <c r="L40" i="39"/>
  <c r="J40" i="39"/>
  <c r="B40" i="39"/>
  <c r="Z39" i="39"/>
  <c r="X39" i="39"/>
  <c r="V39" i="39"/>
  <c r="N39" i="39"/>
  <c r="L39" i="39"/>
  <c r="J39" i="39"/>
  <c r="B39" i="39"/>
  <c r="Z38" i="39"/>
  <c r="X38" i="39"/>
  <c r="V38" i="39"/>
  <c r="L38" i="39"/>
  <c r="N38" i="39" s="1"/>
  <c r="F38" i="39"/>
  <c r="B38" i="39"/>
  <c r="Z37" i="39"/>
  <c r="X37" i="39"/>
  <c r="V37" i="39"/>
  <c r="N37" i="39"/>
  <c r="L37" i="39"/>
  <c r="B37" i="39"/>
  <c r="X36" i="39"/>
  <c r="Z36" i="39" s="1"/>
  <c r="L36" i="39"/>
  <c r="N36" i="39" s="1"/>
  <c r="J36" i="39"/>
  <c r="B36" i="39"/>
  <c r="Z35" i="39"/>
  <c r="X35" i="39"/>
  <c r="V35" i="39"/>
  <c r="N35" i="39"/>
  <c r="L35" i="39"/>
  <c r="J35" i="39"/>
  <c r="B35" i="39"/>
  <c r="V34" i="39"/>
  <c r="T34" i="39"/>
  <c r="P34" i="39"/>
  <c r="X34" i="39" s="1"/>
  <c r="Z34" i="39" s="1"/>
  <c r="H34" i="39"/>
  <c r="D34" i="39"/>
  <c r="L34" i="39" s="1"/>
  <c r="B34" i="39"/>
  <c r="X33" i="39"/>
  <c r="Z33" i="39" s="1"/>
  <c r="N33" i="39"/>
  <c r="L33" i="39"/>
  <c r="J33" i="39"/>
  <c r="B33" i="39"/>
  <c r="X32" i="39"/>
  <c r="Z32" i="39" s="1"/>
  <c r="V32" i="39"/>
  <c r="N32" i="39"/>
  <c r="L32" i="39"/>
  <c r="B32" i="39"/>
  <c r="Z31" i="39"/>
  <c r="X31" i="39"/>
  <c r="V31" i="39"/>
  <c r="N31" i="39"/>
  <c r="L31" i="39"/>
  <c r="B31" i="39"/>
  <c r="Z30" i="39"/>
  <c r="X30" i="39"/>
  <c r="N30" i="39"/>
  <c r="L30" i="39"/>
  <c r="F30" i="39"/>
  <c r="B30" i="39"/>
  <c r="X29" i="39"/>
  <c r="Z29" i="39" s="1"/>
  <c r="N29" i="39"/>
  <c r="L29" i="39"/>
  <c r="J29" i="39"/>
  <c r="B29" i="39"/>
  <c r="X28" i="39"/>
  <c r="Z28" i="39" s="1"/>
  <c r="V28" i="39"/>
  <c r="N28" i="39"/>
  <c r="L28" i="39"/>
  <c r="F28" i="39"/>
  <c r="B28" i="39"/>
  <c r="Z27" i="39"/>
  <c r="X27" i="39"/>
  <c r="V27" i="39"/>
  <c r="N27" i="39"/>
  <c r="L27" i="39"/>
  <c r="B27" i="39"/>
  <c r="X26" i="39"/>
  <c r="Z26" i="39" s="1"/>
  <c r="L26" i="39"/>
  <c r="N26" i="39" s="1"/>
  <c r="F26" i="39"/>
  <c r="B26" i="39"/>
  <c r="X25" i="39"/>
  <c r="Z25" i="39" s="1"/>
  <c r="N25" i="39"/>
  <c r="L25" i="39"/>
  <c r="J25" i="39"/>
  <c r="B25" i="39"/>
  <c r="X24" i="39"/>
  <c r="Z24" i="39" s="1"/>
  <c r="V24" i="39"/>
  <c r="T24" i="39"/>
  <c r="P24" i="39"/>
  <c r="H24" i="39"/>
  <c r="D24" i="39"/>
  <c r="B24" i="39"/>
  <c r="T23" i="39"/>
  <c r="X23" i="39" s="1"/>
  <c r="P23" i="39"/>
  <c r="N23" i="39"/>
  <c r="J23" i="39"/>
  <c r="H23" i="39"/>
  <c r="D23" i="39"/>
  <c r="L23" i="39" s="1"/>
  <c r="T21" i="39"/>
  <c r="Z19" i="39"/>
  <c r="X19" i="39"/>
  <c r="N19" i="39"/>
  <c r="L19" i="39"/>
  <c r="J19" i="39"/>
  <c r="B19" i="39"/>
  <c r="X18" i="39"/>
  <c r="Z18" i="39" s="1"/>
  <c r="N18" i="39"/>
  <c r="L18" i="39"/>
  <c r="J18" i="39"/>
  <c r="B18" i="39"/>
  <c r="V17" i="39"/>
  <c r="T17" i="39"/>
  <c r="P17" i="39"/>
  <c r="X17" i="39" s="1"/>
  <c r="Z17" i="39" s="1"/>
  <c r="N17" i="39"/>
  <c r="L17" i="39"/>
  <c r="H17" i="39"/>
  <c r="D17" i="39"/>
  <c r="P15" i="39"/>
  <c r="X15" i="39" s="1"/>
  <c r="Z15" i="39" s="1"/>
  <c r="L15" i="39"/>
  <c r="N15" i="39" s="1"/>
  <c r="D15" i="39"/>
  <c r="B15" i="39"/>
  <c r="Z14" i="39"/>
  <c r="P14" i="39"/>
  <c r="X14" i="39" s="1"/>
  <c r="N14" i="39"/>
  <c r="D14" i="39"/>
  <c r="L14" i="39" s="1"/>
  <c r="B14" i="39"/>
  <c r="P13" i="39"/>
  <c r="X13" i="39" s="1"/>
  <c r="Z13" i="39" s="1"/>
  <c r="L13" i="39"/>
  <c r="N13" i="39" s="1"/>
  <c r="D13" i="39"/>
  <c r="D12" i="39" s="1"/>
  <c r="F107" i="39" s="1"/>
  <c r="B13" i="39"/>
  <c r="T12" i="39"/>
  <c r="V100" i="39" s="1"/>
  <c r="H12" i="39"/>
  <c r="J98" i="39" s="1"/>
  <c r="D4" i="39"/>
  <c r="X119" i="36"/>
  <c r="Z119" i="36" s="1"/>
  <c r="N119" i="36"/>
  <c r="L119" i="36"/>
  <c r="Z115" i="36"/>
  <c r="X115" i="36"/>
  <c r="P115" i="36"/>
  <c r="N115" i="36"/>
  <c r="L115" i="36"/>
  <c r="D115" i="36"/>
  <c r="B115" i="36"/>
  <c r="Z114" i="36"/>
  <c r="X114" i="36"/>
  <c r="P114" i="36"/>
  <c r="N114" i="36"/>
  <c r="D114" i="36"/>
  <c r="D112" i="36" s="1"/>
  <c r="L112" i="36" s="1"/>
  <c r="B114" i="36"/>
  <c r="Z113" i="36"/>
  <c r="P113" i="36"/>
  <c r="X113" i="36" s="1"/>
  <c r="N113" i="36"/>
  <c r="D113" i="36"/>
  <c r="L113" i="36" s="1"/>
  <c r="B113" i="36"/>
  <c r="T112" i="36"/>
  <c r="Z112" i="36" s="1"/>
  <c r="P112" i="36"/>
  <c r="X112" i="36" s="1"/>
  <c r="N112" i="36"/>
  <c r="H112" i="36"/>
  <c r="X110" i="36"/>
  <c r="Z110" i="36" s="1"/>
  <c r="L110" i="36"/>
  <c r="N110" i="36" s="1"/>
  <c r="B110" i="36"/>
  <c r="T109" i="36"/>
  <c r="R109" i="36"/>
  <c r="P109" i="36"/>
  <c r="X109" i="36" s="1"/>
  <c r="Z109" i="36" s="1"/>
  <c r="H109" i="36"/>
  <c r="D109" i="36"/>
  <c r="L109" i="36" s="1"/>
  <c r="N109" i="36" s="1"/>
  <c r="B109" i="36"/>
  <c r="Z108" i="36"/>
  <c r="X108" i="36"/>
  <c r="N108" i="36"/>
  <c r="L108" i="36"/>
  <c r="B108" i="36"/>
  <c r="X107" i="36"/>
  <c r="Z107" i="36" s="1"/>
  <c r="N107" i="36"/>
  <c r="L107" i="36"/>
  <c r="B107" i="36"/>
  <c r="X106" i="36"/>
  <c r="Z106" i="36" s="1"/>
  <c r="T106" i="36"/>
  <c r="P106" i="36"/>
  <c r="H106" i="36"/>
  <c r="D106" i="36"/>
  <c r="B106" i="36"/>
  <c r="X105" i="36"/>
  <c r="Z105" i="36" s="1"/>
  <c r="L105" i="36"/>
  <c r="N105" i="36" s="1"/>
  <c r="B105" i="36"/>
  <c r="X104" i="36"/>
  <c r="T104" i="36"/>
  <c r="R104" i="36"/>
  <c r="P104" i="36"/>
  <c r="H104" i="36"/>
  <c r="D104" i="36"/>
  <c r="B104" i="36"/>
  <c r="Z103" i="36"/>
  <c r="X103" i="36"/>
  <c r="L103" i="36"/>
  <c r="N103" i="36" s="1"/>
  <c r="B103" i="36"/>
  <c r="X102" i="36"/>
  <c r="Z102" i="36" s="1"/>
  <c r="R102" i="36"/>
  <c r="L102" i="36"/>
  <c r="N102" i="36" s="1"/>
  <c r="B102" i="36"/>
  <c r="T101" i="36"/>
  <c r="P101" i="36"/>
  <c r="X101" i="36" s="1"/>
  <c r="Z101" i="36" s="1"/>
  <c r="H101" i="36"/>
  <c r="D101" i="36"/>
  <c r="L101" i="36" s="1"/>
  <c r="N101" i="36" s="1"/>
  <c r="B101" i="36"/>
  <c r="X100" i="36"/>
  <c r="Z100" i="36" s="1"/>
  <c r="L100" i="36"/>
  <c r="N100" i="36" s="1"/>
  <c r="B100" i="36"/>
  <c r="Z99" i="36"/>
  <c r="X99" i="36"/>
  <c r="N99" i="36"/>
  <c r="L99" i="36"/>
  <c r="B99" i="36"/>
  <c r="Z98" i="36"/>
  <c r="X98" i="36"/>
  <c r="N98" i="36"/>
  <c r="L98" i="36"/>
  <c r="B98" i="36"/>
  <c r="Z97" i="36"/>
  <c r="X97" i="36"/>
  <c r="L97" i="36"/>
  <c r="N97" i="36" s="1"/>
  <c r="B97" i="36"/>
  <c r="X96" i="36"/>
  <c r="Z96" i="36" s="1"/>
  <c r="L96" i="36"/>
  <c r="N96" i="36" s="1"/>
  <c r="B96" i="36"/>
  <c r="X95" i="36"/>
  <c r="Z95" i="36" s="1"/>
  <c r="N95" i="36"/>
  <c r="L95" i="36"/>
  <c r="B95" i="36"/>
  <c r="X94" i="36"/>
  <c r="Z94" i="36" s="1"/>
  <c r="N94" i="36"/>
  <c r="L94" i="36"/>
  <c r="B94" i="36"/>
  <c r="Z93" i="36"/>
  <c r="X93" i="36"/>
  <c r="L93" i="36"/>
  <c r="N93" i="36" s="1"/>
  <c r="B93" i="36"/>
  <c r="X92" i="36"/>
  <c r="Z92" i="36" s="1"/>
  <c r="L92" i="36"/>
  <c r="N92" i="36" s="1"/>
  <c r="B92" i="36"/>
  <c r="X91" i="36"/>
  <c r="Z91" i="36" s="1"/>
  <c r="N91" i="36"/>
  <c r="L91" i="36"/>
  <c r="B91" i="36"/>
  <c r="X90" i="36"/>
  <c r="Z90" i="36" s="1"/>
  <c r="V90" i="36"/>
  <c r="N90" i="36"/>
  <c r="L90" i="36"/>
  <c r="B90" i="36"/>
  <c r="Z89" i="36"/>
  <c r="T89" i="36"/>
  <c r="P89" i="36"/>
  <c r="X89" i="36" s="1"/>
  <c r="L89" i="36"/>
  <c r="H89" i="36"/>
  <c r="N89" i="36" s="1"/>
  <c r="D89" i="36"/>
  <c r="B89" i="36"/>
  <c r="X88" i="36"/>
  <c r="Z88" i="36" s="1"/>
  <c r="N88" i="36"/>
  <c r="L88" i="36"/>
  <c r="J88" i="36"/>
  <c r="B88" i="36"/>
  <c r="T87" i="36"/>
  <c r="P87" i="36"/>
  <c r="X87" i="36" s="1"/>
  <c r="Z87" i="36" s="1"/>
  <c r="H87" i="36"/>
  <c r="L87" i="36" s="1"/>
  <c r="N87" i="36" s="1"/>
  <c r="D87" i="36"/>
  <c r="B87" i="36"/>
  <c r="X86" i="36"/>
  <c r="Z86" i="36" s="1"/>
  <c r="L86" i="36"/>
  <c r="N86" i="36" s="1"/>
  <c r="B86" i="36"/>
  <c r="Z85" i="36"/>
  <c r="X85" i="36"/>
  <c r="N85" i="36"/>
  <c r="L85" i="36"/>
  <c r="B85" i="36"/>
  <c r="Z84" i="36"/>
  <c r="X84" i="36"/>
  <c r="L84" i="36"/>
  <c r="N84" i="36" s="1"/>
  <c r="B84" i="36"/>
  <c r="Z83" i="36"/>
  <c r="X83" i="36"/>
  <c r="L83" i="36"/>
  <c r="N83" i="36" s="1"/>
  <c r="B83" i="36"/>
  <c r="X82" i="36"/>
  <c r="Z82" i="36" s="1"/>
  <c r="L82" i="36"/>
  <c r="N82" i="36" s="1"/>
  <c r="B82" i="36"/>
  <c r="V81" i="36"/>
  <c r="T81" i="36"/>
  <c r="P81" i="36"/>
  <c r="X81" i="36" s="1"/>
  <c r="Z81" i="36" s="1"/>
  <c r="H81" i="36"/>
  <c r="N81" i="36" s="1"/>
  <c r="D81" i="36"/>
  <c r="L81" i="36" s="1"/>
  <c r="B81" i="36"/>
  <c r="Z80" i="36"/>
  <c r="X80" i="36"/>
  <c r="N80" i="36"/>
  <c r="L80" i="36"/>
  <c r="B80" i="36"/>
  <c r="Z79" i="36"/>
  <c r="X79" i="36"/>
  <c r="N79" i="36"/>
  <c r="L79" i="36"/>
  <c r="B79" i="36"/>
  <c r="Z78" i="36"/>
  <c r="X78" i="36"/>
  <c r="V78" i="36"/>
  <c r="T78" i="36"/>
  <c r="P78" i="36"/>
  <c r="H78" i="36"/>
  <c r="N78" i="36" s="1"/>
  <c r="D78" i="36"/>
  <c r="L78" i="36" s="1"/>
  <c r="B78" i="36"/>
  <c r="Z77" i="36"/>
  <c r="X77" i="36"/>
  <c r="N77" i="36"/>
  <c r="L77" i="36"/>
  <c r="B77" i="36"/>
  <c r="X76" i="36"/>
  <c r="Z76" i="36" s="1"/>
  <c r="N76" i="36"/>
  <c r="L76" i="36"/>
  <c r="J76" i="36"/>
  <c r="B76" i="36"/>
  <c r="Z75" i="36"/>
  <c r="X75" i="36"/>
  <c r="V75" i="36"/>
  <c r="N75" i="36"/>
  <c r="L75" i="36"/>
  <c r="B75" i="36"/>
  <c r="T74" i="36"/>
  <c r="P74" i="36"/>
  <c r="X74" i="36" s="1"/>
  <c r="Z74" i="36" s="1"/>
  <c r="N74" i="36"/>
  <c r="L74" i="36"/>
  <c r="H74" i="36"/>
  <c r="D74" i="36"/>
  <c r="B74" i="36"/>
  <c r="Z73" i="36"/>
  <c r="X73" i="36"/>
  <c r="N73" i="36"/>
  <c r="L73" i="36"/>
  <c r="J73" i="36"/>
  <c r="B73" i="36"/>
  <c r="T72" i="36"/>
  <c r="P72" i="36"/>
  <c r="X72" i="36" s="1"/>
  <c r="Z72" i="36" s="1"/>
  <c r="H72" i="36"/>
  <c r="D72" i="36"/>
  <c r="L72" i="36" s="1"/>
  <c r="B72" i="36"/>
  <c r="Z71" i="36"/>
  <c r="X71" i="36"/>
  <c r="N71" i="36"/>
  <c r="L71" i="36"/>
  <c r="B71" i="36"/>
  <c r="Z70" i="36"/>
  <c r="X70" i="36"/>
  <c r="T70" i="36"/>
  <c r="P70" i="36"/>
  <c r="L70" i="36"/>
  <c r="H70" i="36"/>
  <c r="N70" i="36" s="1"/>
  <c r="D70" i="36"/>
  <c r="B70" i="36"/>
  <c r="Z69" i="36"/>
  <c r="X69" i="36"/>
  <c r="N69" i="36"/>
  <c r="L69" i="36"/>
  <c r="J69" i="36"/>
  <c r="B69" i="36"/>
  <c r="Z68" i="36"/>
  <c r="X68" i="36"/>
  <c r="T68" i="36"/>
  <c r="P68" i="36"/>
  <c r="N68" i="36"/>
  <c r="H68" i="36"/>
  <c r="D68" i="36"/>
  <c r="L68" i="36" s="1"/>
  <c r="B68" i="36"/>
  <c r="Z67" i="36"/>
  <c r="X67" i="36"/>
  <c r="L67" i="36"/>
  <c r="N67" i="36" s="1"/>
  <c r="B67" i="36"/>
  <c r="T66" i="36"/>
  <c r="P66" i="36"/>
  <c r="H66" i="36"/>
  <c r="D66" i="36"/>
  <c r="L66" i="36" s="1"/>
  <c r="N66" i="36" s="1"/>
  <c r="B66" i="36"/>
  <c r="Z65" i="36"/>
  <c r="X65" i="36"/>
  <c r="L65" i="36"/>
  <c r="N65" i="36" s="1"/>
  <c r="B65" i="36"/>
  <c r="T64" i="36"/>
  <c r="P64" i="36"/>
  <c r="X64" i="36" s="1"/>
  <c r="L64" i="36"/>
  <c r="N64" i="36" s="1"/>
  <c r="J64" i="36"/>
  <c r="H64" i="36"/>
  <c r="D64" i="36"/>
  <c r="B64" i="36"/>
  <c r="Z63" i="36"/>
  <c r="X63" i="36"/>
  <c r="L63" i="36"/>
  <c r="N63" i="36" s="1"/>
  <c r="J63" i="36"/>
  <c r="B63" i="36"/>
  <c r="T62" i="36"/>
  <c r="P62" i="36"/>
  <c r="L62" i="36"/>
  <c r="H62" i="36"/>
  <c r="N62" i="36" s="1"/>
  <c r="D62" i="36"/>
  <c r="B62" i="36"/>
  <c r="Z61" i="36"/>
  <c r="X61" i="36"/>
  <c r="N61" i="36"/>
  <c r="L61" i="36"/>
  <c r="B61" i="36"/>
  <c r="T60" i="36"/>
  <c r="Z60" i="36" s="1"/>
  <c r="P60" i="36"/>
  <c r="X60" i="36" s="1"/>
  <c r="H60" i="36"/>
  <c r="D60" i="36"/>
  <c r="L60" i="36" s="1"/>
  <c r="B60" i="36"/>
  <c r="X59" i="36"/>
  <c r="Z59" i="36" s="1"/>
  <c r="N59" i="36"/>
  <c r="L59" i="36"/>
  <c r="J59" i="36"/>
  <c r="B59" i="36"/>
  <c r="X58" i="36"/>
  <c r="Z58" i="36" s="1"/>
  <c r="V58" i="36"/>
  <c r="N58" i="36"/>
  <c r="L58" i="36"/>
  <c r="B58" i="36"/>
  <c r="Z57" i="36"/>
  <c r="X57" i="36"/>
  <c r="N57" i="36"/>
  <c r="L57" i="36"/>
  <c r="B57" i="36"/>
  <c r="T56" i="36"/>
  <c r="P56" i="36"/>
  <c r="L56" i="36"/>
  <c r="J56" i="36"/>
  <c r="H56" i="36"/>
  <c r="D56" i="36"/>
  <c r="B56" i="36"/>
  <c r="Z55" i="36"/>
  <c r="X55" i="36"/>
  <c r="N55" i="36"/>
  <c r="L55" i="36"/>
  <c r="J55" i="36"/>
  <c r="B55" i="36"/>
  <c r="T54" i="36"/>
  <c r="Z54" i="36" s="1"/>
  <c r="P54" i="36"/>
  <c r="X54" i="36" s="1"/>
  <c r="H54" i="36"/>
  <c r="D54" i="36"/>
  <c r="L54" i="36" s="1"/>
  <c r="B54" i="36"/>
  <c r="X53" i="36"/>
  <c r="Z53" i="36" s="1"/>
  <c r="N53" i="36"/>
  <c r="L53" i="36"/>
  <c r="B53" i="36"/>
  <c r="T52" i="36"/>
  <c r="P52" i="36"/>
  <c r="X52" i="36" s="1"/>
  <c r="Z52" i="36" s="1"/>
  <c r="H52" i="36"/>
  <c r="D52" i="36"/>
  <c r="L52" i="36" s="1"/>
  <c r="N52" i="36" s="1"/>
  <c r="B52" i="36"/>
  <c r="X51" i="36"/>
  <c r="Z51" i="36" s="1"/>
  <c r="N51" i="36"/>
  <c r="L51" i="36"/>
  <c r="J51" i="36"/>
  <c r="B51" i="36"/>
  <c r="X50" i="36"/>
  <c r="V50" i="36"/>
  <c r="T50" i="36"/>
  <c r="P50" i="36"/>
  <c r="H50" i="36"/>
  <c r="D50" i="36"/>
  <c r="B50" i="36"/>
  <c r="Z49" i="36"/>
  <c r="X49" i="36"/>
  <c r="N49" i="36"/>
  <c r="L49" i="36"/>
  <c r="J49" i="36"/>
  <c r="B49" i="36"/>
  <c r="Z48" i="36"/>
  <c r="X48" i="36"/>
  <c r="R48" i="36"/>
  <c r="N48" i="36"/>
  <c r="L48" i="36"/>
  <c r="B48" i="36"/>
  <c r="Z47" i="36"/>
  <c r="X47" i="36"/>
  <c r="N47" i="36"/>
  <c r="L47" i="36"/>
  <c r="J47" i="36"/>
  <c r="B47" i="36"/>
  <c r="Z46" i="36"/>
  <c r="X46" i="36"/>
  <c r="L46" i="36"/>
  <c r="N46" i="36" s="1"/>
  <c r="B46" i="36"/>
  <c r="Z45" i="36"/>
  <c r="X45" i="36"/>
  <c r="N45" i="36"/>
  <c r="L45" i="36"/>
  <c r="J45" i="36"/>
  <c r="B45" i="36"/>
  <c r="Z44" i="36"/>
  <c r="X44" i="36"/>
  <c r="N44" i="36"/>
  <c r="L44" i="36"/>
  <c r="B44" i="36"/>
  <c r="Z43" i="36"/>
  <c r="X43" i="36"/>
  <c r="N43" i="36"/>
  <c r="L43" i="36"/>
  <c r="J43" i="36"/>
  <c r="B43" i="36"/>
  <c r="Z42" i="36"/>
  <c r="X42" i="36"/>
  <c r="N42" i="36"/>
  <c r="L42" i="36"/>
  <c r="B42" i="36"/>
  <c r="X41" i="36"/>
  <c r="Z41" i="36" s="1"/>
  <c r="L41" i="36"/>
  <c r="N41" i="36" s="1"/>
  <c r="J41" i="36"/>
  <c r="B41" i="36"/>
  <c r="Z40" i="36"/>
  <c r="X40" i="36"/>
  <c r="R40" i="36"/>
  <c r="N40" i="36"/>
  <c r="L40" i="36"/>
  <c r="B40" i="36"/>
  <c r="Z39" i="36"/>
  <c r="X39" i="36"/>
  <c r="T39" i="36"/>
  <c r="P39" i="36"/>
  <c r="N39" i="36"/>
  <c r="L39" i="36"/>
  <c r="H39" i="36"/>
  <c r="D39" i="36"/>
  <c r="B39" i="36"/>
  <c r="X38" i="36"/>
  <c r="Z38" i="36" s="1"/>
  <c r="L38" i="36"/>
  <c r="N38" i="36" s="1"/>
  <c r="J38" i="36"/>
  <c r="B38" i="36"/>
  <c r="X37" i="36"/>
  <c r="Z37" i="36" s="1"/>
  <c r="N37" i="36"/>
  <c r="L37" i="36"/>
  <c r="B37" i="36"/>
  <c r="Z36" i="36"/>
  <c r="X36" i="36"/>
  <c r="L36" i="36"/>
  <c r="N36" i="36" s="1"/>
  <c r="J36" i="36"/>
  <c r="B36" i="36"/>
  <c r="Z35" i="36"/>
  <c r="X35" i="36"/>
  <c r="V35" i="36"/>
  <c r="N35" i="36"/>
  <c r="L35" i="36"/>
  <c r="B35" i="36"/>
  <c r="Z34" i="36"/>
  <c r="X34" i="36"/>
  <c r="N34" i="36"/>
  <c r="L34" i="36"/>
  <c r="J34" i="36"/>
  <c r="B34" i="36"/>
  <c r="X33" i="36"/>
  <c r="Z33" i="36" s="1"/>
  <c r="N33" i="36"/>
  <c r="L33" i="36"/>
  <c r="B33" i="36"/>
  <c r="Z32" i="36"/>
  <c r="X32" i="36"/>
  <c r="L32" i="36"/>
  <c r="N32" i="36" s="1"/>
  <c r="J32" i="36"/>
  <c r="B32" i="36"/>
  <c r="Z31" i="36"/>
  <c r="X31" i="36"/>
  <c r="V31" i="36"/>
  <c r="L31" i="36"/>
  <c r="N31" i="36" s="1"/>
  <c r="B31" i="36"/>
  <c r="X30" i="36"/>
  <c r="Z30" i="36" s="1"/>
  <c r="L30" i="36"/>
  <c r="N30" i="36" s="1"/>
  <c r="J30" i="36"/>
  <c r="B30" i="36"/>
  <c r="X29" i="36"/>
  <c r="Z29" i="36" s="1"/>
  <c r="N29" i="36"/>
  <c r="L29" i="36"/>
  <c r="B29" i="36"/>
  <c r="Z28" i="36"/>
  <c r="T28" i="36"/>
  <c r="P28" i="36"/>
  <c r="X28" i="36" s="1"/>
  <c r="H28" i="36"/>
  <c r="D28" i="36"/>
  <c r="L28" i="36" s="1"/>
  <c r="N28" i="36" s="1"/>
  <c r="B28" i="36"/>
  <c r="T27" i="36"/>
  <c r="Z27" i="36" s="1"/>
  <c r="P27" i="36"/>
  <c r="X27" i="36" s="1"/>
  <c r="H27" i="36"/>
  <c r="D27" i="36"/>
  <c r="L27" i="36" s="1"/>
  <c r="N27" i="36" s="1"/>
  <c r="Z23" i="36"/>
  <c r="X23" i="36"/>
  <c r="N23" i="36"/>
  <c r="L23" i="36"/>
  <c r="J23" i="36"/>
  <c r="B23" i="36"/>
  <c r="Z22" i="36"/>
  <c r="X22" i="36"/>
  <c r="V22" i="36"/>
  <c r="N22" i="36"/>
  <c r="L22" i="36"/>
  <c r="B22" i="36"/>
  <c r="Z21" i="36"/>
  <c r="X21" i="36"/>
  <c r="L21" i="36"/>
  <c r="N21" i="36" s="1"/>
  <c r="B21" i="36"/>
  <c r="T20" i="36"/>
  <c r="P20" i="36"/>
  <c r="L20" i="36"/>
  <c r="J20" i="36"/>
  <c r="H20" i="36"/>
  <c r="N20" i="36" s="1"/>
  <c r="D20" i="36"/>
  <c r="Z18" i="36"/>
  <c r="X18" i="36"/>
  <c r="P18" i="36"/>
  <c r="N18" i="36"/>
  <c r="L18" i="36"/>
  <c r="D18" i="36"/>
  <c r="B18" i="36"/>
  <c r="Z17" i="36"/>
  <c r="X17" i="36"/>
  <c r="P17" i="36"/>
  <c r="N17" i="36"/>
  <c r="D17" i="36"/>
  <c r="L17" i="36" s="1"/>
  <c r="B17" i="36"/>
  <c r="X16" i="36"/>
  <c r="Z16" i="36" s="1"/>
  <c r="P16" i="36"/>
  <c r="D16" i="36"/>
  <c r="B16" i="36"/>
  <c r="Z15" i="36"/>
  <c r="X15" i="36"/>
  <c r="P15" i="36"/>
  <c r="N15" i="36"/>
  <c r="L15" i="36"/>
  <c r="D15" i="36"/>
  <c r="B15" i="36"/>
  <c r="Z14" i="36"/>
  <c r="P14" i="36"/>
  <c r="X14" i="36" s="1"/>
  <c r="N14" i="36"/>
  <c r="L14" i="36"/>
  <c r="D14" i="36"/>
  <c r="B14" i="36"/>
  <c r="P13" i="36"/>
  <c r="P12" i="36" s="1"/>
  <c r="R115" i="36" s="1"/>
  <c r="L13" i="36"/>
  <c r="N13" i="36" s="1"/>
  <c r="D13" i="36"/>
  <c r="B13" i="36"/>
  <c r="X12" i="36"/>
  <c r="T12" i="36"/>
  <c r="H12" i="36"/>
  <c r="J85" i="36" s="1"/>
  <c r="D4" i="36"/>
  <c r="Z74" i="33"/>
  <c r="X74" i="33"/>
  <c r="L74" i="33"/>
  <c r="N74" i="33" s="1"/>
  <c r="Z70" i="33"/>
  <c r="X70" i="33"/>
  <c r="P70" i="33"/>
  <c r="L70" i="33"/>
  <c r="N70" i="33" s="1"/>
  <c r="J70" i="33"/>
  <c r="D70" i="33"/>
  <c r="D69" i="33" s="1"/>
  <c r="B70" i="33"/>
  <c r="X69" i="33"/>
  <c r="T69" i="33"/>
  <c r="P69" i="33"/>
  <c r="L69" i="33"/>
  <c r="J69" i="33"/>
  <c r="H69" i="33"/>
  <c r="N69" i="33" s="1"/>
  <c r="X67" i="33"/>
  <c r="Z67" i="33" s="1"/>
  <c r="N67" i="33"/>
  <c r="L67" i="33"/>
  <c r="B67" i="33"/>
  <c r="T66" i="33"/>
  <c r="P66" i="33"/>
  <c r="X66" i="33" s="1"/>
  <c r="H66" i="33"/>
  <c r="D66" i="33"/>
  <c r="L66" i="33" s="1"/>
  <c r="N66" i="33" s="1"/>
  <c r="B66" i="33"/>
  <c r="Z65" i="33"/>
  <c r="X65" i="33"/>
  <c r="L65" i="33"/>
  <c r="N65" i="33" s="1"/>
  <c r="B65" i="33"/>
  <c r="X64" i="33"/>
  <c r="Z64" i="33" s="1"/>
  <c r="L64" i="33"/>
  <c r="N64" i="33" s="1"/>
  <c r="J64" i="33"/>
  <c r="B64" i="33"/>
  <c r="X63" i="33"/>
  <c r="Z63" i="33" s="1"/>
  <c r="N63" i="33"/>
  <c r="L63" i="33"/>
  <c r="B63" i="33"/>
  <c r="Z62" i="33"/>
  <c r="X62" i="33"/>
  <c r="N62" i="33"/>
  <c r="L62" i="33"/>
  <c r="J62" i="33"/>
  <c r="B62" i="33"/>
  <c r="T61" i="33"/>
  <c r="P61" i="33"/>
  <c r="X61" i="33" s="1"/>
  <c r="H61" i="33"/>
  <c r="D61" i="33"/>
  <c r="B61" i="33"/>
  <c r="X60" i="33"/>
  <c r="Z60" i="33" s="1"/>
  <c r="N60" i="33"/>
  <c r="L60" i="33"/>
  <c r="B60" i="33"/>
  <c r="T59" i="33"/>
  <c r="P59" i="33"/>
  <c r="X59" i="33" s="1"/>
  <c r="Z59" i="33" s="1"/>
  <c r="L59" i="33"/>
  <c r="N59" i="33" s="1"/>
  <c r="H59" i="33"/>
  <c r="D59" i="33"/>
  <c r="B59" i="33"/>
  <c r="X58" i="33"/>
  <c r="Z58" i="33" s="1"/>
  <c r="N58" i="33"/>
  <c r="L58" i="33"/>
  <c r="J58" i="33"/>
  <c r="B58" i="33"/>
  <c r="X57" i="33"/>
  <c r="T57" i="33"/>
  <c r="P57" i="33"/>
  <c r="L57" i="33"/>
  <c r="H57" i="33"/>
  <c r="D57" i="33"/>
  <c r="B57" i="33"/>
  <c r="Z56" i="33"/>
  <c r="X56" i="33"/>
  <c r="L56" i="33"/>
  <c r="N56" i="33" s="1"/>
  <c r="J56" i="33"/>
  <c r="B56" i="33"/>
  <c r="X55" i="33"/>
  <c r="Z55" i="33" s="1"/>
  <c r="N55" i="33"/>
  <c r="L55" i="33"/>
  <c r="B55" i="33"/>
  <c r="Z54" i="33"/>
  <c r="X54" i="33"/>
  <c r="T54" i="33"/>
  <c r="P54" i="33"/>
  <c r="L54" i="33"/>
  <c r="N54" i="33" s="1"/>
  <c r="H54" i="33"/>
  <c r="D54" i="33"/>
  <c r="B54" i="33"/>
  <c r="X53" i="33"/>
  <c r="Z53" i="33" s="1"/>
  <c r="L53" i="33"/>
  <c r="N53" i="33" s="1"/>
  <c r="J53" i="33"/>
  <c r="B53" i="33"/>
  <c r="T52" i="33"/>
  <c r="P52" i="33"/>
  <c r="J52" i="33"/>
  <c r="H52" i="33"/>
  <c r="D52" i="33"/>
  <c r="L52" i="33" s="1"/>
  <c r="B52" i="33"/>
  <c r="X51" i="33"/>
  <c r="Z51" i="33" s="1"/>
  <c r="L51" i="33"/>
  <c r="N51" i="33" s="1"/>
  <c r="B51" i="33"/>
  <c r="T50" i="33"/>
  <c r="P50" i="33"/>
  <c r="X50" i="33" s="1"/>
  <c r="N50" i="33"/>
  <c r="H50" i="33"/>
  <c r="D50" i="33"/>
  <c r="L50" i="33" s="1"/>
  <c r="B50" i="33"/>
  <c r="Z49" i="33"/>
  <c r="X49" i="33"/>
  <c r="L49" i="33"/>
  <c r="N49" i="33" s="1"/>
  <c r="B49" i="33"/>
  <c r="X48" i="33"/>
  <c r="Z48" i="33" s="1"/>
  <c r="T48" i="33"/>
  <c r="P48" i="33"/>
  <c r="N48" i="33"/>
  <c r="L48" i="33"/>
  <c r="J48" i="33"/>
  <c r="H48" i="33"/>
  <c r="D48" i="33"/>
  <c r="B48" i="33"/>
  <c r="Z47" i="33"/>
  <c r="X47" i="33"/>
  <c r="L47" i="33"/>
  <c r="N47" i="33" s="1"/>
  <c r="J47" i="33"/>
  <c r="B47" i="33"/>
  <c r="T46" i="33"/>
  <c r="P46" i="33"/>
  <c r="X46" i="33" s="1"/>
  <c r="J46" i="33"/>
  <c r="H46" i="33"/>
  <c r="D46" i="33"/>
  <c r="B46" i="33"/>
  <c r="Z45" i="33"/>
  <c r="X45" i="33"/>
  <c r="N45" i="33"/>
  <c r="L45" i="33"/>
  <c r="B45" i="33"/>
  <c r="Z44" i="33"/>
  <c r="X44" i="33"/>
  <c r="N44" i="33"/>
  <c r="L44" i="33"/>
  <c r="B44" i="33"/>
  <c r="Z43" i="33"/>
  <c r="X43" i="33"/>
  <c r="N43" i="33"/>
  <c r="L43" i="33"/>
  <c r="B43" i="33"/>
  <c r="Z42" i="33"/>
  <c r="X42" i="33"/>
  <c r="N42" i="33"/>
  <c r="L42" i="33"/>
  <c r="J42" i="33"/>
  <c r="B42" i="33"/>
  <c r="Z41" i="33"/>
  <c r="X41" i="33"/>
  <c r="N41" i="33"/>
  <c r="L41" i="33"/>
  <c r="B41" i="33"/>
  <c r="Z40" i="33"/>
  <c r="X40" i="33"/>
  <c r="N40" i="33"/>
  <c r="L40" i="33"/>
  <c r="B40" i="33"/>
  <c r="Z39" i="33"/>
  <c r="X39" i="33"/>
  <c r="N39" i="33"/>
  <c r="L39" i="33"/>
  <c r="B39" i="33"/>
  <c r="Z38" i="33"/>
  <c r="X38" i="33"/>
  <c r="N38" i="33"/>
  <c r="L38" i="33"/>
  <c r="J38" i="33"/>
  <c r="B38" i="33"/>
  <c r="X37" i="33"/>
  <c r="Z37" i="33" s="1"/>
  <c r="N37" i="33"/>
  <c r="L37" i="33"/>
  <c r="B37" i="33"/>
  <c r="Z36" i="33"/>
  <c r="X36" i="33"/>
  <c r="N36" i="33"/>
  <c r="L36" i="33"/>
  <c r="B36" i="33"/>
  <c r="T35" i="33"/>
  <c r="X35" i="33" s="1"/>
  <c r="P35" i="33"/>
  <c r="L35" i="33"/>
  <c r="J35" i="33"/>
  <c r="H35" i="33"/>
  <c r="N35" i="33" s="1"/>
  <c r="D35" i="33"/>
  <c r="B35" i="33"/>
  <c r="Z34" i="33"/>
  <c r="X34" i="33"/>
  <c r="N34" i="33"/>
  <c r="L34" i="33"/>
  <c r="J34" i="33"/>
  <c r="B34" i="33"/>
  <c r="Z33" i="33"/>
  <c r="X33" i="33"/>
  <c r="N33" i="33"/>
  <c r="L33" i="33"/>
  <c r="B33" i="33"/>
  <c r="Z32" i="33"/>
  <c r="X32" i="33"/>
  <c r="L32" i="33"/>
  <c r="N32" i="33" s="1"/>
  <c r="J32" i="33"/>
  <c r="B32" i="33"/>
  <c r="Z31" i="33"/>
  <c r="X31" i="33"/>
  <c r="N31" i="33"/>
  <c r="L31" i="33"/>
  <c r="J31" i="33"/>
  <c r="B31" i="33"/>
  <c r="X30" i="33"/>
  <c r="Z30" i="33" s="1"/>
  <c r="N30" i="33"/>
  <c r="L30" i="33"/>
  <c r="J30" i="33"/>
  <c r="B30" i="33"/>
  <c r="Z29" i="33"/>
  <c r="X29" i="33"/>
  <c r="N29" i="33"/>
  <c r="L29" i="33"/>
  <c r="B29" i="33"/>
  <c r="X28" i="33"/>
  <c r="Z28" i="33" s="1"/>
  <c r="L28" i="33"/>
  <c r="N28" i="33" s="1"/>
  <c r="J28" i="33"/>
  <c r="B28" i="33"/>
  <c r="X27" i="33"/>
  <c r="Z27" i="33" s="1"/>
  <c r="N27" i="33"/>
  <c r="L27" i="33"/>
  <c r="J27" i="33"/>
  <c r="B27" i="33"/>
  <c r="X26" i="33"/>
  <c r="Z26" i="33" s="1"/>
  <c r="N26" i="33"/>
  <c r="L26" i="33"/>
  <c r="J26" i="33"/>
  <c r="B26" i="33"/>
  <c r="T25" i="33"/>
  <c r="P25" i="33"/>
  <c r="H25" i="33"/>
  <c r="D25" i="33"/>
  <c r="B25" i="33"/>
  <c r="T24" i="33"/>
  <c r="P24" i="33"/>
  <c r="H24" i="33"/>
  <c r="D24" i="33"/>
  <c r="T20" i="33"/>
  <c r="Z20" i="33" s="1"/>
  <c r="P20" i="33"/>
  <c r="H20" i="33"/>
  <c r="D20" i="33"/>
  <c r="Z18" i="33"/>
  <c r="P18" i="33"/>
  <c r="X18" i="33" s="1"/>
  <c r="N18" i="33"/>
  <c r="L18" i="33"/>
  <c r="D18" i="33"/>
  <c r="B18" i="33"/>
  <c r="Z17" i="33"/>
  <c r="X17" i="33"/>
  <c r="P17" i="33"/>
  <c r="N17" i="33"/>
  <c r="L17" i="33"/>
  <c r="D17" i="33"/>
  <c r="B17" i="33"/>
  <c r="P16" i="33"/>
  <c r="X16" i="33" s="1"/>
  <c r="Z16" i="33" s="1"/>
  <c r="N16" i="33"/>
  <c r="L16" i="33"/>
  <c r="D16" i="33"/>
  <c r="B16" i="33"/>
  <c r="Z15" i="33"/>
  <c r="P15" i="33"/>
  <c r="X15" i="33" s="1"/>
  <c r="N15" i="33"/>
  <c r="D15" i="33"/>
  <c r="L15" i="33" s="1"/>
  <c r="B15" i="33"/>
  <c r="Z14" i="33"/>
  <c r="X14" i="33"/>
  <c r="P14" i="33"/>
  <c r="N14" i="33"/>
  <c r="D14" i="33"/>
  <c r="L14" i="33" s="1"/>
  <c r="B14" i="33"/>
  <c r="P13" i="33"/>
  <c r="X13" i="33" s="1"/>
  <c r="Z13" i="33" s="1"/>
  <c r="D13" i="33"/>
  <c r="B13" i="33"/>
  <c r="T12" i="33"/>
  <c r="H12" i="33"/>
  <c r="D4" i="33"/>
  <c r="Z152" i="30"/>
  <c r="X152" i="30"/>
  <c r="N152" i="30"/>
  <c r="L152" i="30"/>
  <c r="Z148" i="30"/>
  <c r="X148" i="30"/>
  <c r="P148" i="30"/>
  <c r="N148" i="30"/>
  <c r="D148" i="30"/>
  <c r="L148" i="30" s="1"/>
  <c r="B148" i="30"/>
  <c r="Z147" i="30"/>
  <c r="V147" i="30"/>
  <c r="P147" i="30"/>
  <c r="X147" i="30" s="1"/>
  <c r="N147" i="30"/>
  <c r="D147" i="30"/>
  <c r="L147" i="30" s="1"/>
  <c r="B147" i="30"/>
  <c r="Z146" i="30"/>
  <c r="P146" i="30"/>
  <c r="X146" i="30" s="1"/>
  <c r="D146" i="30"/>
  <c r="D145" i="30" s="1"/>
  <c r="L145" i="30" s="1"/>
  <c r="N145" i="30" s="1"/>
  <c r="B146" i="30"/>
  <c r="T145" i="30"/>
  <c r="H145" i="30"/>
  <c r="X143" i="30"/>
  <c r="Z143" i="30" s="1"/>
  <c r="N143" i="30"/>
  <c r="L143" i="30"/>
  <c r="J143" i="30"/>
  <c r="B143" i="30"/>
  <c r="X142" i="30"/>
  <c r="T142" i="30"/>
  <c r="Z142" i="30" s="1"/>
  <c r="P142" i="30"/>
  <c r="J142" i="30"/>
  <c r="H142" i="30"/>
  <c r="D142" i="30"/>
  <c r="B142" i="30"/>
  <c r="Z141" i="30"/>
  <c r="X141" i="30"/>
  <c r="N141" i="30"/>
  <c r="L141" i="30"/>
  <c r="B141" i="30"/>
  <c r="Z140" i="30"/>
  <c r="X140" i="30"/>
  <c r="N140" i="30"/>
  <c r="L140" i="30"/>
  <c r="B140" i="30"/>
  <c r="X139" i="30"/>
  <c r="Z139" i="30" s="1"/>
  <c r="T139" i="30"/>
  <c r="P139" i="30"/>
  <c r="J139" i="30"/>
  <c r="H139" i="30"/>
  <c r="L139" i="30" s="1"/>
  <c r="N139" i="30" s="1"/>
  <c r="D139" i="30"/>
  <c r="B139" i="30"/>
  <c r="Z138" i="30"/>
  <c r="X138" i="30"/>
  <c r="N138" i="30"/>
  <c r="L138" i="30"/>
  <c r="J138" i="30"/>
  <c r="B138" i="30"/>
  <c r="V137" i="30"/>
  <c r="T137" i="30"/>
  <c r="Z137" i="30" s="1"/>
  <c r="P137" i="30"/>
  <c r="H137" i="30"/>
  <c r="N137" i="30" s="1"/>
  <c r="D137" i="30"/>
  <c r="B137" i="30"/>
  <c r="X136" i="30"/>
  <c r="Z136" i="30" s="1"/>
  <c r="V136" i="30"/>
  <c r="N136" i="30"/>
  <c r="L136" i="30"/>
  <c r="B136" i="30"/>
  <c r="X135" i="30"/>
  <c r="Z135" i="30" s="1"/>
  <c r="N135" i="30"/>
  <c r="L135" i="30"/>
  <c r="J135" i="30"/>
  <c r="B135" i="30"/>
  <c r="X134" i="30"/>
  <c r="T134" i="30"/>
  <c r="P134" i="30"/>
  <c r="H134" i="30"/>
  <c r="D134" i="30"/>
  <c r="L134" i="30" s="1"/>
  <c r="N134" i="30" s="1"/>
  <c r="B134" i="30"/>
  <c r="Z133" i="30"/>
  <c r="X133" i="30"/>
  <c r="L133" i="30"/>
  <c r="N133" i="30" s="1"/>
  <c r="B133" i="30"/>
  <c r="X132" i="30"/>
  <c r="Z132" i="30" s="1"/>
  <c r="L132" i="30"/>
  <c r="N132" i="30" s="1"/>
  <c r="B132" i="30"/>
  <c r="Z131" i="30"/>
  <c r="X131" i="30"/>
  <c r="N131" i="30"/>
  <c r="L131" i="30"/>
  <c r="J131" i="30"/>
  <c r="B131" i="30"/>
  <c r="X130" i="30"/>
  <c r="Z130" i="30" s="1"/>
  <c r="N130" i="30"/>
  <c r="L130" i="30"/>
  <c r="J130" i="30"/>
  <c r="B130" i="30"/>
  <c r="Z129" i="30"/>
  <c r="X129" i="30"/>
  <c r="L129" i="30"/>
  <c r="N129" i="30" s="1"/>
  <c r="B129" i="30"/>
  <c r="Z128" i="30"/>
  <c r="X128" i="30"/>
  <c r="L128" i="30"/>
  <c r="N128" i="30" s="1"/>
  <c r="B128" i="30"/>
  <c r="Z127" i="30"/>
  <c r="X127" i="30"/>
  <c r="N127" i="30"/>
  <c r="L127" i="30"/>
  <c r="J127" i="30"/>
  <c r="B127" i="30"/>
  <c r="X126" i="30"/>
  <c r="Z126" i="30" s="1"/>
  <c r="N126" i="30"/>
  <c r="L126" i="30"/>
  <c r="J126" i="30"/>
  <c r="B126" i="30"/>
  <c r="Z125" i="30"/>
  <c r="T125" i="30"/>
  <c r="P125" i="30"/>
  <c r="X125" i="30" s="1"/>
  <c r="H125" i="30"/>
  <c r="D125" i="30"/>
  <c r="B125" i="30"/>
  <c r="Z124" i="30"/>
  <c r="X124" i="30"/>
  <c r="N124" i="30"/>
  <c r="L124" i="30"/>
  <c r="B124" i="30"/>
  <c r="Z123" i="30"/>
  <c r="X123" i="30"/>
  <c r="V123" i="30"/>
  <c r="N123" i="30"/>
  <c r="L123" i="30"/>
  <c r="B123" i="30"/>
  <c r="V122" i="30"/>
  <c r="T122" i="30"/>
  <c r="P122" i="30"/>
  <c r="X122" i="30" s="1"/>
  <c r="H122" i="30"/>
  <c r="N122" i="30" s="1"/>
  <c r="D122" i="30"/>
  <c r="L122" i="30" s="1"/>
  <c r="B122" i="30"/>
  <c r="X121" i="30"/>
  <c r="Z121" i="30" s="1"/>
  <c r="V121" i="30"/>
  <c r="N121" i="30"/>
  <c r="L121" i="30"/>
  <c r="B121" i="30"/>
  <c r="Z120" i="30"/>
  <c r="X120" i="30"/>
  <c r="L120" i="30"/>
  <c r="N120" i="30" s="1"/>
  <c r="B120" i="30"/>
  <c r="Z119" i="30"/>
  <c r="X119" i="30"/>
  <c r="N119" i="30"/>
  <c r="L119" i="30"/>
  <c r="B119" i="30"/>
  <c r="X118" i="30"/>
  <c r="T118" i="30"/>
  <c r="P118" i="30"/>
  <c r="H118" i="30"/>
  <c r="D118" i="30"/>
  <c r="L118" i="30" s="1"/>
  <c r="N118" i="30" s="1"/>
  <c r="B118" i="30"/>
  <c r="Z117" i="30"/>
  <c r="X117" i="30"/>
  <c r="L117" i="30"/>
  <c r="N117" i="30" s="1"/>
  <c r="B117" i="30"/>
  <c r="Z116" i="30"/>
  <c r="X116" i="30"/>
  <c r="L116" i="30"/>
  <c r="N116" i="30" s="1"/>
  <c r="B116" i="30"/>
  <c r="Z115" i="30"/>
  <c r="X115" i="30"/>
  <c r="N115" i="30"/>
  <c r="L115" i="30"/>
  <c r="J115" i="30"/>
  <c r="B115" i="30"/>
  <c r="T114" i="30"/>
  <c r="P114" i="30"/>
  <c r="H114" i="30"/>
  <c r="D114" i="30"/>
  <c r="B114" i="30"/>
  <c r="X113" i="30"/>
  <c r="Z113" i="30" s="1"/>
  <c r="L113" i="30"/>
  <c r="N113" i="30" s="1"/>
  <c r="J113" i="30"/>
  <c r="B113" i="30"/>
  <c r="T112" i="30"/>
  <c r="P112" i="30"/>
  <c r="X112" i="30" s="1"/>
  <c r="J112" i="30"/>
  <c r="H112" i="30"/>
  <c r="D112" i="30"/>
  <c r="B112" i="30"/>
  <c r="Z111" i="30"/>
  <c r="X111" i="30"/>
  <c r="N111" i="30"/>
  <c r="L111" i="30"/>
  <c r="B111" i="30"/>
  <c r="X110" i="30"/>
  <c r="T110" i="30"/>
  <c r="Z110" i="30" s="1"/>
  <c r="P110" i="30"/>
  <c r="H110" i="30"/>
  <c r="D110" i="30"/>
  <c r="L110" i="30" s="1"/>
  <c r="N110" i="30" s="1"/>
  <c r="B110" i="30"/>
  <c r="Z109" i="30"/>
  <c r="X109" i="30"/>
  <c r="L109" i="30"/>
  <c r="N109" i="30" s="1"/>
  <c r="B109" i="30"/>
  <c r="T108" i="30"/>
  <c r="P108" i="30"/>
  <c r="H108" i="30"/>
  <c r="D108" i="30"/>
  <c r="B108" i="30"/>
  <c r="Z107" i="30"/>
  <c r="X107" i="30"/>
  <c r="V107" i="30"/>
  <c r="N107" i="30"/>
  <c r="L107" i="30"/>
  <c r="B107" i="30"/>
  <c r="T106" i="30"/>
  <c r="P106" i="30"/>
  <c r="H106" i="30"/>
  <c r="N106" i="30" s="1"/>
  <c r="D106" i="30"/>
  <c r="L106" i="30" s="1"/>
  <c r="B106" i="30"/>
  <c r="X105" i="30"/>
  <c r="Z105" i="30" s="1"/>
  <c r="V105" i="30"/>
  <c r="N105" i="30"/>
  <c r="L105" i="30"/>
  <c r="B105" i="30"/>
  <c r="T104" i="30"/>
  <c r="P104" i="30"/>
  <c r="X104" i="30" s="1"/>
  <c r="Z104" i="30" s="1"/>
  <c r="L104" i="30"/>
  <c r="H104" i="30"/>
  <c r="D104" i="30"/>
  <c r="B104" i="30"/>
  <c r="Z103" i="30"/>
  <c r="X103" i="30"/>
  <c r="N103" i="30"/>
  <c r="L103" i="30"/>
  <c r="J103" i="30"/>
  <c r="B103" i="30"/>
  <c r="X102" i="30"/>
  <c r="Z102" i="30" s="1"/>
  <c r="L102" i="30"/>
  <c r="N102" i="30" s="1"/>
  <c r="J102" i="30"/>
  <c r="B102" i="30"/>
  <c r="Z101" i="30"/>
  <c r="T101" i="30"/>
  <c r="P101" i="30"/>
  <c r="X101" i="30" s="1"/>
  <c r="H101" i="30"/>
  <c r="D101" i="30"/>
  <c r="B101" i="30"/>
  <c r="X100" i="30"/>
  <c r="Z100" i="30" s="1"/>
  <c r="N100" i="30"/>
  <c r="L100" i="30"/>
  <c r="B100" i="30"/>
  <c r="Z99" i="30"/>
  <c r="X99" i="30"/>
  <c r="V99" i="30"/>
  <c r="N99" i="30"/>
  <c r="L99" i="30"/>
  <c r="B99" i="30"/>
  <c r="V98" i="30"/>
  <c r="T98" i="30"/>
  <c r="P98" i="30"/>
  <c r="X98" i="30" s="1"/>
  <c r="H98" i="30"/>
  <c r="N98" i="30" s="1"/>
  <c r="D98" i="30"/>
  <c r="L98" i="30" s="1"/>
  <c r="B98" i="30"/>
  <c r="X97" i="30"/>
  <c r="Z97" i="30" s="1"/>
  <c r="V97" i="30"/>
  <c r="N97" i="30"/>
  <c r="L97" i="30"/>
  <c r="B97" i="30"/>
  <c r="T96" i="30"/>
  <c r="P96" i="30"/>
  <c r="X96" i="30" s="1"/>
  <c r="Z96" i="30" s="1"/>
  <c r="L96" i="30"/>
  <c r="H96" i="30"/>
  <c r="D96" i="30"/>
  <c r="B96" i="30"/>
  <c r="Z95" i="30"/>
  <c r="X95" i="30"/>
  <c r="N95" i="30"/>
  <c r="L95" i="30"/>
  <c r="J95" i="30"/>
  <c r="B95" i="30"/>
  <c r="V94" i="30"/>
  <c r="T94" i="30"/>
  <c r="Z94" i="30" s="1"/>
  <c r="P94" i="30"/>
  <c r="H94" i="30"/>
  <c r="D94" i="30"/>
  <c r="B94" i="30"/>
  <c r="X93" i="30"/>
  <c r="Z93" i="30" s="1"/>
  <c r="L93" i="30"/>
  <c r="N93" i="30" s="1"/>
  <c r="J93" i="30"/>
  <c r="B93" i="30"/>
  <c r="T92" i="30"/>
  <c r="P92" i="30"/>
  <c r="X92" i="30" s="1"/>
  <c r="J92" i="30"/>
  <c r="H92" i="30"/>
  <c r="D92" i="30"/>
  <c r="B92" i="30"/>
  <c r="Z91" i="30"/>
  <c r="X91" i="30"/>
  <c r="N91" i="30"/>
  <c r="L91" i="30"/>
  <c r="B91" i="30"/>
  <c r="X90" i="30"/>
  <c r="T90" i="30"/>
  <c r="Z90" i="30" s="1"/>
  <c r="P90" i="30"/>
  <c r="H90" i="30"/>
  <c r="D90" i="30"/>
  <c r="L90" i="30" s="1"/>
  <c r="N90" i="30" s="1"/>
  <c r="B90" i="30"/>
  <c r="Z89" i="30"/>
  <c r="X89" i="30"/>
  <c r="L89" i="30"/>
  <c r="N89" i="30" s="1"/>
  <c r="B89" i="30"/>
  <c r="T88" i="30"/>
  <c r="P88" i="30"/>
  <c r="J88" i="30"/>
  <c r="H88" i="30"/>
  <c r="D88" i="30"/>
  <c r="B88" i="30"/>
  <c r="Z87" i="30"/>
  <c r="X87" i="30"/>
  <c r="V87" i="30"/>
  <c r="N87" i="30"/>
  <c r="L87" i="30"/>
  <c r="B87" i="30"/>
  <c r="V86" i="30"/>
  <c r="T86" i="30"/>
  <c r="P86" i="30"/>
  <c r="H86" i="30"/>
  <c r="D86" i="30"/>
  <c r="L86" i="30" s="1"/>
  <c r="B86" i="30"/>
  <c r="Z85" i="30"/>
  <c r="X85" i="30"/>
  <c r="V85" i="30"/>
  <c r="N85" i="30"/>
  <c r="L85" i="30"/>
  <c r="B85" i="30"/>
  <c r="Z84" i="30"/>
  <c r="X84" i="30"/>
  <c r="N84" i="30"/>
  <c r="L84" i="30"/>
  <c r="B84" i="30"/>
  <c r="Z83" i="30"/>
  <c r="X83" i="30"/>
  <c r="N83" i="30"/>
  <c r="L83" i="30"/>
  <c r="B83" i="30"/>
  <c r="X82" i="30"/>
  <c r="Z82" i="30" s="1"/>
  <c r="L82" i="30"/>
  <c r="N82" i="30" s="1"/>
  <c r="J82" i="30"/>
  <c r="B82" i="30"/>
  <c r="Z81" i="30"/>
  <c r="X81" i="30"/>
  <c r="V81" i="30"/>
  <c r="N81" i="30"/>
  <c r="L81" i="30"/>
  <c r="B81" i="30"/>
  <c r="Z80" i="30"/>
  <c r="X80" i="30"/>
  <c r="N80" i="30"/>
  <c r="L80" i="30"/>
  <c r="B80" i="30"/>
  <c r="Z79" i="30"/>
  <c r="X79" i="30"/>
  <c r="N79" i="30"/>
  <c r="L79" i="30"/>
  <c r="B79" i="30"/>
  <c r="Z78" i="30"/>
  <c r="X78" i="30"/>
  <c r="N78" i="30"/>
  <c r="L78" i="30"/>
  <c r="J78" i="30"/>
  <c r="B78" i="30"/>
  <c r="X77" i="30"/>
  <c r="Z77" i="30" s="1"/>
  <c r="V77" i="30"/>
  <c r="N77" i="30"/>
  <c r="L77" i="30"/>
  <c r="B77" i="30"/>
  <c r="Z76" i="30"/>
  <c r="X76" i="30"/>
  <c r="N76" i="30"/>
  <c r="L76" i="30"/>
  <c r="B76" i="30"/>
  <c r="T75" i="30"/>
  <c r="P75" i="30"/>
  <c r="X75" i="30" s="1"/>
  <c r="L75" i="30"/>
  <c r="N75" i="30" s="1"/>
  <c r="J75" i="30"/>
  <c r="H75" i="30"/>
  <c r="D75" i="30"/>
  <c r="B75" i="30"/>
  <c r="X74" i="30"/>
  <c r="Z74" i="30" s="1"/>
  <c r="V74" i="30"/>
  <c r="N74" i="30"/>
  <c r="L74" i="30"/>
  <c r="J74" i="30"/>
  <c r="B74" i="30"/>
  <c r="Z73" i="30"/>
  <c r="X73" i="30"/>
  <c r="L73" i="30"/>
  <c r="N73" i="30" s="1"/>
  <c r="J73" i="30"/>
  <c r="B73" i="30"/>
  <c r="X72" i="30"/>
  <c r="Z72" i="30" s="1"/>
  <c r="N72" i="30"/>
  <c r="L72" i="30"/>
  <c r="B72" i="30"/>
  <c r="Z71" i="30"/>
  <c r="X71" i="30"/>
  <c r="N71" i="30"/>
  <c r="L71" i="30"/>
  <c r="J71" i="30"/>
  <c r="B71" i="30"/>
  <c r="X70" i="30"/>
  <c r="Z70" i="30" s="1"/>
  <c r="V70" i="30"/>
  <c r="L70" i="30"/>
  <c r="N70" i="30" s="1"/>
  <c r="J70" i="30"/>
  <c r="B70" i="30"/>
  <c r="Z69" i="30"/>
  <c r="X69" i="30"/>
  <c r="L69" i="30"/>
  <c r="N69" i="30" s="1"/>
  <c r="J69" i="30"/>
  <c r="B69" i="30"/>
  <c r="X68" i="30"/>
  <c r="Z68" i="30" s="1"/>
  <c r="N68" i="30"/>
  <c r="L68" i="30"/>
  <c r="B68" i="30"/>
  <c r="Z67" i="30"/>
  <c r="X67" i="30"/>
  <c r="N67" i="30"/>
  <c r="L67" i="30"/>
  <c r="J67" i="30"/>
  <c r="B67" i="30"/>
  <c r="X66" i="30"/>
  <c r="Z66" i="30" s="1"/>
  <c r="V66" i="30"/>
  <c r="L66" i="30"/>
  <c r="N66" i="30" s="1"/>
  <c r="J66" i="30"/>
  <c r="B66" i="30"/>
  <c r="Z65" i="30"/>
  <c r="T65" i="30"/>
  <c r="P65" i="30"/>
  <c r="X65" i="30" s="1"/>
  <c r="H65" i="30"/>
  <c r="D65" i="30"/>
  <c r="B65" i="30"/>
  <c r="T64" i="30"/>
  <c r="Z64" i="30" s="1"/>
  <c r="P64" i="30"/>
  <c r="X64" i="30" s="1"/>
  <c r="H64" i="30"/>
  <c r="D64" i="30"/>
  <c r="J62" i="30"/>
  <c r="H62" i="30"/>
  <c r="Z60" i="30"/>
  <c r="X60" i="30"/>
  <c r="N60" i="30"/>
  <c r="L60" i="30"/>
  <c r="B60" i="30"/>
  <c r="Z59" i="30"/>
  <c r="X59" i="30"/>
  <c r="V59" i="30"/>
  <c r="N59" i="30"/>
  <c r="L59" i="30"/>
  <c r="B59" i="30"/>
  <c r="Z58" i="30"/>
  <c r="X58" i="30"/>
  <c r="V58" i="30"/>
  <c r="N58" i="30"/>
  <c r="L58" i="30"/>
  <c r="B58" i="30"/>
  <c r="Z57" i="30"/>
  <c r="X57" i="30"/>
  <c r="V57" i="30"/>
  <c r="N57" i="30"/>
  <c r="L57" i="30"/>
  <c r="J57" i="30"/>
  <c r="B57" i="30"/>
  <c r="Z56" i="30"/>
  <c r="X56" i="30"/>
  <c r="N56" i="30"/>
  <c r="L56" i="30"/>
  <c r="B56" i="30"/>
  <c r="Z55" i="30"/>
  <c r="X55" i="30"/>
  <c r="V55" i="30"/>
  <c r="N55" i="30"/>
  <c r="L55" i="30"/>
  <c r="B55" i="30"/>
  <c r="Z54" i="30"/>
  <c r="X54" i="30"/>
  <c r="V54" i="30"/>
  <c r="N54" i="30"/>
  <c r="L54" i="30"/>
  <c r="B54" i="30"/>
  <c r="Z53" i="30"/>
  <c r="X53" i="30"/>
  <c r="V53" i="30"/>
  <c r="N53" i="30"/>
  <c r="L53" i="30"/>
  <c r="J53" i="30"/>
  <c r="B53" i="30"/>
  <c r="Z52" i="30"/>
  <c r="X52" i="30"/>
  <c r="N52" i="30"/>
  <c r="L52" i="30"/>
  <c r="B52" i="30"/>
  <c r="Z51" i="30"/>
  <c r="X51" i="30"/>
  <c r="V51" i="30"/>
  <c r="N51" i="30"/>
  <c r="L51" i="30"/>
  <c r="B51" i="30"/>
  <c r="Z50" i="30"/>
  <c r="X50" i="30"/>
  <c r="V50" i="30"/>
  <c r="N50" i="30"/>
  <c r="L50" i="30"/>
  <c r="B50" i="30"/>
  <c r="Z49" i="30"/>
  <c r="X49" i="30"/>
  <c r="V49" i="30"/>
  <c r="N49" i="30"/>
  <c r="L49" i="30"/>
  <c r="J49" i="30"/>
  <c r="B49" i="30"/>
  <c r="Z48" i="30"/>
  <c r="X48" i="30"/>
  <c r="L48" i="30"/>
  <c r="N48" i="30" s="1"/>
  <c r="B48" i="30"/>
  <c r="Z47" i="30"/>
  <c r="V47" i="30"/>
  <c r="T47" i="30"/>
  <c r="P47" i="30"/>
  <c r="X47" i="30" s="1"/>
  <c r="J47" i="30"/>
  <c r="H47" i="30"/>
  <c r="D47" i="30"/>
  <c r="L47" i="30" s="1"/>
  <c r="N47" i="30" s="1"/>
  <c r="Z45" i="30"/>
  <c r="P45" i="30"/>
  <c r="X45" i="30" s="1"/>
  <c r="N45" i="30"/>
  <c r="D45" i="30"/>
  <c r="L45" i="30" s="1"/>
  <c r="B45" i="30"/>
  <c r="Z44" i="30"/>
  <c r="X44" i="30"/>
  <c r="P44" i="30"/>
  <c r="N44" i="30"/>
  <c r="L44" i="30"/>
  <c r="D44" i="30"/>
  <c r="B44" i="30"/>
  <c r="Z43" i="30"/>
  <c r="X43" i="30"/>
  <c r="P43" i="30"/>
  <c r="N43" i="30"/>
  <c r="D43" i="30"/>
  <c r="L43" i="30" s="1"/>
  <c r="B43" i="30"/>
  <c r="Z42" i="30"/>
  <c r="P42" i="30"/>
  <c r="X42" i="30" s="1"/>
  <c r="N42" i="30"/>
  <c r="D42" i="30"/>
  <c r="L42" i="30" s="1"/>
  <c r="B42" i="30"/>
  <c r="Z41" i="30"/>
  <c r="P41" i="30"/>
  <c r="X41" i="30" s="1"/>
  <c r="N41" i="30"/>
  <c r="L41" i="30"/>
  <c r="D41" i="30"/>
  <c r="B41" i="30"/>
  <c r="Z40" i="30"/>
  <c r="X40" i="30"/>
  <c r="P40" i="30"/>
  <c r="N40" i="30"/>
  <c r="L40" i="30"/>
  <c r="D40" i="30"/>
  <c r="B40" i="30"/>
  <c r="Z39" i="30"/>
  <c r="P39" i="30"/>
  <c r="X39" i="30" s="1"/>
  <c r="N39" i="30"/>
  <c r="D39" i="30"/>
  <c r="L39" i="30" s="1"/>
  <c r="B39" i="30"/>
  <c r="Z38" i="30"/>
  <c r="X38" i="30"/>
  <c r="P38" i="30"/>
  <c r="N38" i="30"/>
  <c r="D38" i="30"/>
  <c r="L38" i="30" s="1"/>
  <c r="B38" i="30"/>
  <c r="Z37" i="30"/>
  <c r="P37" i="30"/>
  <c r="X37" i="30" s="1"/>
  <c r="N37" i="30"/>
  <c r="L37" i="30"/>
  <c r="D37" i="30"/>
  <c r="B37" i="30"/>
  <c r="Z36" i="30"/>
  <c r="P36" i="30"/>
  <c r="X36" i="30" s="1"/>
  <c r="N36" i="30"/>
  <c r="D36" i="30"/>
  <c r="L36" i="30" s="1"/>
  <c r="B36" i="30"/>
  <c r="Z35" i="30"/>
  <c r="P35" i="30"/>
  <c r="X35" i="30" s="1"/>
  <c r="N35" i="30"/>
  <c r="L35" i="30"/>
  <c r="D35" i="30"/>
  <c r="B35" i="30"/>
  <c r="Z34" i="30"/>
  <c r="P34" i="30"/>
  <c r="X34" i="30" s="1"/>
  <c r="N34" i="30"/>
  <c r="D34" i="30"/>
  <c r="L34" i="30" s="1"/>
  <c r="B34" i="30"/>
  <c r="Z33" i="30"/>
  <c r="P33" i="30"/>
  <c r="X33" i="30" s="1"/>
  <c r="N33" i="30"/>
  <c r="L33" i="30"/>
  <c r="D33" i="30"/>
  <c r="B33" i="30"/>
  <c r="Z32" i="30"/>
  <c r="X32" i="30"/>
  <c r="P32" i="30"/>
  <c r="N32" i="30"/>
  <c r="D32" i="30"/>
  <c r="L32" i="30" s="1"/>
  <c r="B32" i="30"/>
  <c r="Z31" i="30"/>
  <c r="X31" i="30"/>
  <c r="P31" i="30"/>
  <c r="N31" i="30"/>
  <c r="D31" i="30"/>
  <c r="L31" i="30" s="1"/>
  <c r="B31" i="30"/>
  <c r="Z30" i="30"/>
  <c r="P30" i="30"/>
  <c r="X30" i="30" s="1"/>
  <c r="N30" i="30"/>
  <c r="D30" i="30"/>
  <c r="L30" i="30" s="1"/>
  <c r="B30" i="30"/>
  <c r="Z29" i="30"/>
  <c r="P29" i="30"/>
  <c r="X29" i="30" s="1"/>
  <c r="N29" i="30"/>
  <c r="L29" i="30"/>
  <c r="D29" i="30"/>
  <c r="B29" i="30"/>
  <c r="Z28" i="30"/>
  <c r="X28" i="30"/>
  <c r="P28" i="30"/>
  <c r="N28" i="30"/>
  <c r="L28" i="30"/>
  <c r="D28" i="30"/>
  <c r="B28" i="30"/>
  <c r="Z27" i="30"/>
  <c r="P27" i="30"/>
  <c r="X27" i="30" s="1"/>
  <c r="N27" i="30"/>
  <c r="D27" i="30"/>
  <c r="L27" i="30" s="1"/>
  <c r="B27" i="30"/>
  <c r="Z26" i="30"/>
  <c r="X26" i="30"/>
  <c r="P26" i="30"/>
  <c r="N26" i="30"/>
  <c r="D26" i="30"/>
  <c r="L26" i="30" s="1"/>
  <c r="B26" i="30"/>
  <c r="Z25" i="30"/>
  <c r="P25" i="30"/>
  <c r="X25" i="30" s="1"/>
  <c r="N25" i="30"/>
  <c r="L25" i="30"/>
  <c r="D25" i="30"/>
  <c r="B25" i="30"/>
  <c r="Z24" i="30"/>
  <c r="X24" i="30"/>
  <c r="P24" i="30"/>
  <c r="N24" i="30"/>
  <c r="D24" i="30"/>
  <c r="L24" i="30" s="1"/>
  <c r="B24" i="30"/>
  <c r="Z23" i="30"/>
  <c r="P23" i="30"/>
  <c r="X23" i="30" s="1"/>
  <c r="N23" i="30"/>
  <c r="L23" i="30"/>
  <c r="D23" i="30"/>
  <c r="B23" i="30"/>
  <c r="Z22" i="30"/>
  <c r="P22" i="30"/>
  <c r="X22" i="30" s="1"/>
  <c r="N22" i="30"/>
  <c r="D22" i="30"/>
  <c r="L22" i="30" s="1"/>
  <c r="B22" i="30"/>
  <c r="Z21" i="30"/>
  <c r="P21" i="30"/>
  <c r="X21" i="30" s="1"/>
  <c r="N21" i="30"/>
  <c r="L21" i="30"/>
  <c r="D21" i="30"/>
  <c r="B21" i="30"/>
  <c r="Z20" i="30"/>
  <c r="X20" i="30"/>
  <c r="P20" i="30"/>
  <c r="N20" i="30"/>
  <c r="D20" i="30"/>
  <c r="L20" i="30" s="1"/>
  <c r="B20" i="30"/>
  <c r="Z19" i="30"/>
  <c r="P19" i="30"/>
  <c r="X19" i="30" s="1"/>
  <c r="N19" i="30"/>
  <c r="D19" i="30"/>
  <c r="L19" i="30" s="1"/>
  <c r="B19" i="30"/>
  <c r="Z18" i="30"/>
  <c r="P18" i="30"/>
  <c r="X18" i="30" s="1"/>
  <c r="N18" i="30"/>
  <c r="D18" i="30"/>
  <c r="L18" i="30" s="1"/>
  <c r="B18" i="30"/>
  <c r="Z17" i="30"/>
  <c r="P17" i="30"/>
  <c r="X17" i="30" s="1"/>
  <c r="N17" i="30"/>
  <c r="L17" i="30"/>
  <c r="D17" i="30"/>
  <c r="B17" i="30"/>
  <c r="Z16" i="30"/>
  <c r="X16" i="30"/>
  <c r="P16" i="30"/>
  <c r="N16" i="30"/>
  <c r="L16" i="30"/>
  <c r="D16" i="30"/>
  <c r="B16" i="30"/>
  <c r="Z15" i="30"/>
  <c r="P15" i="30"/>
  <c r="N15" i="30"/>
  <c r="D15" i="30"/>
  <c r="L15" i="30" s="1"/>
  <c r="B15" i="30"/>
  <c r="Z14" i="30"/>
  <c r="X14" i="30"/>
  <c r="P14" i="30"/>
  <c r="N14" i="30"/>
  <c r="D14" i="30"/>
  <c r="L14" i="30" s="1"/>
  <c r="B14" i="30"/>
  <c r="P13" i="30"/>
  <c r="X13" i="30" s="1"/>
  <c r="Z13" i="30" s="1"/>
  <c r="L13" i="30"/>
  <c r="N13" i="30" s="1"/>
  <c r="D13" i="30"/>
  <c r="B13" i="30"/>
  <c r="T12" i="30"/>
  <c r="V142" i="30" s="1"/>
  <c r="H12" i="30"/>
  <c r="J125" i="30" s="1"/>
  <c r="D4" i="30"/>
  <c r="Z102" i="27"/>
  <c r="X102" i="27"/>
  <c r="L102" i="27"/>
  <c r="N102" i="27" s="1"/>
  <c r="J102" i="27"/>
  <c r="Z98" i="27"/>
  <c r="X98" i="27"/>
  <c r="V98" i="27"/>
  <c r="P98" i="27"/>
  <c r="N98" i="27"/>
  <c r="D98" i="27"/>
  <c r="L98" i="27" s="1"/>
  <c r="B98" i="27"/>
  <c r="V97" i="27"/>
  <c r="P97" i="27"/>
  <c r="X97" i="27" s="1"/>
  <c r="Z97" i="27" s="1"/>
  <c r="N97" i="27"/>
  <c r="D97" i="27"/>
  <c r="L97" i="27" s="1"/>
  <c r="B97" i="27"/>
  <c r="Z96" i="27"/>
  <c r="P96" i="27"/>
  <c r="X96" i="27" s="1"/>
  <c r="N96" i="27"/>
  <c r="L96" i="27"/>
  <c r="D96" i="27"/>
  <c r="B96" i="27"/>
  <c r="T95" i="27"/>
  <c r="H95" i="27"/>
  <c r="Z93" i="27"/>
  <c r="X93" i="27"/>
  <c r="N93" i="27"/>
  <c r="L93" i="27"/>
  <c r="B93" i="27"/>
  <c r="T92" i="27"/>
  <c r="Z92" i="27" s="1"/>
  <c r="P92" i="27"/>
  <c r="L92" i="27"/>
  <c r="J92" i="27"/>
  <c r="H92" i="27"/>
  <c r="N92" i="27" s="1"/>
  <c r="D92" i="27"/>
  <c r="B92" i="27"/>
  <c r="X91" i="27"/>
  <c r="Z91" i="27" s="1"/>
  <c r="V91" i="27"/>
  <c r="N91" i="27"/>
  <c r="L91" i="27"/>
  <c r="J91" i="27"/>
  <c r="B91" i="27"/>
  <c r="Z90" i="27"/>
  <c r="X90" i="27"/>
  <c r="L90" i="27"/>
  <c r="N90" i="27" s="1"/>
  <c r="J90" i="27"/>
  <c r="B90" i="27"/>
  <c r="T89" i="27"/>
  <c r="P89" i="27"/>
  <c r="J89" i="27"/>
  <c r="H89" i="27"/>
  <c r="D89" i="27"/>
  <c r="B89" i="27"/>
  <c r="Z88" i="27"/>
  <c r="X88" i="27"/>
  <c r="V88" i="27"/>
  <c r="N88" i="27"/>
  <c r="L88" i="27"/>
  <c r="B88" i="27"/>
  <c r="X87" i="27"/>
  <c r="Z87" i="27" s="1"/>
  <c r="V87" i="27"/>
  <c r="L87" i="27"/>
  <c r="N87" i="27" s="1"/>
  <c r="B87" i="27"/>
  <c r="X86" i="27"/>
  <c r="Z86" i="27" s="1"/>
  <c r="V86" i="27"/>
  <c r="L86" i="27"/>
  <c r="N86" i="27" s="1"/>
  <c r="J86" i="27"/>
  <c r="B86" i="27"/>
  <c r="T85" i="27"/>
  <c r="P85" i="27"/>
  <c r="X85" i="27" s="1"/>
  <c r="J85" i="27"/>
  <c r="H85" i="27"/>
  <c r="D85" i="27"/>
  <c r="L85" i="27" s="1"/>
  <c r="B85" i="27"/>
  <c r="Z84" i="27"/>
  <c r="X84" i="27"/>
  <c r="N84" i="27"/>
  <c r="L84" i="27"/>
  <c r="B84" i="27"/>
  <c r="X83" i="27"/>
  <c r="T83" i="27"/>
  <c r="P83" i="27"/>
  <c r="H83" i="27"/>
  <c r="D83" i="27"/>
  <c r="L83" i="27" s="1"/>
  <c r="N83" i="27" s="1"/>
  <c r="B83" i="27"/>
  <c r="Z82" i="27"/>
  <c r="X82" i="27"/>
  <c r="L82" i="27"/>
  <c r="N82" i="27" s="1"/>
  <c r="J82" i="27"/>
  <c r="B82" i="27"/>
  <c r="X81" i="27"/>
  <c r="Z81" i="27" s="1"/>
  <c r="L81" i="27"/>
  <c r="N81" i="27" s="1"/>
  <c r="B81" i="27"/>
  <c r="T80" i="27"/>
  <c r="P80" i="27"/>
  <c r="N80" i="27"/>
  <c r="H80" i="27"/>
  <c r="D80" i="27"/>
  <c r="L80" i="27" s="1"/>
  <c r="B80" i="27"/>
  <c r="X79" i="27"/>
  <c r="Z79" i="27" s="1"/>
  <c r="V79" i="27"/>
  <c r="L79" i="27"/>
  <c r="N79" i="27" s="1"/>
  <c r="B79" i="27"/>
  <c r="V78" i="27"/>
  <c r="T78" i="27"/>
  <c r="P78" i="27"/>
  <c r="X78" i="27" s="1"/>
  <c r="Z78" i="27" s="1"/>
  <c r="N78" i="27"/>
  <c r="J78" i="27"/>
  <c r="H78" i="27"/>
  <c r="D78" i="27"/>
  <c r="L78" i="27" s="1"/>
  <c r="B78" i="27"/>
  <c r="Z77" i="27"/>
  <c r="X77" i="27"/>
  <c r="N77" i="27"/>
  <c r="L77" i="27"/>
  <c r="B77" i="27"/>
  <c r="T76" i="27"/>
  <c r="Z76" i="27" s="1"/>
  <c r="P76" i="27"/>
  <c r="N76" i="27"/>
  <c r="L76" i="27"/>
  <c r="H76" i="27"/>
  <c r="D76" i="27"/>
  <c r="B76" i="27"/>
  <c r="X75" i="27"/>
  <c r="Z75" i="27" s="1"/>
  <c r="V75" i="27"/>
  <c r="L75" i="27"/>
  <c r="N75" i="27" s="1"/>
  <c r="J75" i="27"/>
  <c r="B75" i="27"/>
  <c r="T74" i="27"/>
  <c r="P74" i="27"/>
  <c r="X74" i="27" s="1"/>
  <c r="Z74" i="27" s="1"/>
  <c r="H74" i="27"/>
  <c r="D74" i="27"/>
  <c r="B74" i="27"/>
  <c r="Z73" i="27"/>
  <c r="X73" i="27"/>
  <c r="L73" i="27"/>
  <c r="N73" i="27" s="1"/>
  <c r="B73" i="27"/>
  <c r="V72" i="27"/>
  <c r="T72" i="27"/>
  <c r="X72" i="27" s="1"/>
  <c r="Z72" i="27" s="1"/>
  <c r="P72" i="27"/>
  <c r="H72" i="27"/>
  <c r="D72" i="27"/>
  <c r="L72" i="27" s="1"/>
  <c r="N72" i="27" s="1"/>
  <c r="B72" i="27"/>
  <c r="X71" i="27"/>
  <c r="Z71" i="27" s="1"/>
  <c r="L71" i="27"/>
  <c r="N71" i="27" s="1"/>
  <c r="B71" i="27"/>
  <c r="X70" i="27"/>
  <c r="V70" i="27"/>
  <c r="T70" i="27"/>
  <c r="P70" i="27"/>
  <c r="H70" i="27"/>
  <c r="D70" i="27"/>
  <c r="B70" i="27"/>
  <c r="X69" i="27"/>
  <c r="Z69" i="27" s="1"/>
  <c r="N69" i="27"/>
  <c r="L69" i="27"/>
  <c r="B69" i="27"/>
  <c r="T68" i="27"/>
  <c r="P68" i="27"/>
  <c r="N68" i="27"/>
  <c r="H68" i="27"/>
  <c r="D68" i="27"/>
  <c r="L68" i="27" s="1"/>
  <c r="B68" i="27"/>
  <c r="Z67" i="27"/>
  <c r="X67" i="27"/>
  <c r="V67" i="27"/>
  <c r="L67" i="27"/>
  <c r="N67" i="27" s="1"/>
  <c r="B67" i="27"/>
  <c r="X66" i="27"/>
  <c r="V66" i="27"/>
  <c r="T66" i="27"/>
  <c r="P66" i="27"/>
  <c r="J66" i="27"/>
  <c r="H66" i="27"/>
  <c r="D66" i="27"/>
  <c r="L66" i="27" s="1"/>
  <c r="N66" i="27" s="1"/>
  <c r="B66" i="27"/>
  <c r="Z65" i="27"/>
  <c r="X65" i="27"/>
  <c r="N65" i="27"/>
  <c r="L65" i="27"/>
  <c r="B65" i="27"/>
  <c r="Z64" i="27"/>
  <c r="X64" i="27"/>
  <c r="N64" i="27"/>
  <c r="L64" i="27"/>
  <c r="B64" i="27"/>
  <c r="Z63" i="27"/>
  <c r="X63" i="27"/>
  <c r="N63" i="27"/>
  <c r="L63" i="27"/>
  <c r="J63" i="27"/>
  <c r="B63" i="27"/>
  <c r="X62" i="27"/>
  <c r="Z62" i="27" s="1"/>
  <c r="V62" i="27"/>
  <c r="N62" i="27"/>
  <c r="L62" i="27"/>
  <c r="B62" i="27"/>
  <c r="Z61" i="27"/>
  <c r="X61" i="27"/>
  <c r="N61" i="27"/>
  <c r="L61" i="27"/>
  <c r="B61" i="27"/>
  <c r="X60" i="27"/>
  <c r="Z60" i="27" s="1"/>
  <c r="N60" i="27"/>
  <c r="L60" i="27"/>
  <c r="B60" i="27"/>
  <c r="X59" i="27"/>
  <c r="Z59" i="27" s="1"/>
  <c r="L59" i="27"/>
  <c r="N59" i="27" s="1"/>
  <c r="J59" i="27"/>
  <c r="B59" i="27"/>
  <c r="Z58" i="27"/>
  <c r="X58" i="27"/>
  <c r="V58" i="27"/>
  <c r="N58" i="27"/>
  <c r="L58" i="27"/>
  <c r="B58" i="27"/>
  <c r="Z57" i="27"/>
  <c r="X57" i="27"/>
  <c r="L57" i="27"/>
  <c r="N57" i="27" s="1"/>
  <c r="B57" i="27"/>
  <c r="Z56" i="27"/>
  <c r="X56" i="27"/>
  <c r="N56" i="27"/>
  <c r="L56" i="27"/>
  <c r="B56" i="27"/>
  <c r="X55" i="27"/>
  <c r="Z55" i="27" s="1"/>
  <c r="T55" i="27"/>
  <c r="P55" i="27"/>
  <c r="N55" i="27"/>
  <c r="H55" i="27"/>
  <c r="D55" i="27"/>
  <c r="L55" i="27" s="1"/>
  <c r="B55" i="27"/>
  <c r="Z54" i="27"/>
  <c r="X54" i="27"/>
  <c r="L54" i="27"/>
  <c r="N54" i="27" s="1"/>
  <c r="B54" i="27"/>
  <c r="Z53" i="27"/>
  <c r="X53" i="27"/>
  <c r="N53" i="27"/>
  <c r="L53" i="27"/>
  <c r="B53" i="27"/>
  <c r="Z52" i="27"/>
  <c r="X52" i="27"/>
  <c r="N52" i="27"/>
  <c r="L52" i="27"/>
  <c r="J52" i="27"/>
  <c r="B52" i="27"/>
  <c r="Z51" i="27"/>
  <c r="X51" i="27"/>
  <c r="V51" i="27"/>
  <c r="N51" i="27"/>
  <c r="L51" i="27"/>
  <c r="J51" i="27"/>
  <c r="B51" i="27"/>
  <c r="Z50" i="27"/>
  <c r="X50" i="27"/>
  <c r="N50" i="27"/>
  <c r="L50" i="27"/>
  <c r="J50" i="27"/>
  <c r="B50" i="27"/>
  <c r="X49" i="27"/>
  <c r="Z49" i="27" s="1"/>
  <c r="N49" i="27"/>
  <c r="L49" i="27"/>
  <c r="B49" i="27"/>
  <c r="Z48" i="27"/>
  <c r="X48" i="27"/>
  <c r="N48" i="27"/>
  <c r="L48" i="27"/>
  <c r="J48" i="27"/>
  <c r="B48" i="27"/>
  <c r="X47" i="27"/>
  <c r="Z47" i="27" s="1"/>
  <c r="V47" i="27"/>
  <c r="N47" i="27"/>
  <c r="L47" i="27"/>
  <c r="B47" i="27"/>
  <c r="Z46" i="27"/>
  <c r="X46" i="27"/>
  <c r="L46" i="27"/>
  <c r="N46" i="27" s="1"/>
  <c r="B46" i="27"/>
  <c r="X45" i="27"/>
  <c r="Z45" i="27" s="1"/>
  <c r="N45" i="27"/>
  <c r="L45" i="27"/>
  <c r="B45" i="27"/>
  <c r="Z44" i="27"/>
  <c r="T44" i="27"/>
  <c r="X44" i="27" s="1"/>
  <c r="P44" i="27"/>
  <c r="H44" i="27"/>
  <c r="D44" i="27"/>
  <c r="L44" i="27" s="1"/>
  <c r="N44" i="27" s="1"/>
  <c r="B44" i="27"/>
  <c r="T43" i="27"/>
  <c r="P43" i="27"/>
  <c r="H43" i="27"/>
  <c r="D43" i="27"/>
  <c r="L43" i="27" s="1"/>
  <c r="T41" i="27"/>
  <c r="Z39" i="27"/>
  <c r="X39" i="27"/>
  <c r="V39" i="27"/>
  <c r="N39" i="27"/>
  <c r="L39" i="27"/>
  <c r="B39" i="27"/>
  <c r="Z38" i="27"/>
  <c r="X38" i="27"/>
  <c r="V38" i="27"/>
  <c r="N38" i="27"/>
  <c r="L38" i="27"/>
  <c r="J38" i="27"/>
  <c r="B38" i="27"/>
  <c r="Z37" i="27"/>
  <c r="X37" i="27"/>
  <c r="N37" i="27"/>
  <c r="L37" i="27"/>
  <c r="B37" i="27"/>
  <c r="Z36" i="27"/>
  <c r="X36" i="27"/>
  <c r="V36" i="27"/>
  <c r="N36" i="27"/>
  <c r="L36" i="27"/>
  <c r="B36" i="27"/>
  <c r="Z35" i="27"/>
  <c r="X35" i="27"/>
  <c r="V35" i="27"/>
  <c r="N35" i="27"/>
  <c r="L35" i="27"/>
  <c r="B35" i="27"/>
  <c r="Z34" i="27"/>
  <c r="X34" i="27"/>
  <c r="V34" i="27"/>
  <c r="N34" i="27"/>
  <c r="L34" i="27"/>
  <c r="J34" i="27"/>
  <c r="B34" i="27"/>
  <c r="Z33" i="27"/>
  <c r="X33" i="27"/>
  <c r="N33" i="27"/>
  <c r="L33" i="27"/>
  <c r="B33" i="27"/>
  <c r="Z32" i="27"/>
  <c r="X32" i="27"/>
  <c r="V32" i="27"/>
  <c r="N32" i="27"/>
  <c r="L32" i="27"/>
  <c r="B32" i="27"/>
  <c r="Z31" i="27"/>
  <c r="X31" i="27"/>
  <c r="V31" i="27"/>
  <c r="N31" i="27"/>
  <c r="L31" i="27"/>
  <c r="B31" i="27"/>
  <c r="Z30" i="27"/>
  <c r="X30" i="27"/>
  <c r="V30" i="27"/>
  <c r="N30" i="27"/>
  <c r="L30" i="27"/>
  <c r="J30" i="27"/>
  <c r="B30" i="27"/>
  <c r="Z29" i="27"/>
  <c r="X29" i="27"/>
  <c r="N29" i="27"/>
  <c r="L29" i="27"/>
  <c r="B29" i="27"/>
  <c r="V28" i="27"/>
  <c r="T28" i="27"/>
  <c r="P28" i="27"/>
  <c r="X28" i="27" s="1"/>
  <c r="Z28" i="27" s="1"/>
  <c r="J28" i="27"/>
  <c r="H28" i="27"/>
  <c r="D28" i="27"/>
  <c r="L28" i="27" s="1"/>
  <c r="N28" i="27" s="1"/>
  <c r="Z26" i="27"/>
  <c r="P26" i="27"/>
  <c r="X26" i="27" s="1"/>
  <c r="N26" i="27"/>
  <c r="D26" i="27"/>
  <c r="L26" i="27" s="1"/>
  <c r="B26" i="27"/>
  <c r="Z25" i="27"/>
  <c r="X25" i="27"/>
  <c r="P25" i="27"/>
  <c r="N25" i="27"/>
  <c r="L25" i="27"/>
  <c r="D25" i="27"/>
  <c r="B25" i="27"/>
  <c r="Z24" i="27"/>
  <c r="X24" i="27"/>
  <c r="P24" i="27"/>
  <c r="N24" i="27"/>
  <c r="D24" i="27"/>
  <c r="L24" i="27" s="1"/>
  <c r="B24" i="27"/>
  <c r="Z23" i="27"/>
  <c r="P23" i="27"/>
  <c r="X23" i="27" s="1"/>
  <c r="N23" i="27"/>
  <c r="D23" i="27"/>
  <c r="L23" i="27" s="1"/>
  <c r="B23" i="27"/>
  <c r="Z22" i="27"/>
  <c r="P22" i="27"/>
  <c r="X22" i="27" s="1"/>
  <c r="N22" i="27"/>
  <c r="L22" i="27"/>
  <c r="D22" i="27"/>
  <c r="B22" i="27"/>
  <c r="Z21" i="27"/>
  <c r="X21" i="27"/>
  <c r="P21" i="27"/>
  <c r="N21" i="27"/>
  <c r="L21" i="27"/>
  <c r="D21" i="27"/>
  <c r="B21" i="27"/>
  <c r="Z20" i="27"/>
  <c r="X20" i="27"/>
  <c r="P20" i="27"/>
  <c r="N20" i="27"/>
  <c r="D20" i="27"/>
  <c r="L20" i="27" s="1"/>
  <c r="B20" i="27"/>
  <c r="Z19" i="27"/>
  <c r="X19" i="27"/>
  <c r="P19" i="27"/>
  <c r="N19" i="27"/>
  <c r="D19" i="27"/>
  <c r="L19" i="27" s="1"/>
  <c r="B19" i="27"/>
  <c r="Z18" i="27"/>
  <c r="P18" i="27"/>
  <c r="X18" i="27" s="1"/>
  <c r="N18" i="27"/>
  <c r="L18" i="27"/>
  <c r="D18" i="27"/>
  <c r="B18" i="27"/>
  <c r="Z17" i="27"/>
  <c r="P17" i="27"/>
  <c r="X17" i="27" s="1"/>
  <c r="N17" i="27"/>
  <c r="L17" i="27"/>
  <c r="D17" i="27"/>
  <c r="B17" i="27"/>
  <c r="Z16" i="27"/>
  <c r="X16" i="27"/>
  <c r="P16" i="27"/>
  <c r="N16" i="27"/>
  <c r="L16" i="27"/>
  <c r="D16" i="27"/>
  <c r="B16" i="27"/>
  <c r="Z15" i="27"/>
  <c r="P15" i="27"/>
  <c r="X15" i="27" s="1"/>
  <c r="N15" i="27"/>
  <c r="D15" i="27"/>
  <c r="L15" i="27" s="1"/>
  <c r="B15" i="27"/>
  <c r="Z14" i="27"/>
  <c r="P14" i="27"/>
  <c r="N14" i="27"/>
  <c r="D14" i="27"/>
  <c r="L14" i="27" s="1"/>
  <c r="B14" i="27"/>
  <c r="Z13" i="27"/>
  <c r="X13" i="27"/>
  <c r="P13" i="27"/>
  <c r="D13" i="27"/>
  <c r="B13" i="27"/>
  <c r="T12" i="27"/>
  <c r="V83" i="27" s="1"/>
  <c r="H12" i="27"/>
  <c r="J72" i="27" s="1"/>
  <c r="D4" i="27"/>
  <c r="V69" i="24"/>
  <c r="V66" i="24"/>
  <c r="X64" i="24"/>
  <c r="Z64" i="24" s="1"/>
  <c r="V64" i="24"/>
  <c r="L64" i="24"/>
  <c r="N64" i="24" s="1"/>
  <c r="V62" i="24"/>
  <c r="V60" i="24"/>
  <c r="T60" i="24"/>
  <c r="Z60" i="24" s="1"/>
  <c r="P60" i="24"/>
  <c r="X60" i="24" s="1"/>
  <c r="N60" i="24"/>
  <c r="L60" i="24"/>
  <c r="H60" i="24"/>
  <c r="D60" i="24"/>
  <c r="Z58" i="24"/>
  <c r="X58" i="24"/>
  <c r="V58" i="24"/>
  <c r="N58" i="24"/>
  <c r="L58" i="24"/>
  <c r="J58" i="24"/>
  <c r="B58" i="24"/>
  <c r="Z57" i="24"/>
  <c r="X57" i="24"/>
  <c r="V57" i="24"/>
  <c r="N57" i="24"/>
  <c r="L57" i="24"/>
  <c r="J57" i="24"/>
  <c r="B57" i="24"/>
  <c r="Z56" i="24"/>
  <c r="X56" i="24"/>
  <c r="V56" i="24"/>
  <c r="T56" i="24"/>
  <c r="P56" i="24"/>
  <c r="J56" i="24"/>
  <c r="H56" i="24"/>
  <c r="N56" i="24" s="1"/>
  <c r="D56" i="24"/>
  <c r="L56" i="24" s="1"/>
  <c r="B56" i="24"/>
  <c r="Z55" i="24"/>
  <c r="X55" i="24"/>
  <c r="V55" i="24"/>
  <c r="N55" i="24"/>
  <c r="L55" i="24"/>
  <c r="J55" i="24"/>
  <c r="B55" i="24"/>
  <c r="X54" i="24"/>
  <c r="V54" i="24"/>
  <c r="T54" i="24"/>
  <c r="Z54" i="24" s="1"/>
  <c r="P54" i="24"/>
  <c r="J54" i="24"/>
  <c r="H54" i="24"/>
  <c r="N54" i="24" s="1"/>
  <c r="D54" i="24"/>
  <c r="L54" i="24" s="1"/>
  <c r="B54" i="24"/>
  <c r="Z53" i="24"/>
  <c r="X53" i="24"/>
  <c r="V53" i="24"/>
  <c r="N53" i="24"/>
  <c r="L53" i="24"/>
  <c r="B53" i="24"/>
  <c r="Z52" i="24"/>
  <c r="X52" i="24"/>
  <c r="N52" i="24"/>
  <c r="L52" i="24"/>
  <c r="B52" i="24"/>
  <c r="V51" i="24"/>
  <c r="T51" i="24"/>
  <c r="Z51" i="24" s="1"/>
  <c r="P51" i="24"/>
  <c r="N51" i="24"/>
  <c r="L51" i="24"/>
  <c r="J51" i="24"/>
  <c r="H51" i="24"/>
  <c r="D51" i="24"/>
  <c r="B51" i="24"/>
  <c r="X50" i="24"/>
  <c r="Z50" i="24" s="1"/>
  <c r="V50" i="24"/>
  <c r="L50" i="24"/>
  <c r="N50" i="24" s="1"/>
  <c r="J50" i="24"/>
  <c r="B50" i="24"/>
  <c r="V49" i="24"/>
  <c r="T49" i="24"/>
  <c r="Z49" i="24" s="1"/>
  <c r="P49" i="24"/>
  <c r="X49" i="24" s="1"/>
  <c r="J49" i="24"/>
  <c r="H49" i="24"/>
  <c r="D49" i="24"/>
  <c r="L49" i="24" s="1"/>
  <c r="B49" i="24"/>
  <c r="X48" i="24"/>
  <c r="Z48" i="24" s="1"/>
  <c r="V48" i="24"/>
  <c r="R48" i="24"/>
  <c r="L48" i="24"/>
  <c r="N48" i="24" s="1"/>
  <c r="F48" i="24"/>
  <c r="B48" i="24"/>
  <c r="V47" i="24"/>
  <c r="T47" i="24"/>
  <c r="P47" i="24"/>
  <c r="X47" i="24" s="1"/>
  <c r="Z47" i="24" s="1"/>
  <c r="J47" i="24"/>
  <c r="H47" i="24"/>
  <c r="D47" i="24"/>
  <c r="L47" i="24" s="1"/>
  <c r="N47" i="24" s="1"/>
  <c r="B47" i="24"/>
  <c r="X46" i="24"/>
  <c r="Z46" i="24" s="1"/>
  <c r="L46" i="24"/>
  <c r="N46" i="24" s="1"/>
  <c r="J46" i="24"/>
  <c r="B46" i="24"/>
  <c r="X45" i="24"/>
  <c r="Z45" i="24" s="1"/>
  <c r="V45" i="24"/>
  <c r="T45" i="24"/>
  <c r="P45" i="24"/>
  <c r="J45" i="24"/>
  <c r="H45" i="24"/>
  <c r="D45" i="24"/>
  <c r="B45" i="24"/>
  <c r="Z44" i="24"/>
  <c r="X44" i="24"/>
  <c r="V44" i="24"/>
  <c r="N44" i="24"/>
  <c r="L44" i="24"/>
  <c r="J44" i="24"/>
  <c r="B44" i="24"/>
  <c r="V43" i="24"/>
  <c r="T43" i="24"/>
  <c r="Z43" i="24" s="1"/>
  <c r="R43" i="24"/>
  <c r="P43" i="24"/>
  <c r="X43" i="24" s="1"/>
  <c r="H43" i="24"/>
  <c r="N43" i="24" s="1"/>
  <c r="D43" i="24"/>
  <c r="L43" i="24" s="1"/>
  <c r="B43" i="24"/>
  <c r="Z42" i="24"/>
  <c r="X42" i="24"/>
  <c r="V42" i="24"/>
  <c r="N42" i="24"/>
  <c r="L42" i="24"/>
  <c r="B42" i="24"/>
  <c r="Z41" i="24"/>
  <c r="V41" i="24"/>
  <c r="T41" i="24"/>
  <c r="P41" i="24"/>
  <c r="X41" i="24" s="1"/>
  <c r="N41" i="24"/>
  <c r="J41" i="24"/>
  <c r="H41" i="24"/>
  <c r="D41" i="24"/>
  <c r="L41" i="24" s="1"/>
  <c r="B41" i="24"/>
  <c r="Z40" i="24"/>
  <c r="X40" i="24"/>
  <c r="R40" i="24"/>
  <c r="N40" i="24"/>
  <c r="L40" i="24"/>
  <c r="B40" i="24"/>
  <c r="Z39" i="24"/>
  <c r="X39" i="24"/>
  <c r="V39" i="24"/>
  <c r="N39" i="24"/>
  <c r="L39" i="24"/>
  <c r="J39" i="24"/>
  <c r="B39" i="24"/>
  <c r="Z38" i="24"/>
  <c r="X38" i="24"/>
  <c r="N38" i="24"/>
  <c r="L38" i="24"/>
  <c r="J38" i="24"/>
  <c r="B38" i="24"/>
  <c r="Z37" i="24"/>
  <c r="X37" i="24"/>
  <c r="V37" i="24"/>
  <c r="N37" i="24"/>
  <c r="L37" i="24"/>
  <c r="B37" i="24"/>
  <c r="Z36" i="24"/>
  <c r="X36" i="24"/>
  <c r="N36" i="24"/>
  <c r="L36" i="24"/>
  <c r="B36" i="24"/>
  <c r="Z35" i="24"/>
  <c r="X35" i="24"/>
  <c r="V35" i="24"/>
  <c r="N35" i="24"/>
  <c r="L35" i="24"/>
  <c r="J35" i="24"/>
  <c r="F35" i="24"/>
  <c r="B35" i="24"/>
  <c r="Z34" i="24"/>
  <c r="X34" i="24"/>
  <c r="N34" i="24"/>
  <c r="L34" i="24"/>
  <c r="J34" i="24"/>
  <c r="B34" i="24"/>
  <c r="Z33" i="24"/>
  <c r="X33" i="24"/>
  <c r="V33" i="24"/>
  <c r="N33" i="24"/>
  <c r="L33" i="24"/>
  <c r="B33" i="24"/>
  <c r="Z32" i="24"/>
  <c r="X32" i="24"/>
  <c r="N32" i="24"/>
  <c r="L32" i="24"/>
  <c r="B32" i="24"/>
  <c r="X31" i="24"/>
  <c r="Z31" i="24" s="1"/>
  <c r="V31" i="24"/>
  <c r="N31" i="24"/>
  <c r="L31" i="24"/>
  <c r="J31" i="24"/>
  <c r="B31" i="24"/>
  <c r="T30" i="24"/>
  <c r="P30" i="24"/>
  <c r="X30" i="24" s="1"/>
  <c r="Z30" i="24" s="1"/>
  <c r="H30" i="24"/>
  <c r="D30" i="24"/>
  <c r="L30" i="24" s="1"/>
  <c r="B30" i="24"/>
  <c r="Z29" i="24"/>
  <c r="X29" i="24"/>
  <c r="V29" i="24"/>
  <c r="N29" i="24"/>
  <c r="L29" i="24"/>
  <c r="J29" i="24"/>
  <c r="B29" i="24"/>
  <c r="X28" i="24"/>
  <c r="Z28" i="24" s="1"/>
  <c r="V28" i="24"/>
  <c r="L28" i="24"/>
  <c r="N28" i="24" s="1"/>
  <c r="J28" i="24"/>
  <c r="B28" i="24"/>
  <c r="Z27" i="24"/>
  <c r="X27" i="24"/>
  <c r="V27" i="24"/>
  <c r="N27" i="24"/>
  <c r="L27" i="24"/>
  <c r="J27" i="24"/>
  <c r="B27" i="24"/>
  <c r="X26" i="24"/>
  <c r="Z26" i="24" s="1"/>
  <c r="V26" i="24"/>
  <c r="L26" i="24"/>
  <c r="N26" i="24" s="1"/>
  <c r="J26" i="24"/>
  <c r="B26" i="24"/>
  <c r="Z25" i="24"/>
  <c r="X25" i="24"/>
  <c r="V25" i="24"/>
  <c r="N25" i="24"/>
  <c r="L25" i="24"/>
  <c r="J25" i="24"/>
  <c r="B25" i="24"/>
  <c r="Z24" i="24"/>
  <c r="X24" i="24"/>
  <c r="V24" i="24"/>
  <c r="L24" i="24"/>
  <c r="N24" i="24" s="1"/>
  <c r="J24" i="24"/>
  <c r="B24" i="24"/>
  <c r="Z23" i="24"/>
  <c r="X23" i="24"/>
  <c r="V23" i="24"/>
  <c r="R23" i="24"/>
  <c r="N23" i="24"/>
  <c r="L23" i="24"/>
  <c r="J23" i="24"/>
  <c r="B23" i="24"/>
  <c r="X22" i="24"/>
  <c r="Z22" i="24" s="1"/>
  <c r="V22" i="24"/>
  <c r="L22" i="24"/>
  <c r="N22" i="24" s="1"/>
  <c r="J22" i="24"/>
  <c r="B22" i="24"/>
  <c r="V21" i="24"/>
  <c r="T21" i="24"/>
  <c r="Z21" i="24" s="1"/>
  <c r="R21" i="24"/>
  <c r="P21" i="24"/>
  <c r="X21" i="24" s="1"/>
  <c r="J21" i="24"/>
  <c r="H21" i="24"/>
  <c r="D21" i="24"/>
  <c r="L21" i="24" s="1"/>
  <c r="B21" i="24"/>
  <c r="V20" i="24"/>
  <c r="T20" i="24"/>
  <c r="P20" i="24"/>
  <c r="X20" i="24" s="1"/>
  <c r="J20" i="24"/>
  <c r="H20" i="24"/>
  <c r="D20" i="24"/>
  <c r="V18" i="24"/>
  <c r="T18" i="24"/>
  <c r="J18" i="24"/>
  <c r="H18" i="24"/>
  <c r="Z16" i="24"/>
  <c r="X16" i="24"/>
  <c r="V16" i="24"/>
  <c r="N16" i="24"/>
  <c r="L16" i="24"/>
  <c r="B16" i="24"/>
  <c r="Z15" i="24"/>
  <c r="V15" i="24"/>
  <c r="T15" i="24"/>
  <c r="P15" i="24"/>
  <c r="X15" i="24" s="1"/>
  <c r="N15" i="24"/>
  <c r="J15" i="24"/>
  <c r="H15" i="24"/>
  <c r="D15" i="24"/>
  <c r="L15" i="24" s="1"/>
  <c r="Z13" i="24"/>
  <c r="P13" i="24"/>
  <c r="X13" i="24" s="1"/>
  <c r="N13" i="24"/>
  <c r="D13" i="24"/>
  <c r="D12" i="24" s="1"/>
  <c r="F39" i="24" s="1"/>
  <c r="B13" i="24"/>
  <c r="Z12" i="24"/>
  <c r="T12" i="24"/>
  <c r="V46" i="24" s="1"/>
  <c r="P12" i="24"/>
  <c r="R41" i="24" s="1"/>
  <c r="N12" i="24"/>
  <c r="H12" i="24"/>
  <c r="J62" i="24" s="1"/>
  <c r="D4" i="24"/>
  <c r="R88" i="21"/>
  <c r="R85" i="21"/>
  <c r="X83" i="21"/>
  <c r="Z83" i="21" s="1"/>
  <c r="V83" i="21"/>
  <c r="N83" i="21"/>
  <c r="L83" i="21"/>
  <c r="J83" i="21"/>
  <c r="T79" i="21"/>
  <c r="Z79" i="21" s="1"/>
  <c r="R79" i="21"/>
  <c r="P79" i="21"/>
  <c r="X79" i="21" s="1"/>
  <c r="N79" i="21"/>
  <c r="H79" i="21"/>
  <c r="J79" i="21" s="1"/>
  <c r="D79" i="21"/>
  <c r="Z77" i="21"/>
  <c r="X77" i="21"/>
  <c r="N77" i="21"/>
  <c r="L77" i="21"/>
  <c r="J77" i="21"/>
  <c r="B77" i="21"/>
  <c r="X76" i="21"/>
  <c r="Z76" i="21" s="1"/>
  <c r="T76" i="21"/>
  <c r="P76" i="21"/>
  <c r="H76" i="21"/>
  <c r="D76" i="21"/>
  <c r="L76" i="21" s="1"/>
  <c r="B76" i="21"/>
  <c r="Z75" i="21"/>
  <c r="X75" i="21"/>
  <c r="V75" i="21"/>
  <c r="L75" i="21"/>
  <c r="N75" i="21" s="1"/>
  <c r="J75" i="21"/>
  <c r="B75" i="21"/>
  <c r="X74" i="21"/>
  <c r="Z74" i="21" s="1"/>
  <c r="V74" i="21"/>
  <c r="L74" i="21"/>
  <c r="N74" i="21" s="1"/>
  <c r="B74" i="21"/>
  <c r="Z73" i="21"/>
  <c r="X73" i="21"/>
  <c r="V73" i="21"/>
  <c r="T73" i="21"/>
  <c r="R73" i="21"/>
  <c r="P73" i="21"/>
  <c r="N73" i="21"/>
  <c r="H73" i="21"/>
  <c r="D73" i="21"/>
  <c r="L73" i="21" s="1"/>
  <c r="B73" i="21"/>
  <c r="Z72" i="21"/>
  <c r="X72" i="21"/>
  <c r="N72" i="21"/>
  <c r="L72" i="21"/>
  <c r="B72" i="21"/>
  <c r="X71" i="21"/>
  <c r="Z71" i="21" s="1"/>
  <c r="V71" i="21"/>
  <c r="N71" i="21"/>
  <c r="L71" i="21"/>
  <c r="J71" i="21"/>
  <c r="B71" i="21"/>
  <c r="Z70" i="21"/>
  <c r="X70" i="21"/>
  <c r="N70" i="21"/>
  <c r="L70" i="21"/>
  <c r="J70" i="21"/>
  <c r="B70" i="21"/>
  <c r="X69" i="21"/>
  <c r="Z69" i="21" s="1"/>
  <c r="V69" i="21"/>
  <c r="T69" i="21"/>
  <c r="P69" i="21"/>
  <c r="H69" i="21"/>
  <c r="D69" i="21"/>
  <c r="B69" i="21"/>
  <c r="Z68" i="21"/>
  <c r="X68" i="21"/>
  <c r="L68" i="21"/>
  <c r="N68" i="21" s="1"/>
  <c r="J68" i="21"/>
  <c r="B68" i="21"/>
  <c r="T67" i="21"/>
  <c r="P67" i="21"/>
  <c r="X67" i="21" s="1"/>
  <c r="H67" i="21"/>
  <c r="D67" i="21"/>
  <c r="B67" i="21"/>
  <c r="X66" i="21"/>
  <c r="Z66" i="21" s="1"/>
  <c r="V66" i="21"/>
  <c r="L66" i="21"/>
  <c r="N66" i="21" s="1"/>
  <c r="B66" i="21"/>
  <c r="Z65" i="21"/>
  <c r="X65" i="21"/>
  <c r="V65" i="21"/>
  <c r="N65" i="21"/>
  <c r="L65" i="21"/>
  <c r="J65" i="21"/>
  <c r="B65" i="21"/>
  <c r="X64" i="21"/>
  <c r="Z64" i="21" s="1"/>
  <c r="V64" i="21"/>
  <c r="L64" i="21"/>
  <c r="N64" i="21" s="1"/>
  <c r="B64" i="21"/>
  <c r="Z63" i="21"/>
  <c r="X63" i="21"/>
  <c r="V63" i="21"/>
  <c r="L63" i="21"/>
  <c r="N63" i="21" s="1"/>
  <c r="J63" i="21"/>
  <c r="B63" i="21"/>
  <c r="X62" i="21"/>
  <c r="T62" i="21"/>
  <c r="P62" i="21"/>
  <c r="H62" i="21"/>
  <c r="D62" i="21"/>
  <c r="B62" i="21"/>
  <c r="X61" i="21"/>
  <c r="Z61" i="21" s="1"/>
  <c r="V61" i="21"/>
  <c r="N61" i="21"/>
  <c r="L61" i="21"/>
  <c r="B61" i="21"/>
  <c r="X60" i="21"/>
  <c r="Z60" i="21" s="1"/>
  <c r="T60" i="21"/>
  <c r="P60" i="21"/>
  <c r="H60" i="21"/>
  <c r="D60" i="21"/>
  <c r="L60" i="21" s="1"/>
  <c r="N60" i="21" s="1"/>
  <c r="B60" i="21"/>
  <c r="Z59" i="21"/>
  <c r="X59" i="21"/>
  <c r="V59" i="21"/>
  <c r="N59" i="21"/>
  <c r="L59" i="21"/>
  <c r="J59" i="21"/>
  <c r="B59" i="21"/>
  <c r="V58" i="21"/>
  <c r="T58" i="21"/>
  <c r="Z58" i="21" s="1"/>
  <c r="P58" i="21"/>
  <c r="X58" i="21" s="1"/>
  <c r="N58" i="21"/>
  <c r="L58" i="21"/>
  <c r="H58" i="21"/>
  <c r="D58" i="21"/>
  <c r="B58" i="21"/>
  <c r="Z57" i="21"/>
  <c r="X57" i="21"/>
  <c r="V57" i="21"/>
  <c r="L57" i="21"/>
  <c r="N57" i="21" s="1"/>
  <c r="J57" i="21"/>
  <c r="B57" i="21"/>
  <c r="T56" i="21"/>
  <c r="P56" i="21"/>
  <c r="X56" i="21" s="1"/>
  <c r="L56" i="21"/>
  <c r="J56" i="21"/>
  <c r="H56" i="21"/>
  <c r="D56" i="21"/>
  <c r="B56" i="21"/>
  <c r="X55" i="21"/>
  <c r="Z55" i="21" s="1"/>
  <c r="V55" i="21"/>
  <c r="N55" i="21"/>
  <c r="L55" i="21"/>
  <c r="J55" i="21"/>
  <c r="B55" i="21"/>
  <c r="T54" i="21"/>
  <c r="Z54" i="21" s="1"/>
  <c r="P54" i="21"/>
  <c r="X54" i="21" s="1"/>
  <c r="L54" i="21"/>
  <c r="H54" i="21"/>
  <c r="N54" i="21" s="1"/>
  <c r="D54" i="21"/>
  <c r="B54" i="21"/>
  <c r="Z53" i="21"/>
  <c r="X53" i="21"/>
  <c r="N53" i="21"/>
  <c r="L53" i="21"/>
  <c r="J53" i="21"/>
  <c r="B53" i="21"/>
  <c r="Z52" i="21"/>
  <c r="X52" i="21"/>
  <c r="T52" i="21"/>
  <c r="P52" i="21"/>
  <c r="N52" i="21"/>
  <c r="L52" i="21"/>
  <c r="J52" i="21"/>
  <c r="H52" i="21"/>
  <c r="D52" i="21"/>
  <c r="B52" i="21"/>
  <c r="Z51" i="21"/>
  <c r="X51" i="21"/>
  <c r="V51" i="21"/>
  <c r="L51" i="21"/>
  <c r="N51" i="21" s="1"/>
  <c r="J51" i="21"/>
  <c r="B51" i="21"/>
  <c r="Z50" i="21"/>
  <c r="X50" i="21"/>
  <c r="V50" i="21"/>
  <c r="N50" i="21"/>
  <c r="L50" i="21"/>
  <c r="B50" i="21"/>
  <c r="Z49" i="21"/>
  <c r="X49" i="21"/>
  <c r="V49" i="21"/>
  <c r="T49" i="21"/>
  <c r="R49" i="21"/>
  <c r="P49" i="21"/>
  <c r="N49" i="21"/>
  <c r="J49" i="21"/>
  <c r="H49" i="21"/>
  <c r="D49" i="21"/>
  <c r="L49" i="21" s="1"/>
  <c r="B49" i="21"/>
  <c r="X48" i="21"/>
  <c r="Z48" i="21" s="1"/>
  <c r="L48" i="21"/>
  <c r="N48" i="21" s="1"/>
  <c r="B48" i="21"/>
  <c r="X47" i="21"/>
  <c r="V47" i="21"/>
  <c r="T47" i="21"/>
  <c r="P47" i="21"/>
  <c r="L47" i="21"/>
  <c r="N47" i="21" s="1"/>
  <c r="J47" i="21"/>
  <c r="H47" i="21"/>
  <c r="D47" i="21"/>
  <c r="B47" i="21"/>
  <c r="Z46" i="21"/>
  <c r="X46" i="21"/>
  <c r="V46" i="21"/>
  <c r="L46" i="21"/>
  <c r="N46" i="21" s="1"/>
  <c r="J46" i="21"/>
  <c r="B46" i="21"/>
  <c r="T45" i="21"/>
  <c r="Z45" i="21" s="1"/>
  <c r="R45" i="21"/>
  <c r="P45" i="21"/>
  <c r="X45" i="21" s="1"/>
  <c r="J45" i="21"/>
  <c r="H45" i="21"/>
  <c r="D45" i="21"/>
  <c r="B45" i="21"/>
  <c r="X44" i="21"/>
  <c r="Z44" i="21" s="1"/>
  <c r="V44" i="21"/>
  <c r="L44" i="21"/>
  <c r="N44" i="21" s="1"/>
  <c r="B44" i="21"/>
  <c r="Z43" i="21"/>
  <c r="V43" i="21"/>
  <c r="T43" i="21"/>
  <c r="P43" i="21"/>
  <c r="X43" i="21" s="1"/>
  <c r="J43" i="21"/>
  <c r="H43" i="21"/>
  <c r="D43" i="21"/>
  <c r="L43" i="21" s="1"/>
  <c r="N43" i="21" s="1"/>
  <c r="B43" i="21"/>
  <c r="Z42" i="21"/>
  <c r="X42" i="21"/>
  <c r="N42" i="21"/>
  <c r="L42" i="21"/>
  <c r="J42" i="21"/>
  <c r="B42" i="21"/>
  <c r="Z41" i="21"/>
  <c r="X41" i="21"/>
  <c r="V41" i="21"/>
  <c r="N41" i="21"/>
  <c r="L41" i="21"/>
  <c r="B41" i="21"/>
  <c r="Z40" i="21"/>
  <c r="X40" i="21"/>
  <c r="N40" i="21"/>
  <c r="L40" i="21"/>
  <c r="B40" i="21"/>
  <c r="Z39" i="21"/>
  <c r="X39" i="21"/>
  <c r="V39" i="21"/>
  <c r="R39" i="21"/>
  <c r="N39" i="21"/>
  <c r="L39" i="21"/>
  <c r="J39" i="21"/>
  <c r="B39" i="21"/>
  <c r="Z38" i="21"/>
  <c r="X38" i="21"/>
  <c r="N38" i="21"/>
  <c r="L38" i="21"/>
  <c r="J38" i="21"/>
  <c r="B38" i="21"/>
  <c r="Z37" i="21"/>
  <c r="X37" i="21"/>
  <c r="V37" i="21"/>
  <c r="N37" i="21"/>
  <c r="L37" i="21"/>
  <c r="B37" i="21"/>
  <c r="Z36" i="21"/>
  <c r="X36" i="21"/>
  <c r="R36" i="21"/>
  <c r="N36" i="21"/>
  <c r="L36" i="21"/>
  <c r="B36" i="21"/>
  <c r="Z35" i="21"/>
  <c r="X35" i="21"/>
  <c r="V35" i="21"/>
  <c r="R35" i="21"/>
  <c r="N35" i="21"/>
  <c r="L35" i="21"/>
  <c r="J35" i="21"/>
  <c r="B35" i="21"/>
  <c r="X34" i="21"/>
  <c r="Z34" i="21" s="1"/>
  <c r="N34" i="21"/>
  <c r="L34" i="21"/>
  <c r="J34" i="21"/>
  <c r="B34" i="21"/>
  <c r="Z33" i="21"/>
  <c r="X33" i="21"/>
  <c r="V33" i="21"/>
  <c r="N33" i="21"/>
  <c r="L33" i="21"/>
  <c r="B33" i="21"/>
  <c r="T32" i="21"/>
  <c r="P32" i="21"/>
  <c r="X32" i="21" s="1"/>
  <c r="Z32" i="21" s="1"/>
  <c r="L32" i="21"/>
  <c r="N32" i="21" s="1"/>
  <c r="H32" i="21"/>
  <c r="D32" i="21"/>
  <c r="B32" i="21"/>
  <c r="Z31" i="21"/>
  <c r="X31" i="21"/>
  <c r="V31" i="21"/>
  <c r="N31" i="21"/>
  <c r="L31" i="21"/>
  <c r="J31" i="21"/>
  <c r="B31" i="21"/>
  <c r="Z30" i="21"/>
  <c r="X30" i="21"/>
  <c r="V30" i="21"/>
  <c r="R30" i="21"/>
  <c r="L30" i="21"/>
  <c r="N30" i="21" s="1"/>
  <c r="J30" i="21"/>
  <c r="B30" i="21"/>
  <c r="Z29" i="21"/>
  <c r="X29" i="21"/>
  <c r="V29" i="21"/>
  <c r="R29" i="21"/>
  <c r="N29" i="21"/>
  <c r="L29" i="21"/>
  <c r="J29" i="21"/>
  <c r="B29" i="21"/>
  <c r="Z28" i="21"/>
  <c r="X28" i="21"/>
  <c r="V28" i="21"/>
  <c r="N28" i="21"/>
  <c r="L28" i="21"/>
  <c r="J28" i="21"/>
  <c r="B28" i="21"/>
  <c r="Z27" i="21"/>
  <c r="X27" i="21"/>
  <c r="V27" i="21"/>
  <c r="N27" i="21"/>
  <c r="L27" i="21"/>
  <c r="J27" i="21"/>
  <c r="B27" i="21"/>
  <c r="X26" i="21"/>
  <c r="Z26" i="21" s="1"/>
  <c r="V26" i="21"/>
  <c r="L26" i="21"/>
  <c r="N26" i="21" s="1"/>
  <c r="J26" i="21"/>
  <c r="B26" i="21"/>
  <c r="Z25" i="21"/>
  <c r="X25" i="21"/>
  <c r="V25" i="21"/>
  <c r="L25" i="21"/>
  <c r="N25" i="21" s="1"/>
  <c r="J25" i="21"/>
  <c r="B25" i="21"/>
  <c r="X24" i="21"/>
  <c r="Z24" i="21" s="1"/>
  <c r="V24" i="21"/>
  <c r="L24" i="21"/>
  <c r="N24" i="21" s="1"/>
  <c r="J24" i="21"/>
  <c r="B24" i="21"/>
  <c r="Z23" i="21"/>
  <c r="X23" i="21"/>
  <c r="V23" i="21"/>
  <c r="R23" i="21"/>
  <c r="N23" i="21"/>
  <c r="L23" i="21"/>
  <c r="J23" i="21"/>
  <c r="B23" i="21"/>
  <c r="Z22" i="21"/>
  <c r="X22" i="21"/>
  <c r="V22" i="21"/>
  <c r="T22" i="21"/>
  <c r="P22" i="21"/>
  <c r="L22" i="21"/>
  <c r="H22" i="21"/>
  <c r="N22" i="21" s="1"/>
  <c r="D22" i="21"/>
  <c r="B22" i="21"/>
  <c r="Z21" i="21"/>
  <c r="X21" i="21"/>
  <c r="V21" i="21"/>
  <c r="T21" i="21"/>
  <c r="P21" i="21"/>
  <c r="J21" i="21"/>
  <c r="H21" i="21"/>
  <c r="D21" i="21"/>
  <c r="L21" i="21" s="1"/>
  <c r="N21" i="21" s="1"/>
  <c r="P19" i="21"/>
  <c r="Z17" i="21"/>
  <c r="X17" i="21"/>
  <c r="V17" i="21"/>
  <c r="N17" i="21"/>
  <c r="L17" i="21"/>
  <c r="J17" i="21"/>
  <c r="B17" i="21"/>
  <c r="X16" i="21"/>
  <c r="Z16" i="21" s="1"/>
  <c r="V16" i="21"/>
  <c r="N16" i="21"/>
  <c r="L16" i="21"/>
  <c r="B16" i="21"/>
  <c r="Z15" i="21"/>
  <c r="V15" i="21"/>
  <c r="T15" i="21"/>
  <c r="P15" i="21"/>
  <c r="X15" i="21" s="1"/>
  <c r="N15" i="21"/>
  <c r="L15" i="21"/>
  <c r="J15" i="21"/>
  <c r="H15" i="21"/>
  <c r="D15" i="21"/>
  <c r="P13" i="21"/>
  <c r="X13" i="21" s="1"/>
  <c r="Z13" i="21" s="1"/>
  <c r="D13" i="21"/>
  <c r="L13" i="21" s="1"/>
  <c r="N13" i="21" s="1"/>
  <c r="B13" i="21"/>
  <c r="T12" i="21"/>
  <c r="V76" i="21" s="1"/>
  <c r="P12" i="21"/>
  <c r="H12" i="21"/>
  <c r="J72" i="21" s="1"/>
  <c r="D4" i="21"/>
  <c r="Z210" i="18"/>
  <c r="X210" i="18"/>
  <c r="L210" i="18"/>
  <c r="N210" i="18" s="1"/>
  <c r="J210" i="18"/>
  <c r="Z206" i="18"/>
  <c r="P206" i="18"/>
  <c r="X206" i="18" s="1"/>
  <c r="N206" i="18"/>
  <c r="L206" i="18"/>
  <c r="D206" i="18"/>
  <c r="B206" i="18"/>
  <c r="Z205" i="18"/>
  <c r="P205" i="18"/>
  <c r="N205" i="18"/>
  <c r="L205" i="18"/>
  <c r="D205" i="18"/>
  <c r="B205" i="18"/>
  <c r="X204" i="18"/>
  <c r="Z204" i="18" s="1"/>
  <c r="P204" i="18"/>
  <c r="N204" i="18"/>
  <c r="L204" i="18"/>
  <c r="J204" i="18"/>
  <c r="D204" i="18"/>
  <c r="B204" i="18"/>
  <c r="X203" i="18"/>
  <c r="Z203" i="18" s="1"/>
  <c r="P203" i="18"/>
  <c r="L203" i="18"/>
  <c r="N203" i="18" s="1"/>
  <c r="D203" i="18"/>
  <c r="B203" i="18"/>
  <c r="Z202" i="18"/>
  <c r="P202" i="18"/>
  <c r="X202" i="18" s="1"/>
  <c r="N202" i="18"/>
  <c r="J202" i="18"/>
  <c r="D202" i="18"/>
  <c r="B202" i="18"/>
  <c r="T201" i="18"/>
  <c r="J201" i="18"/>
  <c r="H201" i="18"/>
  <c r="Z199" i="18"/>
  <c r="X199" i="18"/>
  <c r="N199" i="18"/>
  <c r="L199" i="18"/>
  <c r="B199" i="18"/>
  <c r="X198" i="18"/>
  <c r="Z198" i="18" s="1"/>
  <c r="T198" i="18"/>
  <c r="P198" i="18"/>
  <c r="L198" i="18"/>
  <c r="N198" i="18" s="1"/>
  <c r="H198" i="18"/>
  <c r="D198" i="18"/>
  <c r="B198" i="18"/>
  <c r="Z197" i="18"/>
  <c r="X197" i="18"/>
  <c r="L197" i="18"/>
  <c r="N197" i="18" s="1"/>
  <c r="J197" i="18"/>
  <c r="B197" i="18"/>
  <c r="X196" i="18"/>
  <c r="Z196" i="18" s="1"/>
  <c r="N196" i="18"/>
  <c r="L196" i="18"/>
  <c r="B196" i="18"/>
  <c r="Z195" i="18"/>
  <c r="X195" i="18"/>
  <c r="N195" i="18"/>
  <c r="L195" i="18"/>
  <c r="J195" i="18"/>
  <c r="B195" i="18"/>
  <c r="T194" i="18"/>
  <c r="P194" i="18"/>
  <c r="L194" i="18"/>
  <c r="H194" i="18"/>
  <c r="D194" i="18"/>
  <c r="B194" i="18"/>
  <c r="Z193" i="18"/>
  <c r="X193" i="18"/>
  <c r="V193" i="18"/>
  <c r="N193" i="18"/>
  <c r="L193" i="18"/>
  <c r="J193" i="18"/>
  <c r="B193" i="18"/>
  <c r="Z192" i="18"/>
  <c r="T192" i="18"/>
  <c r="P192" i="18"/>
  <c r="X192" i="18" s="1"/>
  <c r="H192" i="18"/>
  <c r="N192" i="18" s="1"/>
  <c r="D192" i="18"/>
  <c r="B192" i="18"/>
  <c r="Z191" i="18"/>
  <c r="X191" i="18"/>
  <c r="N191" i="18"/>
  <c r="L191" i="18"/>
  <c r="B191" i="18"/>
  <c r="X190" i="18"/>
  <c r="Z190" i="18" s="1"/>
  <c r="L190" i="18"/>
  <c r="N190" i="18" s="1"/>
  <c r="B190" i="18"/>
  <c r="T189" i="18"/>
  <c r="P189" i="18"/>
  <c r="H189" i="18"/>
  <c r="N189" i="18" s="1"/>
  <c r="D189" i="18"/>
  <c r="L189" i="18" s="1"/>
  <c r="B189" i="18"/>
  <c r="X188" i="18"/>
  <c r="Z188" i="18" s="1"/>
  <c r="N188" i="18"/>
  <c r="L188" i="18"/>
  <c r="B188" i="18"/>
  <c r="Z187" i="18"/>
  <c r="X187" i="18"/>
  <c r="N187" i="18"/>
  <c r="L187" i="18"/>
  <c r="J187" i="18"/>
  <c r="B187" i="18"/>
  <c r="X186" i="18"/>
  <c r="Z186" i="18" s="1"/>
  <c r="N186" i="18"/>
  <c r="L186" i="18"/>
  <c r="B186" i="18"/>
  <c r="Z185" i="18"/>
  <c r="X185" i="18"/>
  <c r="L185" i="18"/>
  <c r="N185" i="18" s="1"/>
  <c r="J185" i="18"/>
  <c r="B185" i="18"/>
  <c r="X184" i="18"/>
  <c r="Z184" i="18" s="1"/>
  <c r="L184" i="18"/>
  <c r="N184" i="18" s="1"/>
  <c r="B184" i="18"/>
  <c r="Z183" i="18"/>
  <c r="X183" i="18"/>
  <c r="N183" i="18"/>
  <c r="L183" i="18"/>
  <c r="J183" i="18"/>
  <c r="B183" i="18"/>
  <c r="X182" i="18"/>
  <c r="Z182" i="18" s="1"/>
  <c r="N182" i="18"/>
  <c r="L182" i="18"/>
  <c r="B182" i="18"/>
  <c r="Z181" i="18"/>
  <c r="X181" i="18"/>
  <c r="L181" i="18"/>
  <c r="N181" i="18" s="1"/>
  <c r="J181" i="18"/>
  <c r="B181" i="18"/>
  <c r="X180" i="18"/>
  <c r="Z180" i="18" s="1"/>
  <c r="L180" i="18"/>
  <c r="N180" i="18" s="1"/>
  <c r="B180" i="18"/>
  <c r="Z179" i="18"/>
  <c r="X179" i="18"/>
  <c r="T179" i="18"/>
  <c r="P179" i="18"/>
  <c r="N179" i="18"/>
  <c r="H179" i="18"/>
  <c r="D179" i="18"/>
  <c r="L179" i="18" s="1"/>
  <c r="B179" i="18"/>
  <c r="Z178" i="18"/>
  <c r="X178" i="18"/>
  <c r="N178" i="18"/>
  <c r="L178" i="18"/>
  <c r="B178" i="18"/>
  <c r="X177" i="18"/>
  <c r="Z177" i="18" s="1"/>
  <c r="N177" i="18"/>
  <c r="L177" i="18"/>
  <c r="J177" i="18"/>
  <c r="B177" i="18"/>
  <c r="T176" i="18"/>
  <c r="P176" i="18"/>
  <c r="X176" i="18" s="1"/>
  <c r="Z176" i="18" s="1"/>
  <c r="H176" i="18"/>
  <c r="D176" i="18"/>
  <c r="L176" i="18" s="1"/>
  <c r="B176" i="18"/>
  <c r="Z175" i="18"/>
  <c r="X175" i="18"/>
  <c r="N175" i="18"/>
  <c r="L175" i="18"/>
  <c r="B175" i="18"/>
  <c r="X174" i="18"/>
  <c r="Z174" i="18" s="1"/>
  <c r="L174" i="18"/>
  <c r="N174" i="18" s="1"/>
  <c r="B174" i="18"/>
  <c r="Z173" i="18"/>
  <c r="X173" i="18"/>
  <c r="V173" i="18"/>
  <c r="N173" i="18"/>
  <c r="L173" i="18"/>
  <c r="B173" i="18"/>
  <c r="X172" i="18"/>
  <c r="Z172" i="18" s="1"/>
  <c r="L172" i="18"/>
  <c r="N172" i="18" s="1"/>
  <c r="B172" i="18"/>
  <c r="T171" i="18"/>
  <c r="Z171" i="18" s="1"/>
  <c r="P171" i="18"/>
  <c r="X171" i="18" s="1"/>
  <c r="J171" i="18"/>
  <c r="H171" i="18"/>
  <c r="D171" i="18"/>
  <c r="B171" i="18"/>
  <c r="X170" i="18"/>
  <c r="Z170" i="18" s="1"/>
  <c r="N170" i="18"/>
  <c r="L170" i="18"/>
  <c r="B170" i="18"/>
  <c r="Z169" i="18"/>
  <c r="X169" i="18"/>
  <c r="L169" i="18"/>
  <c r="N169" i="18" s="1"/>
  <c r="J169" i="18"/>
  <c r="B169" i="18"/>
  <c r="X168" i="18"/>
  <c r="Z168" i="18" s="1"/>
  <c r="N168" i="18"/>
  <c r="L168" i="18"/>
  <c r="B168" i="18"/>
  <c r="Z167" i="18"/>
  <c r="X167" i="18"/>
  <c r="N167" i="18"/>
  <c r="L167" i="18"/>
  <c r="J167" i="18"/>
  <c r="B167" i="18"/>
  <c r="T166" i="18"/>
  <c r="P166" i="18"/>
  <c r="L166" i="18"/>
  <c r="H166" i="18"/>
  <c r="D166" i="18"/>
  <c r="B166" i="18"/>
  <c r="X165" i="18"/>
  <c r="Z165" i="18" s="1"/>
  <c r="V165" i="18"/>
  <c r="N165" i="18"/>
  <c r="L165" i="18"/>
  <c r="J165" i="18"/>
  <c r="B165" i="18"/>
  <c r="X164" i="18"/>
  <c r="Z164" i="18" s="1"/>
  <c r="L164" i="18"/>
  <c r="N164" i="18" s="1"/>
  <c r="J164" i="18"/>
  <c r="B164" i="18"/>
  <c r="Z163" i="18"/>
  <c r="X163" i="18"/>
  <c r="V163" i="18"/>
  <c r="N163" i="18"/>
  <c r="L163" i="18"/>
  <c r="B163" i="18"/>
  <c r="Z162" i="18"/>
  <c r="T162" i="18"/>
  <c r="P162" i="18"/>
  <c r="X162" i="18" s="1"/>
  <c r="H162" i="18"/>
  <c r="D162" i="18"/>
  <c r="L162" i="18" s="1"/>
  <c r="N162" i="18" s="1"/>
  <c r="B162" i="18"/>
  <c r="Z161" i="18"/>
  <c r="X161" i="18"/>
  <c r="V161" i="18"/>
  <c r="N161" i="18"/>
  <c r="L161" i="18"/>
  <c r="B161" i="18"/>
  <c r="X160" i="18"/>
  <c r="Z160" i="18" s="1"/>
  <c r="T160" i="18"/>
  <c r="P160" i="18"/>
  <c r="L160" i="18"/>
  <c r="N160" i="18" s="1"/>
  <c r="H160" i="18"/>
  <c r="D160" i="18"/>
  <c r="B160" i="18"/>
  <c r="X159" i="18"/>
  <c r="Z159" i="18" s="1"/>
  <c r="N159" i="18"/>
  <c r="L159" i="18"/>
  <c r="J159" i="18"/>
  <c r="B159" i="18"/>
  <c r="T158" i="18"/>
  <c r="P158" i="18"/>
  <c r="H158" i="18"/>
  <c r="D158" i="18"/>
  <c r="B158" i="18"/>
  <c r="X157" i="18"/>
  <c r="Z157" i="18" s="1"/>
  <c r="N157" i="18"/>
  <c r="L157" i="18"/>
  <c r="J157" i="18"/>
  <c r="B157" i="18"/>
  <c r="T156" i="18"/>
  <c r="Z156" i="18" s="1"/>
  <c r="P156" i="18"/>
  <c r="X156" i="18" s="1"/>
  <c r="H156" i="18"/>
  <c r="D156" i="18"/>
  <c r="B156" i="18"/>
  <c r="Z155" i="18"/>
  <c r="X155" i="18"/>
  <c r="N155" i="18"/>
  <c r="L155" i="18"/>
  <c r="B155" i="18"/>
  <c r="X154" i="18"/>
  <c r="Z154" i="18" s="1"/>
  <c r="T154" i="18"/>
  <c r="P154" i="18"/>
  <c r="J154" i="18"/>
  <c r="H154" i="18"/>
  <c r="D154" i="18"/>
  <c r="L154" i="18" s="1"/>
  <c r="N154" i="18" s="1"/>
  <c r="B154" i="18"/>
  <c r="Z153" i="18"/>
  <c r="X153" i="18"/>
  <c r="L153" i="18"/>
  <c r="N153" i="18" s="1"/>
  <c r="J153" i="18"/>
  <c r="B153" i="18"/>
  <c r="X152" i="18"/>
  <c r="Z152" i="18" s="1"/>
  <c r="L152" i="18"/>
  <c r="N152" i="18" s="1"/>
  <c r="B152" i="18"/>
  <c r="Z151" i="18"/>
  <c r="X151" i="18"/>
  <c r="T151" i="18"/>
  <c r="P151" i="18"/>
  <c r="N151" i="18"/>
  <c r="H151" i="18"/>
  <c r="D151" i="18"/>
  <c r="L151" i="18" s="1"/>
  <c r="B151" i="18"/>
  <c r="Z150" i="18"/>
  <c r="X150" i="18"/>
  <c r="L150" i="18"/>
  <c r="N150" i="18" s="1"/>
  <c r="B150" i="18"/>
  <c r="X149" i="18"/>
  <c r="Z149" i="18" s="1"/>
  <c r="V149" i="18"/>
  <c r="N149" i="18"/>
  <c r="L149" i="18"/>
  <c r="J149" i="18"/>
  <c r="B149" i="18"/>
  <c r="T148" i="18"/>
  <c r="P148" i="18"/>
  <c r="X148" i="18" s="1"/>
  <c r="Z148" i="18" s="1"/>
  <c r="H148" i="18"/>
  <c r="D148" i="18"/>
  <c r="B148" i="18"/>
  <c r="Z147" i="18"/>
  <c r="X147" i="18"/>
  <c r="N147" i="18"/>
  <c r="L147" i="18"/>
  <c r="B147" i="18"/>
  <c r="X146" i="18"/>
  <c r="Z146" i="18" s="1"/>
  <c r="T146" i="18"/>
  <c r="P146" i="18"/>
  <c r="J146" i="18"/>
  <c r="H146" i="18"/>
  <c r="D146" i="18"/>
  <c r="L146" i="18" s="1"/>
  <c r="N146" i="18" s="1"/>
  <c r="B146" i="18"/>
  <c r="Z145" i="18"/>
  <c r="X145" i="18"/>
  <c r="L145" i="18"/>
  <c r="N145" i="18" s="1"/>
  <c r="J145" i="18"/>
  <c r="B145" i="18"/>
  <c r="X144" i="18"/>
  <c r="T144" i="18"/>
  <c r="P144" i="18"/>
  <c r="H144" i="18"/>
  <c r="D144" i="18"/>
  <c r="L144" i="18" s="1"/>
  <c r="B144" i="18"/>
  <c r="Z143" i="18"/>
  <c r="X143" i="18"/>
  <c r="N143" i="18"/>
  <c r="L143" i="18"/>
  <c r="B143" i="18"/>
  <c r="Z142" i="18"/>
  <c r="X142" i="18"/>
  <c r="N142" i="18"/>
  <c r="L142" i="18"/>
  <c r="B142" i="18"/>
  <c r="V141" i="18"/>
  <c r="T141" i="18"/>
  <c r="P141" i="18"/>
  <c r="N141" i="18"/>
  <c r="L141" i="18"/>
  <c r="J141" i="18"/>
  <c r="H141" i="18"/>
  <c r="D141" i="18"/>
  <c r="B141" i="18"/>
  <c r="X140" i="18"/>
  <c r="Z140" i="18" s="1"/>
  <c r="V140" i="18"/>
  <c r="L140" i="18"/>
  <c r="N140" i="18" s="1"/>
  <c r="B140" i="18"/>
  <c r="T139" i="18"/>
  <c r="Z139" i="18" s="1"/>
  <c r="P139" i="18"/>
  <c r="X139" i="18" s="1"/>
  <c r="J139" i="18"/>
  <c r="H139" i="18"/>
  <c r="N139" i="18" s="1"/>
  <c r="D139" i="18"/>
  <c r="L139" i="18" s="1"/>
  <c r="B139" i="18"/>
  <c r="X138" i="18"/>
  <c r="Z138" i="18" s="1"/>
  <c r="N138" i="18"/>
  <c r="L138" i="18"/>
  <c r="B138" i="18"/>
  <c r="Z137" i="18"/>
  <c r="X137" i="18"/>
  <c r="N137" i="18"/>
  <c r="L137" i="18"/>
  <c r="J137" i="18"/>
  <c r="B137" i="18"/>
  <c r="T136" i="18"/>
  <c r="P136" i="18"/>
  <c r="H136" i="18"/>
  <c r="D136" i="18"/>
  <c r="B136" i="18"/>
  <c r="Z135" i="18"/>
  <c r="X135" i="18"/>
  <c r="N135" i="18"/>
  <c r="L135" i="18"/>
  <c r="B135" i="18"/>
  <c r="Z134" i="18"/>
  <c r="T134" i="18"/>
  <c r="P134" i="18"/>
  <c r="X134" i="18" s="1"/>
  <c r="H134" i="18"/>
  <c r="D134" i="18"/>
  <c r="L134" i="18" s="1"/>
  <c r="N134" i="18" s="1"/>
  <c r="B134" i="18"/>
  <c r="Z133" i="18"/>
  <c r="X133" i="18"/>
  <c r="N133" i="18"/>
  <c r="L133" i="18"/>
  <c r="B133" i="18"/>
  <c r="X132" i="18"/>
  <c r="Z132" i="18" s="1"/>
  <c r="L132" i="18"/>
  <c r="N132" i="18" s="1"/>
  <c r="B132" i="18"/>
  <c r="T131" i="18"/>
  <c r="Z131" i="18" s="1"/>
  <c r="P131" i="18"/>
  <c r="X131" i="18" s="1"/>
  <c r="J131" i="18"/>
  <c r="H131" i="18"/>
  <c r="N131" i="18" s="1"/>
  <c r="D131" i="18"/>
  <c r="L131" i="18" s="1"/>
  <c r="B131" i="18"/>
  <c r="X130" i="18"/>
  <c r="Z130" i="18" s="1"/>
  <c r="N130" i="18"/>
  <c r="L130" i="18"/>
  <c r="B130" i="18"/>
  <c r="T129" i="18"/>
  <c r="P129" i="18"/>
  <c r="X129" i="18" s="1"/>
  <c r="Z129" i="18" s="1"/>
  <c r="N129" i="18"/>
  <c r="L129" i="18"/>
  <c r="H129" i="18"/>
  <c r="D129" i="18"/>
  <c r="B129" i="18"/>
  <c r="Z128" i="18"/>
  <c r="X128" i="18"/>
  <c r="N128" i="18"/>
  <c r="L128" i="18"/>
  <c r="J128" i="18"/>
  <c r="B128" i="18"/>
  <c r="Z127" i="18"/>
  <c r="X127" i="18"/>
  <c r="V127" i="18"/>
  <c r="N127" i="18"/>
  <c r="L127" i="18"/>
  <c r="B127" i="18"/>
  <c r="Z126" i="18"/>
  <c r="X126" i="18"/>
  <c r="L126" i="18"/>
  <c r="N126" i="18" s="1"/>
  <c r="B126" i="18"/>
  <c r="X125" i="18"/>
  <c r="Z125" i="18" s="1"/>
  <c r="V125" i="18"/>
  <c r="N125" i="18"/>
  <c r="L125" i="18"/>
  <c r="J125" i="18"/>
  <c r="B125" i="18"/>
  <c r="Z124" i="18"/>
  <c r="X124" i="18"/>
  <c r="N124" i="18"/>
  <c r="L124" i="18"/>
  <c r="J124" i="18"/>
  <c r="B124" i="18"/>
  <c r="Z123" i="18"/>
  <c r="X123" i="18"/>
  <c r="V123" i="18"/>
  <c r="N123" i="18"/>
  <c r="L123" i="18"/>
  <c r="B123" i="18"/>
  <c r="Z122" i="18"/>
  <c r="X122" i="18"/>
  <c r="L122" i="18"/>
  <c r="N122" i="18" s="1"/>
  <c r="B122" i="18"/>
  <c r="Z121" i="18"/>
  <c r="X121" i="18"/>
  <c r="N121" i="18"/>
  <c r="L121" i="18"/>
  <c r="J121" i="18"/>
  <c r="B121" i="18"/>
  <c r="Z120" i="18"/>
  <c r="X120" i="18"/>
  <c r="L120" i="18"/>
  <c r="N120" i="18" s="1"/>
  <c r="J120" i="18"/>
  <c r="B120" i="18"/>
  <c r="Z119" i="18"/>
  <c r="X119" i="18"/>
  <c r="V119" i="18"/>
  <c r="N119" i="18"/>
  <c r="L119" i="18"/>
  <c r="B119" i="18"/>
  <c r="T118" i="18"/>
  <c r="P118" i="18"/>
  <c r="H118" i="18"/>
  <c r="D118" i="18"/>
  <c r="L118" i="18" s="1"/>
  <c r="N118" i="18" s="1"/>
  <c r="B118" i="18"/>
  <c r="Z117" i="18"/>
  <c r="X117" i="18"/>
  <c r="V117" i="18"/>
  <c r="N117" i="18"/>
  <c r="L117" i="18"/>
  <c r="B117" i="18"/>
  <c r="X116" i="18"/>
  <c r="Z116" i="18" s="1"/>
  <c r="V116" i="18"/>
  <c r="L116" i="18"/>
  <c r="N116" i="18" s="1"/>
  <c r="B116" i="18"/>
  <c r="Z115" i="18"/>
  <c r="X115" i="18"/>
  <c r="L115" i="18"/>
  <c r="N115" i="18" s="1"/>
  <c r="B115" i="18"/>
  <c r="Z114" i="18"/>
  <c r="X114" i="18"/>
  <c r="N114" i="18"/>
  <c r="L114" i="18"/>
  <c r="B114" i="18"/>
  <c r="Z113" i="18"/>
  <c r="X113" i="18"/>
  <c r="V113" i="18"/>
  <c r="N113" i="18"/>
  <c r="L113" i="18"/>
  <c r="B113" i="18"/>
  <c r="X112" i="18"/>
  <c r="Z112" i="18" s="1"/>
  <c r="L112" i="18"/>
  <c r="N112" i="18" s="1"/>
  <c r="B112" i="18"/>
  <c r="Z111" i="18"/>
  <c r="X111" i="18"/>
  <c r="N111" i="18"/>
  <c r="L111" i="18"/>
  <c r="B111" i="18"/>
  <c r="X110" i="18"/>
  <c r="Z110" i="18" s="1"/>
  <c r="L110" i="18"/>
  <c r="N110" i="18" s="1"/>
  <c r="B110" i="18"/>
  <c r="Z109" i="18"/>
  <c r="X109" i="18"/>
  <c r="V109" i="18"/>
  <c r="N109" i="18"/>
  <c r="L109" i="18"/>
  <c r="B109" i="18"/>
  <c r="X108" i="18"/>
  <c r="Z108" i="18" s="1"/>
  <c r="L108" i="18"/>
  <c r="N108" i="18" s="1"/>
  <c r="B108" i="18"/>
  <c r="T107" i="18"/>
  <c r="P107" i="18"/>
  <c r="X107" i="18" s="1"/>
  <c r="J107" i="18"/>
  <c r="H107" i="18"/>
  <c r="D107" i="18"/>
  <c r="L107" i="18" s="1"/>
  <c r="B107" i="18"/>
  <c r="T106" i="18"/>
  <c r="P106" i="18"/>
  <c r="H106" i="18"/>
  <c r="D106" i="18"/>
  <c r="T104" i="18"/>
  <c r="Z102" i="18"/>
  <c r="X102" i="18"/>
  <c r="N102" i="18"/>
  <c r="L102" i="18"/>
  <c r="B102" i="18"/>
  <c r="Z101" i="18"/>
  <c r="X101" i="18"/>
  <c r="N101" i="18"/>
  <c r="L101" i="18"/>
  <c r="J101" i="18"/>
  <c r="B101" i="18"/>
  <c r="Z100" i="18"/>
  <c r="X100" i="18"/>
  <c r="N100" i="18"/>
  <c r="L100" i="18"/>
  <c r="B100" i="18"/>
  <c r="Z99" i="18"/>
  <c r="X99" i="18"/>
  <c r="N99" i="18"/>
  <c r="L99" i="18"/>
  <c r="J99" i="18"/>
  <c r="B99" i="18"/>
  <c r="Z98" i="18"/>
  <c r="X98" i="18"/>
  <c r="N98" i="18"/>
  <c r="L98" i="18"/>
  <c r="B98" i="18"/>
  <c r="Z97" i="18"/>
  <c r="X97" i="18"/>
  <c r="N97" i="18"/>
  <c r="L97" i="18"/>
  <c r="J97" i="18"/>
  <c r="B97" i="18"/>
  <c r="Z96" i="18"/>
  <c r="X96" i="18"/>
  <c r="N96" i="18"/>
  <c r="L96" i="18"/>
  <c r="B96" i="18"/>
  <c r="Z95" i="18"/>
  <c r="X95" i="18"/>
  <c r="N95" i="18"/>
  <c r="L95" i="18"/>
  <c r="J95" i="18"/>
  <c r="B95" i="18"/>
  <c r="Z94" i="18"/>
  <c r="X94" i="18"/>
  <c r="N94" i="18"/>
  <c r="L94" i="18"/>
  <c r="B94" i="18"/>
  <c r="Z93" i="18"/>
  <c r="X93" i="18"/>
  <c r="N93" i="18"/>
  <c r="L93" i="18"/>
  <c r="J93" i="18"/>
  <c r="B93" i="18"/>
  <c r="Z92" i="18"/>
  <c r="X92" i="18"/>
  <c r="N92" i="18"/>
  <c r="L92" i="18"/>
  <c r="B92" i="18"/>
  <c r="Z91" i="18"/>
  <c r="X91" i="18"/>
  <c r="N91" i="18"/>
  <c r="L91" i="18"/>
  <c r="J91" i="18"/>
  <c r="B91" i="18"/>
  <c r="Z90" i="18"/>
  <c r="X90" i="18"/>
  <c r="N90" i="18"/>
  <c r="L90" i="18"/>
  <c r="B90" i="18"/>
  <c r="Z89" i="18"/>
  <c r="X89" i="18"/>
  <c r="N89" i="18"/>
  <c r="L89" i="18"/>
  <c r="J89" i="18"/>
  <c r="B89" i="18"/>
  <c r="Z88" i="18"/>
  <c r="X88" i="18"/>
  <c r="N88" i="18"/>
  <c r="L88" i="18"/>
  <c r="B88" i="18"/>
  <c r="Z87" i="18"/>
  <c r="X87" i="18"/>
  <c r="N87" i="18"/>
  <c r="L87" i="18"/>
  <c r="J87" i="18"/>
  <c r="B87" i="18"/>
  <c r="Z86" i="18"/>
  <c r="X86" i="18"/>
  <c r="N86" i="18"/>
  <c r="L86" i="18"/>
  <c r="B86" i="18"/>
  <c r="Z85" i="18"/>
  <c r="X85" i="18"/>
  <c r="N85" i="18"/>
  <c r="L85" i="18"/>
  <c r="J85" i="18"/>
  <c r="B85" i="18"/>
  <c r="Z84" i="18"/>
  <c r="X84" i="18"/>
  <c r="N84" i="18"/>
  <c r="L84" i="18"/>
  <c r="B84" i="18"/>
  <c r="Z83" i="18"/>
  <c r="X83" i="18"/>
  <c r="N83" i="18"/>
  <c r="L83" i="18"/>
  <c r="J83" i="18"/>
  <c r="B83" i="18"/>
  <c r="Z82" i="18"/>
  <c r="X82" i="18"/>
  <c r="N82" i="18"/>
  <c r="L82" i="18"/>
  <c r="B82" i="18"/>
  <c r="Z81" i="18"/>
  <c r="X81" i="18"/>
  <c r="N81" i="18"/>
  <c r="L81" i="18"/>
  <c r="J81" i="18"/>
  <c r="B81" i="18"/>
  <c r="Z80" i="18"/>
  <c r="X80" i="18"/>
  <c r="V80" i="18"/>
  <c r="N80" i="18"/>
  <c r="L80" i="18"/>
  <c r="B80" i="18"/>
  <c r="Z79" i="18"/>
  <c r="X79" i="18"/>
  <c r="N79" i="18"/>
  <c r="L79" i="18"/>
  <c r="J79" i="18"/>
  <c r="B79" i="18"/>
  <c r="Z78" i="18"/>
  <c r="X78" i="18"/>
  <c r="N78" i="18"/>
  <c r="L78" i="18"/>
  <c r="B78" i="18"/>
  <c r="Z77" i="18"/>
  <c r="X77" i="18"/>
  <c r="N77" i="18"/>
  <c r="L77" i="18"/>
  <c r="J77" i="18"/>
  <c r="B77" i="18"/>
  <c r="Z76" i="18"/>
  <c r="X76" i="18"/>
  <c r="V76" i="18"/>
  <c r="N76" i="18"/>
  <c r="L76" i="18"/>
  <c r="B76" i="18"/>
  <c r="Z75" i="18"/>
  <c r="X75" i="18"/>
  <c r="N75" i="18"/>
  <c r="L75" i="18"/>
  <c r="J75" i="18"/>
  <c r="B75" i="18"/>
  <c r="T74" i="18"/>
  <c r="P74" i="18"/>
  <c r="X74" i="18" s="1"/>
  <c r="J74" i="18"/>
  <c r="H74" i="18"/>
  <c r="H104" i="18" s="1"/>
  <c r="D74" i="18"/>
  <c r="Z72" i="18"/>
  <c r="P72" i="18"/>
  <c r="X72" i="18" s="1"/>
  <c r="N72" i="18"/>
  <c r="L72" i="18"/>
  <c r="D72" i="18"/>
  <c r="B72" i="18"/>
  <c r="Z71" i="18"/>
  <c r="X71" i="18"/>
  <c r="P71" i="18"/>
  <c r="N71" i="18"/>
  <c r="L71" i="18"/>
  <c r="D71" i="18"/>
  <c r="B71" i="18"/>
  <c r="Z70" i="18"/>
  <c r="X70" i="18"/>
  <c r="P70" i="18"/>
  <c r="N70" i="18"/>
  <c r="D70" i="18"/>
  <c r="L70" i="18" s="1"/>
  <c r="B70" i="18"/>
  <c r="Z69" i="18"/>
  <c r="P69" i="18"/>
  <c r="X69" i="18" s="1"/>
  <c r="N69" i="18"/>
  <c r="D69" i="18"/>
  <c r="L69" i="18" s="1"/>
  <c r="B69" i="18"/>
  <c r="Z68" i="18"/>
  <c r="X68" i="18"/>
  <c r="P68" i="18"/>
  <c r="N68" i="18"/>
  <c r="L68" i="18"/>
  <c r="D68" i="18"/>
  <c r="B68" i="18"/>
  <c r="Z67" i="18"/>
  <c r="P67" i="18"/>
  <c r="X67" i="18" s="1"/>
  <c r="N67" i="18"/>
  <c r="D67" i="18"/>
  <c r="L67" i="18" s="1"/>
  <c r="B67" i="18"/>
  <c r="Z66" i="18"/>
  <c r="X66" i="18"/>
  <c r="P66" i="18"/>
  <c r="N66" i="18"/>
  <c r="D66" i="18"/>
  <c r="L66" i="18" s="1"/>
  <c r="B66" i="18"/>
  <c r="Z65" i="18"/>
  <c r="P65" i="18"/>
  <c r="X65" i="18" s="1"/>
  <c r="N65" i="18"/>
  <c r="L65" i="18"/>
  <c r="D65" i="18"/>
  <c r="B65" i="18"/>
  <c r="Z64" i="18"/>
  <c r="X64" i="18"/>
  <c r="P64" i="18"/>
  <c r="N64" i="18"/>
  <c r="D64" i="18"/>
  <c r="L64" i="18" s="1"/>
  <c r="B64" i="18"/>
  <c r="Z63" i="18"/>
  <c r="X63" i="18"/>
  <c r="P63" i="18"/>
  <c r="N63" i="18"/>
  <c r="L63" i="18"/>
  <c r="D63" i="18"/>
  <c r="B63" i="18"/>
  <c r="Z62" i="18"/>
  <c r="X62" i="18"/>
  <c r="P62" i="18"/>
  <c r="N62" i="18"/>
  <c r="D62" i="18"/>
  <c r="L62" i="18" s="1"/>
  <c r="B62" i="18"/>
  <c r="Z61" i="18"/>
  <c r="P61" i="18"/>
  <c r="X61" i="18" s="1"/>
  <c r="N61" i="18"/>
  <c r="L61" i="18"/>
  <c r="D61" i="18"/>
  <c r="B61" i="18"/>
  <c r="Z60" i="18"/>
  <c r="P60" i="18"/>
  <c r="X60" i="18" s="1"/>
  <c r="N60" i="18"/>
  <c r="L60" i="18"/>
  <c r="D60" i="18"/>
  <c r="B60" i="18"/>
  <c r="Z59" i="18"/>
  <c r="X59" i="18"/>
  <c r="P59" i="18"/>
  <c r="N59" i="18"/>
  <c r="L59" i="18"/>
  <c r="D59" i="18"/>
  <c r="B59" i="18"/>
  <c r="Z58" i="18"/>
  <c r="X58" i="18"/>
  <c r="P58" i="18"/>
  <c r="N58" i="18"/>
  <c r="D58" i="18"/>
  <c r="L58" i="18" s="1"/>
  <c r="B58" i="18"/>
  <c r="Z57" i="18"/>
  <c r="P57" i="18"/>
  <c r="X57" i="18" s="1"/>
  <c r="N57" i="18"/>
  <c r="D57" i="18"/>
  <c r="L57" i="18" s="1"/>
  <c r="B57" i="18"/>
  <c r="Z56" i="18"/>
  <c r="X56" i="18"/>
  <c r="P56" i="18"/>
  <c r="N56" i="18"/>
  <c r="D56" i="18"/>
  <c r="L56" i="18" s="1"/>
  <c r="B56" i="18"/>
  <c r="Z55" i="18"/>
  <c r="P55" i="18"/>
  <c r="X55" i="18" s="1"/>
  <c r="N55" i="18"/>
  <c r="D55" i="18"/>
  <c r="L55" i="18" s="1"/>
  <c r="B55" i="18"/>
  <c r="Z54" i="18"/>
  <c r="X54" i="18"/>
  <c r="P54" i="18"/>
  <c r="N54" i="18"/>
  <c r="D54" i="18"/>
  <c r="L54" i="18" s="1"/>
  <c r="B54" i="18"/>
  <c r="Z53" i="18"/>
  <c r="P53" i="18"/>
  <c r="X53" i="18" s="1"/>
  <c r="N53" i="18"/>
  <c r="L53" i="18"/>
  <c r="D53" i="18"/>
  <c r="B53" i="18"/>
  <c r="Z52" i="18"/>
  <c r="X52" i="18"/>
  <c r="P52" i="18"/>
  <c r="N52" i="18"/>
  <c r="D52" i="18"/>
  <c r="L52" i="18" s="1"/>
  <c r="B52" i="18"/>
  <c r="Z51" i="18"/>
  <c r="P51" i="18"/>
  <c r="X51" i="18" s="1"/>
  <c r="N51" i="18"/>
  <c r="L51" i="18"/>
  <c r="D51" i="18"/>
  <c r="B51" i="18"/>
  <c r="Z50" i="18"/>
  <c r="X50" i="18"/>
  <c r="P50" i="18"/>
  <c r="N50" i="18"/>
  <c r="D50" i="18"/>
  <c r="L50" i="18" s="1"/>
  <c r="B50" i="18"/>
  <c r="Z49" i="18"/>
  <c r="P49" i="18"/>
  <c r="X49" i="18" s="1"/>
  <c r="N49" i="18"/>
  <c r="L49" i="18"/>
  <c r="D49" i="18"/>
  <c r="B49" i="18"/>
  <c r="Z48" i="18"/>
  <c r="P48" i="18"/>
  <c r="X48" i="18" s="1"/>
  <c r="N48" i="18"/>
  <c r="L48" i="18"/>
  <c r="D48" i="18"/>
  <c r="B48" i="18"/>
  <c r="Z47" i="18"/>
  <c r="X47" i="18"/>
  <c r="P47" i="18"/>
  <c r="N47" i="18"/>
  <c r="L47" i="18"/>
  <c r="D47" i="18"/>
  <c r="B47" i="18"/>
  <c r="Z46" i="18"/>
  <c r="P46" i="18"/>
  <c r="X46" i="18" s="1"/>
  <c r="N46" i="18"/>
  <c r="D46" i="18"/>
  <c r="L46" i="18" s="1"/>
  <c r="B46" i="18"/>
  <c r="Z45" i="18"/>
  <c r="P45" i="18"/>
  <c r="X45" i="18" s="1"/>
  <c r="N45" i="18"/>
  <c r="D45" i="18"/>
  <c r="L45" i="18" s="1"/>
  <c r="B45" i="18"/>
  <c r="Z44" i="18"/>
  <c r="X44" i="18"/>
  <c r="P44" i="18"/>
  <c r="N44" i="18"/>
  <c r="D44" i="18"/>
  <c r="L44" i="18" s="1"/>
  <c r="B44" i="18"/>
  <c r="Z43" i="18"/>
  <c r="P43" i="18"/>
  <c r="X43" i="18" s="1"/>
  <c r="N43" i="18"/>
  <c r="L43" i="18"/>
  <c r="D43" i="18"/>
  <c r="B43" i="18"/>
  <c r="Z42" i="18"/>
  <c r="P42" i="18"/>
  <c r="X42" i="18" s="1"/>
  <c r="N42" i="18"/>
  <c r="D42" i="18"/>
  <c r="L42" i="18" s="1"/>
  <c r="B42" i="18"/>
  <c r="Z41" i="18"/>
  <c r="P41" i="18"/>
  <c r="X41" i="18" s="1"/>
  <c r="N41" i="18"/>
  <c r="L41" i="18"/>
  <c r="D41" i="18"/>
  <c r="B41" i="18"/>
  <c r="Z40" i="18"/>
  <c r="X40" i="18"/>
  <c r="P40" i="18"/>
  <c r="N40" i="18"/>
  <c r="D40" i="18"/>
  <c r="L40" i="18" s="1"/>
  <c r="B40" i="18"/>
  <c r="Z39" i="18"/>
  <c r="P39" i="18"/>
  <c r="X39" i="18" s="1"/>
  <c r="N39" i="18"/>
  <c r="D39" i="18"/>
  <c r="L39" i="18" s="1"/>
  <c r="B39" i="18"/>
  <c r="Z38" i="18"/>
  <c r="X38" i="18"/>
  <c r="P38" i="18"/>
  <c r="N38" i="18"/>
  <c r="D38" i="18"/>
  <c r="L38" i="18" s="1"/>
  <c r="B38" i="18"/>
  <c r="Z37" i="18"/>
  <c r="P37" i="18"/>
  <c r="X37" i="18" s="1"/>
  <c r="N37" i="18"/>
  <c r="L37" i="18"/>
  <c r="D37" i="18"/>
  <c r="B37" i="18"/>
  <c r="Z36" i="18"/>
  <c r="P36" i="18"/>
  <c r="X36" i="18" s="1"/>
  <c r="N36" i="18"/>
  <c r="L36" i="18"/>
  <c r="D36" i="18"/>
  <c r="B36" i="18"/>
  <c r="Z35" i="18"/>
  <c r="P35" i="18"/>
  <c r="X35" i="18" s="1"/>
  <c r="N35" i="18"/>
  <c r="L35" i="18"/>
  <c r="D35" i="18"/>
  <c r="B35" i="18"/>
  <c r="Z34" i="18"/>
  <c r="P34" i="18"/>
  <c r="X34" i="18" s="1"/>
  <c r="N34" i="18"/>
  <c r="D34" i="18"/>
  <c r="L34" i="18" s="1"/>
  <c r="B34" i="18"/>
  <c r="Z33" i="18"/>
  <c r="P33" i="18"/>
  <c r="X33" i="18" s="1"/>
  <c r="D33" i="18"/>
  <c r="L33" i="18" s="1"/>
  <c r="N33" i="18" s="1"/>
  <c r="B33" i="18"/>
  <c r="Z32" i="18"/>
  <c r="X32" i="18"/>
  <c r="P32" i="18"/>
  <c r="N32" i="18"/>
  <c r="L32" i="18"/>
  <c r="D32" i="18"/>
  <c r="B32" i="18"/>
  <c r="Z31" i="18"/>
  <c r="P31" i="18"/>
  <c r="X31" i="18" s="1"/>
  <c r="N31" i="18"/>
  <c r="D31" i="18"/>
  <c r="L31" i="18" s="1"/>
  <c r="B31" i="18"/>
  <c r="Z30" i="18"/>
  <c r="X30" i="18"/>
  <c r="P30" i="18"/>
  <c r="N30" i="18"/>
  <c r="D30" i="18"/>
  <c r="L30" i="18" s="1"/>
  <c r="B30" i="18"/>
  <c r="Z29" i="18"/>
  <c r="P29" i="18"/>
  <c r="X29" i="18" s="1"/>
  <c r="N29" i="18"/>
  <c r="L29" i="18"/>
  <c r="D29" i="18"/>
  <c r="B29" i="18"/>
  <c r="Z28" i="18"/>
  <c r="X28" i="18"/>
  <c r="P28" i="18"/>
  <c r="N28" i="18"/>
  <c r="D28" i="18"/>
  <c r="L28" i="18" s="1"/>
  <c r="B28" i="18"/>
  <c r="Z27" i="18"/>
  <c r="P27" i="18"/>
  <c r="X27" i="18" s="1"/>
  <c r="N27" i="18"/>
  <c r="L27" i="18"/>
  <c r="D27" i="18"/>
  <c r="B27" i="18"/>
  <c r="Z26" i="18"/>
  <c r="X26" i="18"/>
  <c r="P26" i="18"/>
  <c r="N26" i="18"/>
  <c r="L26" i="18"/>
  <c r="D26" i="18"/>
  <c r="B26" i="18"/>
  <c r="Z25" i="18"/>
  <c r="P25" i="18"/>
  <c r="X25" i="18" s="1"/>
  <c r="N25" i="18"/>
  <c r="L25" i="18"/>
  <c r="D25" i="18"/>
  <c r="B25" i="18"/>
  <c r="Z24" i="18"/>
  <c r="P24" i="18"/>
  <c r="X24" i="18" s="1"/>
  <c r="N24" i="18"/>
  <c r="L24" i="18"/>
  <c r="D24" i="18"/>
  <c r="B24" i="18"/>
  <c r="Z23" i="18"/>
  <c r="P23" i="18"/>
  <c r="X23" i="18" s="1"/>
  <c r="N23" i="18"/>
  <c r="L23" i="18"/>
  <c r="D23" i="18"/>
  <c r="B23" i="18"/>
  <c r="Z22" i="18"/>
  <c r="P22" i="18"/>
  <c r="X22" i="18" s="1"/>
  <c r="N22" i="18"/>
  <c r="D22" i="18"/>
  <c r="L22" i="18" s="1"/>
  <c r="B22" i="18"/>
  <c r="Z21" i="18"/>
  <c r="P21" i="18"/>
  <c r="X21" i="18" s="1"/>
  <c r="N21" i="18"/>
  <c r="D21" i="18"/>
  <c r="L21" i="18" s="1"/>
  <c r="B21" i="18"/>
  <c r="Z20" i="18"/>
  <c r="X20" i="18"/>
  <c r="P20" i="18"/>
  <c r="N20" i="18"/>
  <c r="D20" i="18"/>
  <c r="L20" i="18" s="1"/>
  <c r="B20" i="18"/>
  <c r="Z19" i="18"/>
  <c r="P19" i="18"/>
  <c r="X19" i="18" s="1"/>
  <c r="N19" i="18"/>
  <c r="D19" i="18"/>
  <c r="L19" i="18" s="1"/>
  <c r="B19" i="18"/>
  <c r="Z18" i="18"/>
  <c r="P18" i="18"/>
  <c r="X18" i="18" s="1"/>
  <c r="N18" i="18"/>
  <c r="D18" i="18"/>
  <c r="L18" i="18" s="1"/>
  <c r="B18" i="18"/>
  <c r="Z17" i="18"/>
  <c r="X17" i="18"/>
  <c r="P17" i="18"/>
  <c r="N17" i="18"/>
  <c r="L17" i="18"/>
  <c r="D17" i="18"/>
  <c r="B17" i="18"/>
  <c r="Z16" i="18"/>
  <c r="X16" i="18"/>
  <c r="P16" i="18"/>
  <c r="N16" i="18"/>
  <c r="D16" i="18"/>
  <c r="L16" i="18" s="1"/>
  <c r="B16" i="18"/>
  <c r="Z15" i="18"/>
  <c r="P15" i="18"/>
  <c r="X15" i="18" s="1"/>
  <c r="N15" i="18"/>
  <c r="D15" i="18"/>
  <c r="L15" i="18" s="1"/>
  <c r="B15" i="18"/>
  <c r="Z14" i="18"/>
  <c r="X14" i="18"/>
  <c r="P14" i="18"/>
  <c r="N14" i="18"/>
  <c r="D14" i="18"/>
  <c r="B14" i="18"/>
  <c r="P13" i="18"/>
  <c r="X13" i="18" s="1"/>
  <c r="Z13" i="18" s="1"/>
  <c r="L13" i="18"/>
  <c r="N13" i="18" s="1"/>
  <c r="D13" i="18"/>
  <c r="B13" i="18"/>
  <c r="T12" i="18"/>
  <c r="V160" i="18" s="1"/>
  <c r="H12" i="18"/>
  <c r="J205" i="18" s="1"/>
  <c r="D4" i="18"/>
  <c r="X190" i="15"/>
  <c r="Z190" i="15" s="1"/>
  <c r="L190" i="15"/>
  <c r="N190" i="15" s="1"/>
  <c r="Z186" i="15"/>
  <c r="X186" i="15"/>
  <c r="V186" i="15"/>
  <c r="P186" i="15"/>
  <c r="N186" i="15"/>
  <c r="D186" i="15"/>
  <c r="L186" i="15" s="1"/>
  <c r="B186" i="15"/>
  <c r="Z185" i="15"/>
  <c r="X185" i="15"/>
  <c r="P185" i="15"/>
  <c r="N185" i="15"/>
  <c r="D185" i="15"/>
  <c r="L185" i="15" s="1"/>
  <c r="B185" i="15"/>
  <c r="V184" i="15"/>
  <c r="P184" i="15"/>
  <c r="P182" i="15" s="1"/>
  <c r="X182" i="15" s="1"/>
  <c r="D184" i="15"/>
  <c r="L184" i="15" s="1"/>
  <c r="N184" i="15" s="1"/>
  <c r="B184" i="15"/>
  <c r="V183" i="15"/>
  <c r="P183" i="15"/>
  <c r="X183" i="15" s="1"/>
  <c r="Z183" i="15" s="1"/>
  <c r="D183" i="15"/>
  <c r="L183" i="15" s="1"/>
  <c r="N183" i="15" s="1"/>
  <c r="B183" i="15"/>
  <c r="T182" i="15"/>
  <c r="H182" i="15"/>
  <c r="D182" i="15"/>
  <c r="L182" i="15" s="1"/>
  <c r="N182" i="15" s="1"/>
  <c r="X180" i="15"/>
  <c r="Z180" i="15" s="1"/>
  <c r="N180" i="15"/>
  <c r="L180" i="15"/>
  <c r="B180" i="15"/>
  <c r="V179" i="15"/>
  <c r="T179" i="15"/>
  <c r="P179" i="15"/>
  <c r="L179" i="15"/>
  <c r="H179" i="15"/>
  <c r="N179" i="15" s="1"/>
  <c r="D179" i="15"/>
  <c r="B179" i="15"/>
  <c r="X178" i="15"/>
  <c r="Z178" i="15" s="1"/>
  <c r="V178" i="15"/>
  <c r="L178" i="15"/>
  <c r="N178" i="15" s="1"/>
  <c r="J178" i="15"/>
  <c r="B178" i="15"/>
  <c r="X177" i="15"/>
  <c r="Z177" i="15" s="1"/>
  <c r="N177" i="15"/>
  <c r="L177" i="15"/>
  <c r="B177" i="15"/>
  <c r="Z176" i="15"/>
  <c r="X176" i="15"/>
  <c r="V176" i="15"/>
  <c r="N176" i="15"/>
  <c r="L176" i="15"/>
  <c r="B176" i="15"/>
  <c r="V175" i="15"/>
  <c r="T175" i="15"/>
  <c r="P175" i="15"/>
  <c r="X175" i="15" s="1"/>
  <c r="H175" i="15"/>
  <c r="D175" i="15"/>
  <c r="L175" i="15" s="1"/>
  <c r="B175" i="15"/>
  <c r="Z174" i="15"/>
  <c r="X174" i="15"/>
  <c r="V174" i="15"/>
  <c r="N174" i="15"/>
  <c r="L174" i="15"/>
  <c r="B174" i="15"/>
  <c r="Z173" i="15"/>
  <c r="V173" i="15"/>
  <c r="T173" i="15"/>
  <c r="P173" i="15"/>
  <c r="X173" i="15" s="1"/>
  <c r="N173" i="15"/>
  <c r="L173" i="15"/>
  <c r="H173" i="15"/>
  <c r="D173" i="15"/>
  <c r="B173" i="15"/>
  <c r="X172" i="15"/>
  <c r="Z172" i="15" s="1"/>
  <c r="N172" i="15"/>
  <c r="L172" i="15"/>
  <c r="B172" i="15"/>
  <c r="Z171" i="15"/>
  <c r="X171" i="15"/>
  <c r="V171" i="15"/>
  <c r="N171" i="15"/>
  <c r="L171" i="15"/>
  <c r="B171" i="15"/>
  <c r="Z170" i="15"/>
  <c r="T170" i="15"/>
  <c r="P170" i="15"/>
  <c r="X170" i="15" s="1"/>
  <c r="H170" i="15"/>
  <c r="D170" i="15"/>
  <c r="B170" i="15"/>
  <c r="X169" i="15"/>
  <c r="Z169" i="15" s="1"/>
  <c r="N169" i="15"/>
  <c r="L169" i="15"/>
  <c r="B169" i="15"/>
  <c r="Z168" i="15"/>
  <c r="X168" i="15"/>
  <c r="V168" i="15"/>
  <c r="L168" i="15"/>
  <c r="N168" i="15" s="1"/>
  <c r="B168" i="15"/>
  <c r="Z167" i="15"/>
  <c r="X167" i="15"/>
  <c r="V167" i="15"/>
  <c r="L167" i="15"/>
  <c r="N167" i="15" s="1"/>
  <c r="B167" i="15"/>
  <c r="X166" i="15"/>
  <c r="Z166" i="15" s="1"/>
  <c r="V166" i="15"/>
  <c r="L166" i="15"/>
  <c r="N166" i="15" s="1"/>
  <c r="B166" i="15"/>
  <c r="X165" i="15"/>
  <c r="Z165" i="15" s="1"/>
  <c r="N165" i="15"/>
  <c r="L165" i="15"/>
  <c r="B165" i="15"/>
  <c r="Z164" i="15"/>
  <c r="X164" i="15"/>
  <c r="V164" i="15"/>
  <c r="L164" i="15"/>
  <c r="N164" i="15" s="1"/>
  <c r="B164" i="15"/>
  <c r="Z163" i="15"/>
  <c r="X163" i="15"/>
  <c r="V163" i="15"/>
  <c r="L163" i="15"/>
  <c r="N163" i="15" s="1"/>
  <c r="B163" i="15"/>
  <c r="X162" i="15"/>
  <c r="Z162" i="15" s="1"/>
  <c r="V162" i="15"/>
  <c r="L162" i="15"/>
  <c r="N162" i="15" s="1"/>
  <c r="B162" i="15"/>
  <c r="X161" i="15"/>
  <c r="Z161" i="15" s="1"/>
  <c r="N161" i="15"/>
  <c r="L161" i="15"/>
  <c r="B161" i="15"/>
  <c r="V160" i="15"/>
  <c r="T160" i="15"/>
  <c r="P160" i="15"/>
  <c r="X160" i="15" s="1"/>
  <c r="Z160" i="15" s="1"/>
  <c r="L160" i="15"/>
  <c r="H160" i="15"/>
  <c r="D160" i="15"/>
  <c r="B160" i="15"/>
  <c r="Z159" i="15"/>
  <c r="X159" i="15"/>
  <c r="N159" i="15"/>
  <c r="L159" i="15"/>
  <c r="B159" i="15"/>
  <c r="X158" i="15"/>
  <c r="Z158" i="15" s="1"/>
  <c r="V158" i="15"/>
  <c r="N158" i="15"/>
  <c r="L158" i="15"/>
  <c r="B158" i="15"/>
  <c r="Z157" i="15"/>
  <c r="V157" i="15"/>
  <c r="T157" i="15"/>
  <c r="P157" i="15"/>
  <c r="X157" i="15" s="1"/>
  <c r="L157" i="15"/>
  <c r="N157" i="15" s="1"/>
  <c r="H157" i="15"/>
  <c r="D157" i="15"/>
  <c r="B157" i="15"/>
  <c r="X156" i="15"/>
  <c r="Z156" i="15" s="1"/>
  <c r="N156" i="15"/>
  <c r="L156" i="15"/>
  <c r="B156" i="15"/>
  <c r="Z155" i="15"/>
  <c r="X155" i="15"/>
  <c r="V155" i="15"/>
  <c r="N155" i="15"/>
  <c r="L155" i="15"/>
  <c r="B155" i="15"/>
  <c r="Z154" i="15"/>
  <c r="X154" i="15"/>
  <c r="N154" i="15"/>
  <c r="L154" i="15"/>
  <c r="B154" i="15"/>
  <c r="Z153" i="15"/>
  <c r="X153" i="15"/>
  <c r="L153" i="15"/>
  <c r="N153" i="15" s="1"/>
  <c r="B153" i="15"/>
  <c r="T152" i="15"/>
  <c r="P152" i="15"/>
  <c r="N152" i="15"/>
  <c r="H152" i="15"/>
  <c r="D152" i="15"/>
  <c r="L152" i="15" s="1"/>
  <c r="B152" i="15"/>
  <c r="Z151" i="15"/>
  <c r="X151" i="15"/>
  <c r="V151" i="15"/>
  <c r="L151" i="15"/>
  <c r="N151" i="15" s="1"/>
  <c r="B151" i="15"/>
  <c r="X150" i="15"/>
  <c r="Z150" i="15" s="1"/>
  <c r="V150" i="15"/>
  <c r="L150" i="15"/>
  <c r="N150" i="15" s="1"/>
  <c r="B150" i="15"/>
  <c r="X149" i="15"/>
  <c r="Z149" i="15" s="1"/>
  <c r="N149" i="15"/>
  <c r="L149" i="15"/>
  <c r="B149" i="15"/>
  <c r="Z148" i="15"/>
  <c r="X148" i="15"/>
  <c r="V148" i="15"/>
  <c r="L148" i="15"/>
  <c r="N148" i="15" s="1"/>
  <c r="B148" i="15"/>
  <c r="T147" i="15"/>
  <c r="P147" i="15"/>
  <c r="H147" i="15"/>
  <c r="N147" i="15" s="1"/>
  <c r="D147" i="15"/>
  <c r="L147" i="15" s="1"/>
  <c r="B147" i="15"/>
  <c r="X146" i="15"/>
  <c r="Z146" i="15" s="1"/>
  <c r="V146" i="15"/>
  <c r="N146" i="15"/>
  <c r="L146" i="15"/>
  <c r="B146" i="15"/>
  <c r="Z145" i="15"/>
  <c r="X145" i="15"/>
  <c r="V145" i="15"/>
  <c r="N145" i="15"/>
  <c r="L145" i="15"/>
  <c r="B145" i="15"/>
  <c r="X144" i="15"/>
  <c r="Z144" i="15" s="1"/>
  <c r="L144" i="15"/>
  <c r="N144" i="15" s="1"/>
  <c r="B144" i="15"/>
  <c r="X143" i="15"/>
  <c r="Z143" i="15" s="1"/>
  <c r="T143" i="15"/>
  <c r="P143" i="15"/>
  <c r="H143" i="15"/>
  <c r="D143" i="15"/>
  <c r="L143" i="15" s="1"/>
  <c r="N143" i="15" s="1"/>
  <c r="B143" i="15"/>
  <c r="Z142" i="15"/>
  <c r="X142" i="15"/>
  <c r="L142" i="15"/>
  <c r="N142" i="15" s="1"/>
  <c r="B142" i="15"/>
  <c r="X141" i="15"/>
  <c r="T141" i="15"/>
  <c r="Z141" i="15" s="1"/>
  <c r="P141" i="15"/>
  <c r="H141" i="15"/>
  <c r="D141" i="15"/>
  <c r="B141" i="15"/>
  <c r="Z140" i="15"/>
  <c r="X140" i="15"/>
  <c r="V140" i="15"/>
  <c r="L140" i="15"/>
  <c r="N140" i="15" s="1"/>
  <c r="B140" i="15"/>
  <c r="T139" i="15"/>
  <c r="P139" i="15"/>
  <c r="H139" i="15"/>
  <c r="D139" i="15"/>
  <c r="L139" i="15" s="1"/>
  <c r="B139" i="15"/>
  <c r="X138" i="15"/>
  <c r="Z138" i="15" s="1"/>
  <c r="V138" i="15"/>
  <c r="N138" i="15"/>
  <c r="L138" i="15"/>
  <c r="B138" i="15"/>
  <c r="V137" i="15"/>
  <c r="T137" i="15"/>
  <c r="P137" i="15"/>
  <c r="X137" i="15" s="1"/>
  <c r="Z137" i="15" s="1"/>
  <c r="L137" i="15"/>
  <c r="N137" i="15" s="1"/>
  <c r="H137" i="15"/>
  <c r="D137" i="15"/>
  <c r="B137" i="15"/>
  <c r="X136" i="15"/>
  <c r="Z136" i="15" s="1"/>
  <c r="N136" i="15"/>
  <c r="L136" i="15"/>
  <c r="B136" i="15"/>
  <c r="V135" i="15"/>
  <c r="T135" i="15"/>
  <c r="P135" i="15"/>
  <c r="N135" i="15"/>
  <c r="L135" i="15"/>
  <c r="H135" i="15"/>
  <c r="D135" i="15"/>
  <c r="B135" i="15"/>
  <c r="X134" i="15"/>
  <c r="Z134" i="15" s="1"/>
  <c r="V134" i="15"/>
  <c r="L134" i="15"/>
  <c r="N134" i="15" s="1"/>
  <c r="B134" i="15"/>
  <c r="X133" i="15"/>
  <c r="Z133" i="15" s="1"/>
  <c r="N133" i="15"/>
  <c r="L133" i="15"/>
  <c r="B133" i="15"/>
  <c r="V132" i="15"/>
  <c r="T132" i="15"/>
  <c r="P132" i="15"/>
  <c r="X132" i="15" s="1"/>
  <c r="Z132" i="15" s="1"/>
  <c r="L132" i="15"/>
  <c r="H132" i="15"/>
  <c r="N132" i="15" s="1"/>
  <c r="D132" i="15"/>
  <c r="B132" i="15"/>
  <c r="X131" i="15"/>
  <c r="Z131" i="15" s="1"/>
  <c r="N131" i="15"/>
  <c r="L131" i="15"/>
  <c r="B131" i="15"/>
  <c r="X130" i="15"/>
  <c r="Z130" i="15" s="1"/>
  <c r="V130" i="15"/>
  <c r="N130" i="15"/>
  <c r="L130" i="15"/>
  <c r="B130" i="15"/>
  <c r="V129" i="15"/>
  <c r="T129" i="15"/>
  <c r="P129" i="15"/>
  <c r="X129" i="15" s="1"/>
  <c r="Z129" i="15" s="1"/>
  <c r="L129" i="15"/>
  <c r="N129" i="15" s="1"/>
  <c r="H129" i="15"/>
  <c r="D129" i="15"/>
  <c r="B129" i="15"/>
  <c r="X128" i="15"/>
  <c r="Z128" i="15" s="1"/>
  <c r="N128" i="15"/>
  <c r="L128" i="15"/>
  <c r="B128" i="15"/>
  <c r="V127" i="15"/>
  <c r="T127" i="15"/>
  <c r="P127" i="15"/>
  <c r="N127" i="15"/>
  <c r="H127" i="15"/>
  <c r="L127" i="15" s="1"/>
  <c r="D127" i="15"/>
  <c r="B127" i="15"/>
  <c r="X126" i="15"/>
  <c r="Z126" i="15" s="1"/>
  <c r="V126" i="15"/>
  <c r="L126" i="15"/>
  <c r="N126" i="15" s="1"/>
  <c r="B126" i="15"/>
  <c r="T125" i="15"/>
  <c r="P125" i="15"/>
  <c r="X125" i="15" s="1"/>
  <c r="H125" i="15"/>
  <c r="D125" i="15"/>
  <c r="B125" i="15"/>
  <c r="X124" i="15"/>
  <c r="Z124" i="15" s="1"/>
  <c r="L124" i="15"/>
  <c r="N124" i="15" s="1"/>
  <c r="B124" i="15"/>
  <c r="Z123" i="15"/>
  <c r="X123" i="15"/>
  <c r="N123" i="15"/>
  <c r="L123" i="15"/>
  <c r="B123" i="15"/>
  <c r="X122" i="15"/>
  <c r="V122" i="15"/>
  <c r="T122" i="15"/>
  <c r="Z122" i="15" s="1"/>
  <c r="P122" i="15"/>
  <c r="H122" i="15"/>
  <c r="D122" i="15"/>
  <c r="L122" i="15" s="1"/>
  <c r="B122" i="15"/>
  <c r="Z121" i="15"/>
  <c r="X121" i="15"/>
  <c r="L121" i="15"/>
  <c r="N121" i="15" s="1"/>
  <c r="B121" i="15"/>
  <c r="X120" i="15"/>
  <c r="T120" i="15"/>
  <c r="P120" i="15"/>
  <c r="H120" i="15"/>
  <c r="D120" i="15"/>
  <c r="L120" i="15" s="1"/>
  <c r="N120" i="15" s="1"/>
  <c r="B120" i="15"/>
  <c r="Z119" i="15"/>
  <c r="X119" i="15"/>
  <c r="V119" i="15"/>
  <c r="L119" i="15"/>
  <c r="N119" i="15" s="1"/>
  <c r="B119" i="15"/>
  <c r="Z118" i="15"/>
  <c r="X118" i="15"/>
  <c r="V118" i="15"/>
  <c r="N118" i="15"/>
  <c r="L118" i="15"/>
  <c r="B118" i="15"/>
  <c r="T117" i="15"/>
  <c r="P117" i="15"/>
  <c r="X117" i="15" s="1"/>
  <c r="H117" i="15"/>
  <c r="D117" i="15"/>
  <c r="B117" i="15"/>
  <c r="X116" i="15"/>
  <c r="Z116" i="15" s="1"/>
  <c r="L116" i="15"/>
  <c r="N116" i="15" s="1"/>
  <c r="B116" i="15"/>
  <c r="X115" i="15"/>
  <c r="Z115" i="15" s="1"/>
  <c r="T115" i="15"/>
  <c r="P115" i="15"/>
  <c r="N115" i="15"/>
  <c r="H115" i="15"/>
  <c r="D115" i="15"/>
  <c r="L115" i="15" s="1"/>
  <c r="B115" i="15"/>
  <c r="Z114" i="15"/>
  <c r="X114" i="15"/>
  <c r="L114" i="15"/>
  <c r="N114" i="15" s="1"/>
  <c r="B114" i="15"/>
  <c r="X113" i="15"/>
  <c r="Z113" i="15" s="1"/>
  <c r="L113" i="15"/>
  <c r="N113" i="15" s="1"/>
  <c r="B113" i="15"/>
  <c r="T112" i="15"/>
  <c r="P112" i="15"/>
  <c r="H112" i="15"/>
  <c r="D112" i="15"/>
  <c r="L112" i="15" s="1"/>
  <c r="N112" i="15" s="1"/>
  <c r="B112" i="15"/>
  <c r="Z111" i="15"/>
  <c r="X111" i="15"/>
  <c r="V111" i="15"/>
  <c r="L111" i="15"/>
  <c r="N111" i="15" s="1"/>
  <c r="B111" i="15"/>
  <c r="X110" i="15"/>
  <c r="V110" i="15"/>
  <c r="T110" i="15"/>
  <c r="P110" i="15"/>
  <c r="N110" i="15"/>
  <c r="H110" i="15"/>
  <c r="D110" i="15"/>
  <c r="L110" i="15" s="1"/>
  <c r="B110" i="15"/>
  <c r="Z109" i="15"/>
  <c r="X109" i="15"/>
  <c r="V109" i="15"/>
  <c r="N109" i="15"/>
  <c r="L109" i="15"/>
  <c r="B109" i="15"/>
  <c r="Z108" i="15"/>
  <c r="X108" i="15"/>
  <c r="N108" i="15"/>
  <c r="L108" i="15"/>
  <c r="B108" i="15"/>
  <c r="X107" i="15"/>
  <c r="Z107" i="15" s="1"/>
  <c r="N107" i="15"/>
  <c r="L107" i="15"/>
  <c r="B107" i="15"/>
  <c r="X106" i="15"/>
  <c r="Z106" i="15" s="1"/>
  <c r="V106" i="15"/>
  <c r="N106" i="15"/>
  <c r="L106" i="15"/>
  <c r="B106" i="15"/>
  <c r="Z105" i="15"/>
  <c r="X105" i="15"/>
  <c r="V105" i="15"/>
  <c r="N105" i="15"/>
  <c r="L105" i="15"/>
  <c r="B105" i="15"/>
  <c r="X104" i="15"/>
  <c r="Z104" i="15" s="1"/>
  <c r="N104" i="15"/>
  <c r="L104" i="15"/>
  <c r="B104" i="15"/>
  <c r="X103" i="15"/>
  <c r="Z103" i="15" s="1"/>
  <c r="N103" i="15"/>
  <c r="L103" i="15"/>
  <c r="B103" i="15"/>
  <c r="Z102" i="15"/>
  <c r="X102" i="15"/>
  <c r="V102" i="15"/>
  <c r="N102" i="15"/>
  <c r="L102" i="15"/>
  <c r="B102" i="15"/>
  <c r="Z101" i="15"/>
  <c r="X101" i="15"/>
  <c r="V101" i="15"/>
  <c r="L101" i="15"/>
  <c r="N101" i="15" s="1"/>
  <c r="B101" i="15"/>
  <c r="X100" i="15"/>
  <c r="Z100" i="15" s="1"/>
  <c r="L100" i="15"/>
  <c r="N100" i="15" s="1"/>
  <c r="B100" i="15"/>
  <c r="X99" i="15"/>
  <c r="Z99" i="15" s="1"/>
  <c r="T99" i="15"/>
  <c r="P99" i="15"/>
  <c r="L99" i="15"/>
  <c r="N99" i="15" s="1"/>
  <c r="H99" i="15"/>
  <c r="D99" i="15"/>
  <c r="B99" i="15"/>
  <c r="Z98" i="15"/>
  <c r="X98" i="15"/>
  <c r="L98" i="15"/>
  <c r="N98" i="15" s="1"/>
  <c r="B98" i="15"/>
  <c r="Z97" i="15"/>
  <c r="X97" i="15"/>
  <c r="L97" i="15"/>
  <c r="N97" i="15" s="1"/>
  <c r="B97" i="15"/>
  <c r="Z96" i="15"/>
  <c r="X96" i="15"/>
  <c r="N96" i="15"/>
  <c r="L96" i="15"/>
  <c r="B96" i="15"/>
  <c r="Z95" i="15"/>
  <c r="X95" i="15"/>
  <c r="V95" i="15"/>
  <c r="N95" i="15"/>
  <c r="L95" i="15"/>
  <c r="B95" i="15"/>
  <c r="Z94" i="15"/>
  <c r="X94" i="15"/>
  <c r="N94" i="15"/>
  <c r="L94" i="15"/>
  <c r="B94" i="15"/>
  <c r="X93" i="15"/>
  <c r="Z93" i="15" s="1"/>
  <c r="L93" i="15"/>
  <c r="N93" i="15" s="1"/>
  <c r="B93" i="15"/>
  <c r="Z92" i="15"/>
  <c r="X92" i="15"/>
  <c r="N92" i="15"/>
  <c r="L92" i="15"/>
  <c r="J92" i="15"/>
  <c r="B92" i="15"/>
  <c r="Z91" i="15"/>
  <c r="X91" i="15"/>
  <c r="V91" i="15"/>
  <c r="N91" i="15"/>
  <c r="L91" i="15"/>
  <c r="B91" i="15"/>
  <c r="Z90" i="15"/>
  <c r="X90" i="15"/>
  <c r="L90" i="15"/>
  <c r="N90" i="15" s="1"/>
  <c r="B90" i="15"/>
  <c r="Z89" i="15"/>
  <c r="X89" i="15"/>
  <c r="L89" i="15"/>
  <c r="N89" i="15" s="1"/>
  <c r="B89" i="15"/>
  <c r="T88" i="15"/>
  <c r="X88" i="15" s="1"/>
  <c r="Z88" i="15" s="1"/>
  <c r="P88" i="15"/>
  <c r="H88" i="15"/>
  <c r="D88" i="15"/>
  <c r="L88" i="15" s="1"/>
  <c r="N88" i="15" s="1"/>
  <c r="B88" i="15"/>
  <c r="T87" i="15"/>
  <c r="Z87" i="15" s="1"/>
  <c r="P87" i="15"/>
  <c r="X87" i="15" s="1"/>
  <c r="H87" i="15"/>
  <c r="D87" i="15"/>
  <c r="L87" i="15" s="1"/>
  <c r="V85" i="15"/>
  <c r="T85" i="15"/>
  <c r="Z83" i="15"/>
  <c r="X83" i="15"/>
  <c r="V83" i="15"/>
  <c r="N83" i="15"/>
  <c r="L83" i="15"/>
  <c r="B83" i="15"/>
  <c r="Z82" i="15"/>
  <c r="X82" i="15"/>
  <c r="V82" i="15"/>
  <c r="N82" i="15"/>
  <c r="L82" i="15"/>
  <c r="B82" i="15"/>
  <c r="Z81" i="15"/>
  <c r="X81" i="15"/>
  <c r="N81" i="15"/>
  <c r="L81" i="15"/>
  <c r="J81" i="15"/>
  <c r="B81" i="15"/>
  <c r="Z80" i="15"/>
  <c r="X80" i="15"/>
  <c r="V80" i="15"/>
  <c r="N80" i="15"/>
  <c r="L80" i="15"/>
  <c r="B80" i="15"/>
  <c r="Z79" i="15"/>
  <c r="X79" i="15"/>
  <c r="V79" i="15"/>
  <c r="N79" i="15"/>
  <c r="L79" i="15"/>
  <c r="B79" i="15"/>
  <c r="Z78" i="15"/>
  <c r="X78" i="15"/>
  <c r="V78" i="15"/>
  <c r="N78" i="15"/>
  <c r="L78" i="15"/>
  <c r="B78" i="15"/>
  <c r="Z77" i="15"/>
  <c r="X77" i="15"/>
  <c r="N77" i="15"/>
  <c r="L77" i="15"/>
  <c r="B77" i="15"/>
  <c r="Z76" i="15"/>
  <c r="X76" i="15"/>
  <c r="V76" i="15"/>
  <c r="N76" i="15"/>
  <c r="L76" i="15"/>
  <c r="B76" i="15"/>
  <c r="Z75" i="15"/>
  <c r="X75" i="15"/>
  <c r="V75" i="15"/>
  <c r="N75" i="15"/>
  <c r="L75" i="15"/>
  <c r="B75" i="15"/>
  <c r="Z74" i="15"/>
  <c r="X74" i="15"/>
  <c r="V74" i="15"/>
  <c r="N74" i="15"/>
  <c r="L74" i="15"/>
  <c r="J74" i="15"/>
  <c r="B74" i="15"/>
  <c r="Z73" i="15"/>
  <c r="X73" i="15"/>
  <c r="N73" i="15"/>
  <c r="L73" i="15"/>
  <c r="B73" i="15"/>
  <c r="Z72" i="15"/>
  <c r="X72" i="15"/>
  <c r="V72" i="15"/>
  <c r="N72" i="15"/>
  <c r="L72" i="15"/>
  <c r="B72" i="15"/>
  <c r="Z71" i="15"/>
  <c r="X71" i="15"/>
  <c r="V71" i="15"/>
  <c r="N71" i="15"/>
  <c r="L71" i="15"/>
  <c r="B71" i="15"/>
  <c r="Z70" i="15"/>
  <c r="X70" i="15"/>
  <c r="V70" i="15"/>
  <c r="N70" i="15"/>
  <c r="L70" i="15"/>
  <c r="B70" i="15"/>
  <c r="Z69" i="15"/>
  <c r="X69" i="15"/>
  <c r="N69" i="15"/>
  <c r="L69" i="15"/>
  <c r="J69" i="15"/>
  <c r="B69" i="15"/>
  <c r="Z68" i="15"/>
  <c r="X68" i="15"/>
  <c r="V68" i="15"/>
  <c r="N68" i="15"/>
  <c r="L68" i="15"/>
  <c r="B68" i="15"/>
  <c r="Z67" i="15"/>
  <c r="X67" i="15"/>
  <c r="V67" i="15"/>
  <c r="N67" i="15"/>
  <c r="L67" i="15"/>
  <c r="B67" i="15"/>
  <c r="Z66" i="15"/>
  <c r="X66" i="15"/>
  <c r="V66" i="15"/>
  <c r="N66" i="15"/>
  <c r="L66" i="15"/>
  <c r="B66" i="15"/>
  <c r="Z65" i="15"/>
  <c r="X65" i="15"/>
  <c r="V65" i="15"/>
  <c r="N65" i="15"/>
  <c r="L65" i="15"/>
  <c r="B65" i="15"/>
  <c r="Z64" i="15"/>
  <c r="X64" i="15"/>
  <c r="V64" i="15"/>
  <c r="N64" i="15"/>
  <c r="L64" i="15"/>
  <c r="B64" i="15"/>
  <c r="Z63" i="15"/>
  <c r="X63" i="15"/>
  <c r="V63" i="15"/>
  <c r="N63" i="15"/>
  <c r="L63" i="15"/>
  <c r="B63" i="15"/>
  <c r="X62" i="15"/>
  <c r="Z62" i="15" s="1"/>
  <c r="V62" i="15"/>
  <c r="L62" i="15"/>
  <c r="N62" i="15" s="1"/>
  <c r="B62" i="15"/>
  <c r="T61" i="15"/>
  <c r="Z61" i="15" s="1"/>
  <c r="P61" i="15"/>
  <c r="X61" i="15" s="1"/>
  <c r="J61" i="15"/>
  <c r="H61" i="15"/>
  <c r="N61" i="15" s="1"/>
  <c r="D61" i="15"/>
  <c r="L61" i="15" s="1"/>
  <c r="Z59" i="15"/>
  <c r="P59" i="15"/>
  <c r="X59" i="15" s="1"/>
  <c r="N59" i="15"/>
  <c r="D59" i="15"/>
  <c r="L59" i="15" s="1"/>
  <c r="B59" i="15"/>
  <c r="Z58" i="15"/>
  <c r="P58" i="15"/>
  <c r="X58" i="15" s="1"/>
  <c r="N58" i="15"/>
  <c r="L58" i="15"/>
  <c r="D58" i="15"/>
  <c r="B58" i="15"/>
  <c r="Z57" i="15"/>
  <c r="P57" i="15"/>
  <c r="X57" i="15" s="1"/>
  <c r="N57" i="15"/>
  <c r="L57" i="15"/>
  <c r="D57" i="15"/>
  <c r="B57" i="15"/>
  <c r="Z56" i="15"/>
  <c r="P56" i="15"/>
  <c r="X56" i="15" s="1"/>
  <c r="N56" i="15"/>
  <c r="D56" i="15"/>
  <c r="L56" i="15" s="1"/>
  <c r="B56" i="15"/>
  <c r="Z55" i="15"/>
  <c r="P55" i="15"/>
  <c r="X55" i="15" s="1"/>
  <c r="N55" i="15"/>
  <c r="L55" i="15"/>
  <c r="D55" i="15"/>
  <c r="B55" i="15"/>
  <c r="Z54" i="15"/>
  <c r="P54" i="15"/>
  <c r="X54" i="15" s="1"/>
  <c r="N54" i="15"/>
  <c r="D54" i="15"/>
  <c r="L54" i="15" s="1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D52" i="15"/>
  <c r="L52" i="15" s="1"/>
  <c r="B52" i="15"/>
  <c r="Z51" i="15"/>
  <c r="X51" i="15"/>
  <c r="P51" i="15"/>
  <c r="N51" i="15"/>
  <c r="D51" i="15"/>
  <c r="L51" i="15" s="1"/>
  <c r="B51" i="15"/>
  <c r="Z50" i="15"/>
  <c r="X50" i="15"/>
  <c r="P50" i="15"/>
  <c r="N50" i="15"/>
  <c r="D50" i="15"/>
  <c r="L50" i="15" s="1"/>
  <c r="B50" i="15"/>
  <c r="Z49" i="15"/>
  <c r="X49" i="15"/>
  <c r="P49" i="15"/>
  <c r="N49" i="15"/>
  <c r="D49" i="15"/>
  <c r="L49" i="15" s="1"/>
  <c r="B49" i="15"/>
  <c r="Z48" i="15"/>
  <c r="X48" i="15"/>
  <c r="P48" i="15"/>
  <c r="N48" i="15"/>
  <c r="L48" i="15"/>
  <c r="D48" i="15"/>
  <c r="B48" i="15"/>
  <c r="Z47" i="15"/>
  <c r="P47" i="15"/>
  <c r="X47" i="15" s="1"/>
  <c r="N47" i="15"/>
  <c r="D47" i="15"/>
  <c r="L47" i="15" s="1"/>
  <c r="B47" i="15"/>
  <c r="Z46" i="15"/>
  <c r="P46" i="15"/>
  <c r="X46" i="15" s="1"/>
  <c r="N46" i="15"/>
  <c r="L46" i="15"/>
  <c r="D46" i="15"/>
  <c r="B46" i="15"/>
  <c r="Z45" i="15"/>
  <c r="P45" i="15"/>
  <c r="X45" i="15" s="1"/>
  <c r="N45" i="15"/>
  <c r="L45" i="15"/>
  <c r="D45" i="15"/>
  <c r="B45" i="15"/>
  <c r="Z44" i="15"/>
  <c r="P44" i="15"/>
  <c r="X44" i="15" s="1"/>
  <c r="N44" i="15"/>
  <c r="D44" i="15"/>
  <c r="L44" i="15" s="1"/>
  <c r="B44" i="15"/>
  <c r="Z43" i="15"/>
  <c r="P43" i="15"/>
  <c r="X43" i="15" s="1"/>
  <c r="N43" i="15"/>
  <c r="L43" i="15"/>
  <c r="D43" i="15"/>
  <c r="B43" i="15"/>
  <c r="Z42" i="15"/>
  <c r="P42" i="15"/>
  <c r="X42" i="15" s="1"/>
  <c r="N42" i="15"/>
  <c r="D42" i="15"/>
  <c r="L42" i="15" s="1"/>
  <c r="B42" i="15"/>
  <c r="Z41" i="15"/>
  <c r="P41" i="15"/>
  <c r="X41" i="15" s="1"/>
  <c r="N41" i="15"/>
  <c r="D41" i="15"/>
  <c r="L41" i="15" s="1"/>
  <c r="B41" i="15"/>
  <c r="Z40" i="15"/>
  <c r="P40" i="15"/>
  <c r="X40" i="15" s="1"/>
  <c r="N40" i="15"/>
  <c r="D40" i="15"/>
  <c r="L40" i="15" s="1"/>
  <c r="B40" i="15"/>
  <c r="Z39" i="15"/>
  <c r="X39" i="15"/>
  <c r="P39" i="15"/>
  <c r="N39" i="15"/>
  <c r="D39" i="15"/>
  <c r="L39" i="15" s="1"/>
  <c r="B39" i="15"/>
  <c r="Z38" i="15"/>
  <c r="X38" i="15"/>
  <c r="P38" i="15"/>
  <c r="N38" i="15"/>
  <c r="D38" i="15"/>
  <c r="L38" i="15" s="1"/>
  <c r="B38" i="15"/>
  <c r="Z37" i="15"/>
  <c r="X37" i="15"/>
  <c r="P37" i="15"/>
  <c r="N37" i="15"/>
  <c r="D37" i="15"/>
  <c r="L37" i="15" s="1"/>
  <c r="B37" i="15"/>
  <c r="Z36" i="15"/>
  <c r="X36" i="15"/>
  <c r="P36" i="15"/>
  <c r="N36" i="15"/>
  <c r="L36" i="15"/>
  <c r="D36" i="15"/>
  <c r="B36" i="15"/>
  <c r="Z35" i="15"/>
  <c r="P35" i="15"/>
  <c r="X35" i="15" s="1"/>
  <c r="N35" i="15"/>
  <c r="D35" i="15"/>
  <c r="L35" i="15" s="1"/>
  <c r="B35" i="15"/>
  <c r="Z34" i="15"/>
  <c r="P34" i="15"/>
  <c r="X34" i="15" s="1"/>
  <c r="N34" i="15"/>
  <c r="L34" i="15"/>
  <c r="D34" i="15"/>
  <c r="B34" i="15"/>
  <c r="Z33" i="15"/>
  <c r="P33" i="15"/>
  <c r="X33" i="15" s="1"/>
  <c r="N33" i="15"/>
  <c r="L33" i="15"/>
  <c r="D33" i="15"/>
  <c r="B33" i="15"/>
  <c r="Z32" i="15"/>
  <c r="P32" i="15"/>
  <c r="X32" i="15" s="1"/>
  <c r="N32" i="15"/>
  <c r="D32" i="15"/>
  <c r="L32" i="15" s="1"/>
  <c r="B32" i="15"/>
  <c r="Z31" i="15"/>
  <c r="P31" i="15"/>
  <c r="X31" i="15" s="1"/>
  <c r="N31" i="15"/>
  <c r="L31" i="15"/>
  <c r="D31" i="15"/>
  <c r="B31" i="15"/>
  <c r="Z30" i="15"/>
  <c r="P30" i="15"/>
  <c r="X30" i="15" s="1"/>
  <c r="N30" i="15"/>
  <c r="D30" i="15"/>
  <c r="L30" i="15" s="1"/>
  <c r="B30" i="15"/>
  <c r="Z29" i="15"/>
  <c r="P29" i="15"/>
  <c r="X29" i="15" s="1"/>
  <c r="N29" i="15"/>
  <c r="D29" i="15"/>
  <c r="L29" i="15" s="1"/>
  <c r="B29" i="15"/>
  <c r="Z28" i="15"/>
  <c r="P28" i="15"/>
  <c r="X28" i="15" s="1"/>
  <c r="N28" i="15"/>
  <c r="D28" i="15"/>
  <c r="L28" i="15" s="1"/>
  <c r="B28" i="15"/>
  <c r="Z27" i="15"/>
  <c r="X27" i="15"/>
  <c r="P27" i="15"/>
  <c r="N27" i="15"/>
  <c r="D27" i="15"/>
  <c r="L27" i="15" s="1"/>
  <c r="B27" i="15"/>
  <c r="Z26" i="15"/>
  <c r="X26" i="15"/>
  <c r="P26" i="15"/>
  <c r="N26" i="15"/>
  <c r="D26" i="15"/>
  <c r="L26" i="15" s="1"/>
  <c r="B26" i="15"/>
  <c r="Z25" i="15"/>
  <c r="X25" i="15"/>
  <c r="P25" i="15"/>
  <c r="N25" i="15"/>
  <c r="D25" i="15"/>
  <c r="L25" i="15" s="1"/>
  <c r="B25" i="15"/>
  <c r="Z24" i="15"/>
  <c r="X24" i="15"/>
  <c r="P24" i="15"/>
  <c r="N24" i="15"/>
  <c r="L24" i="15"/>
  <c r="D24" i="15"/>
  <c r="B24" i="15"/>
  <c r="Z23" i="15"/>
  <c r="P23" i="15"/>
  <c r="X23" i="15" s="1"/>
  <c r="N23" i="15"/>
  <c r="D23" i="15"/>
  <c r="L23" i="15" s="1"/>
  <c r="B23" i="15"/>
  <c r="Z22" i="15"/>
  <c r="P22" i="15"/>
  <c r="X22" i="15" s="1"/>
  <c r="N22" i="15"/>
  <c r="L22" i="15"/>
  <c r="D22" i="15"/>
  <c r="B22" i="15"/>
  <c r="Z21" i="15"/>
  <c r="P21" i="15"/>
  <c r="X21" i="15" s="1"/>
  <c r="N21" i="15"/>
  <c r="L21" i="15"/>
  <c r="D21" i="15"/>
  <c r="B21" i="15"/>
  <c r="Z20" i="15"/>
  <c r="P20" i="15"/>
  <c r="X20" i="15" s="1"/>
  <c r="N20" i="15"/>
  <c r="D20" i="15"/>
  <c r="L20" i="15" s="1"/>
  <c r="B20" i="15"/>
  <c r="Z19" i="15"/>
  <c r="P19" i="15"/>
  <c r="N19" i="15"/>
  <c r="L19" i="15"/>
  <c r="D19" i="15"/>
  <c r="B19" i="15"/>
  <c r="Z18" i="15"/>
  <c r="P18" i="15"/>
  <c r="X18" i="15" s="1"/>
  <c r="N18" i="15"/>
  <c r="D18" i="15"/>
  <c r="L18" i="15" s="1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D16" i="15"/>
  <c r="L16" i="15" s="1"/>
  <c r="B16" i="15"/>
  <c r="Z15" i="15"/>
  <c r="X15" i="15"/>
  <c r="P15" i="15"/>
  <c r="N15" i="15"/>
  <c r="D15" i="15"/>
  <c r="L15" i="15" s="1"/>
  <c r="B15" i="15"/>
  <c r="Z14" i="15"/>
  <c r="X14" i="15"/>
  <c r="P14" i="15"/>
  <c r="N14" i="15"/>
  <c r="D14" i="15"/>
  <c r="L14" i="15" s="1"/>
  <c r="B14" i="15"/>
  <c r="X13" i="15"/>
  <c r="Z13" i="15" s="1"/>
  <c r="P13" i="15"/>
  <c r="D13" i="15"/>
  <c r="B13" i="15"/>
  <c r="T12" i="15"/>
  <c r="V159" i="15" s="1"/>
  <c r="H12" i="15"/>
  <c r="D4" i="15"/>
  <c r="X194" i="12"/>
  <c r="Z194" i="12" s="1"/>
  <c r="L194" i="12"/>
  <c r="N194" i="12" s="1"/>
  <c r="Z190" i="12"/>
  <c r="P190" i="12"/>
  <c r="N190" i="12"/>
  <c r="D190" i="12"/>
  <c r="L190" i="12" s="1"/>
  <c r="B190" i="12"/>
  <c r="Z189" i="12"/>
  <c r="P189" i="12"/>
  <c r="X189" i="12" s="1"/>
  <c r="N189" i="12"/>
  <c r="J189" i="12"/>
  <c r="D189" i="12"/>
  <c r="L189" i="12" s="1"/>
  <c r="B189" i="12"/>
  <c r="X188" i="12"/>
  <c r="Z188" i="12" s="1"/>
  <c r="P188" i="12"/>
  <c r="L188" i="12"/>
  <c r="N188" i="12" s="1"/>
  <c r="D188" i="12"/>
  <c r="B188" i="12"/>
  <c r="P187" i="12"/>
  <c r="X187" i="12" s="1"/>
  <c r="Z187" i="12" s="1"/>
  <c r="D187" i="12"/>
  <c r="B187" i="12"/>
  <c r="T186" i="12"/>
  <c r="H186" i="12"/>
  <c r="X184" i="12"/>
  <c r="Z184" i="12" s="1"/>
  <c r="L184" i="12"/>
  <c r="N184" i="12" s="1"/>
  <c r="B184" i="12"/>
  <c r="X183" i="12"/>
  <c r="T183" i="12"/>
  <c r="P183" i="12"/>
  <c r="H183" i="12"/>
  <c r="D183" i="12"/>
  <c r="L183" i="12" s="1"/>
  <c r="N183" i="12" s="1"/>
  <c r="B183" i="12"/>
  <c r="Z182" i="12"/>
  <c r="X182" i="12"/>
  <c r="L182" i="12"/>
  <c r="N182" i="12" s="1"/>
  <c r="B182" i="12"/>
  <c r="X181" i="12"/>
  <c r="Z181" i="12" s="1"/>
  <c r="L181" i="12"/>
  <c r="N181" i="12" s="1"/>
  <c r="B181" i="12"/>
  <c r="Z180" i="12"/>
  <c r="X180" i="12"/>
  <c r="N180" i="12"/>
  <c r="L180" i="12"/>
  <c r="J180" i="12"/>
  <c r="B180" i="12"/>
  <c r="Z179" i="12"/>
  <c r="T179" i="12"/>
  <c r="P179" i="12"/>
  <c r="X179" i="12" s="1"/>
  <c r="J179" i="12"/>
  <c r="H179" i="12"/>
  <c r="D179" i="12"/>
  <c r="L179" i="12" s="1"/>
  <c r="B179" i="12"/>
  <c r="Z178" i="12"/>
  <c r="X178" i="12"/>
  <c r="N178" i="12"/>
  <c r="L178" i="12"/>
  <c r="B178" i="12"/>
  <c r="X177" i="12"/>
  <c r="T177" i="12"/>
  <c r="Z177" i="12" s="1"/>
  <c r="P177" i="12"/>
  <c r="H177" i="12"/>
  <c r="N177" i="12" s="1"/>
  <c r="D177" i="12"/>
  <c r="L177" i="12" s="1"/>
  <c r="B177" i="12"/>
  <c r="X176" i="12"/>
  <c r="Z176" i="12" s="1"/>
  <c r="L176" i="12"/>
  <c r="N176" i="12" s="1"/>
  <c r="B176" i="12"/>
  <c r="Z175" i="12"/>
  <c r="X175" i="12"/>
  <c r="N175" i="12"/>
  <c r="L175" i="12"/>
  <c r="J175" i="12"/>
  <c r="B175" i="12"/>
  <c r="T174" i="12"/>
  <c r="P174" i="12"/>
  <c r="H174" i="12"/>
  <c r="D174" i="12"/>
  <c r="B174" i="12"/>
  <c r="X173" i="12"/>
  <c r="Z173" i="12" s="1"/>
  <c r="L173" i="12"/>
  <c r="N173" i="12" s="1"/>
  <c r="B173" i="12"/>
  <c r="X172" i="12"/>
  <c r="Z172" i="12" s="1"/>
  <c r="V172" i="12"/>
  <c r="N172" i="12"/>
  <c r="L172" i="12"/>
  <c r="B172" i="12"/>
  <c r="X171" i="12"/>
  <c r="Z171" i="12" s="1"/>
  <c r="N171" i="12"/>
  <c r="L171" i="12"/>
  <c r="B171" i="12"/>
  <c r="Z170" i="12"/>
  <c r="X170" i="12"/>
  <c r="L170" i="12"/>
  <c r="N170" i="12" s="1"/>
  <c r="B170" i="12"/>
  <c r="Z169" i="12"/>
  <c r="X169" i="12"/>
  <c r="V169" i="12"/>
  <c r="L169" i="12"/>
  <c r="N169" i="12" s="1"/>
  <c r="B169" i="12"/>
  <c r="X168" i="12"/>
  <c r="Z168" i="12" s="1"/>
  <c r="N168" i="12"/>
  <c r="L168" i="12"/>
  <c r="B168" i="12"/>
  <c r="X167" i="12"/>
  <c r="Z167" i="12" s="1"/>
  <c r="N167" i="12"/>
  <c r="L167" i="12"/>
  <c r="B167" i="12"/>
  <c r="Z166" i="12"/>
  <c r="X166" i="12"/>
  <c r="L166" i="12"/>
  <c r="N166" i="12" s="1"/>
  <c r="B166" i="12"/>
  <c r="X165" i="12"/>
  <c r="Z165" i="12" s="1"/>
  <c r="L165" i="12"/>
  <c r="N165" i="12" s="1"/>
  <c r="B165" i="12"/>
  <c r="V164" i="12"/>
  <c r="T164" i="12"/>
  <c r="X164" i="12" s="1"/>
  <c r="P164" i="12"/>
  <c r="J164" i="12"/>
  <c r="H164" i="12"/>
  <c r="N164" i="12" s="1"/>
  <c r="D164" i="12"/>
  <c r="L164" i="12" s="1"/>
  <c r="B164" i="12"/>
  <c r="Z163" i="12"/>
  <c r="X163" i="12"/>
  <c r="V163" i="12"/>
  <c r="N163" i="12"/>
  <c r="L163" i="12"/>
  <c r="B163" i="12"/>
  <c r="X162" i="12"/>
  <c r="Z162" i="12" s="1"/>
  <c r="L162" i="12"/>
  <c r="N162" i="12" s="1"/>
  <c r="B162" i="12"/>
  <c r="T161" i="12"/>
  <c r="P161" i="12"/>
  <c r="H161" i="12"/>
  <c r="D161" i="12"/>
  <c r="L161" i="12" s="1"/>
  <c r="B161" i="12"/>
  <c r="Z160" i="12"/>
  <c r="X160" i="12"/>
  <c r="L160" i="12"/>
  <c r="N160" i="12" s="1"/>
  <c r="J160" i="12"/>
  <c r="B160" i="12"/>
  <c r="Z159" i="12"/>
  <c r="X159" i="12"/>
  <c r="L159" i="12"/>
  <c r="N159" i="12" s="1"/>
  <c r="B159" i="12"/>
  <c r="Z158" i="12"/>
  <c r="X158" i="12"/>
  <c r="N158" i="12"/>
  <c r="L158" i="12"/>
  <c r="F158" i="12"/>
  <c r="B158" i="12"/>
  <c r="Z157" i="12"/>
  <c r="X157" i="12"/>
  <c r="N157" i="12"/>
  <c r="L157" i="12"/>
  <c r="B157" i="12"/>
  <c r="X156" i="12"/>
  <c r="Z156" i="12" s="1"/>
  <c r="L156" i="12"/>
  <c r="N156" i="12" s="1"/>
  <c r="B156" i="12"/>
  <c r="Z155" i="12"/>
  <c r="X155" i="12"/>
  <c r="T155" i="12"/>
  <c r="P155" i="12"/>
  <c r="N155" i="12"/>
  <c r="H155" i="12"/>
  <c r="D155" i="12"/>
  <c r="L155" i="12" s="1"/>
  <c r="B155" i="12"/>
  <c r="Z154" i="12"/>
  <c r="X154" i="12"/>
  <c r="N154" i="12"/>
  <c r="L154" i="12"/>
  <c r="B154" i="12"/>
  <c r="Z153" i="12"/>
  <c r="X153" i="12"/>
  <c r="L153" i="12"/>
  <c r="N153" i="12" s="1"/>
  <c r="J153" i="12"/>
  <c r="B153" i="12"/>
  <c r="X152" i="12"/>
  <c r="Z152" i="12" s="1"/>
  <c r="L152" i="12"/>
  <c r="N152" i="12" s="1"/>
  <c r="B152" i="12"/>
  <c r="Z151" i="12"/>
  <c r="X151" i="12"/>
  <c r="N151" i="12"/>
  <c r="L151" i="12"/>
  <c r="J151" i="12"/>
  <c r="B151" i="12"/>
  <c r="T150" i="12"/>
  <c r="P150" i="12"/>
  <c r="X150" i="12" s="1"/>
  <c r="Z150" i="12" s="1"/>
  <c r="J150" i="12"/>
  <c r="H150" i="12"/>
  <c r="D150" i="12"/>
  <c r="L150" i="12" s="1"/>
  <c r="B150" i="12"/>
  <c r="X149" i="12"/>
  <c r="Z149" i="12" s="1"/>
  <c r="N149" i="12"/>
  <c r="L149" i="12"/>
  <c r="J149" i="12"/>
  <c r="B149" i="12"/>
  <c r="Z148" i="12"/>
  <c r="X148" i="12"/>
  <c r="V148" i="12"/>
  <c r="L148" i="12"/>
  <c r="N148" i="12" s="1"/>
  <c r="B148" i="12"/>
  <c r="X147" i="12"/>
  <c r="Z147" i="12" s="1"/>
  <c r="N147" i="12"/>
  <c r="L147" i="12"/>
  <c r="J147" i="12"/>
  <c r="B147" i="12"/>
  <c r="T146" i="12"/>
  <c r="P146" i="12"/>
  <c r="X146" i="12" s="1"/>
  <c r="H146" i="12"/>
  <c r="D146" i="12"/>
  <c r="L146" i="12" s="1"/>
  <c r="B146" i="12"/>
  <c r="Z145" i="12"/>
  <c r="X145" i="12"/>
  <c r="L145" i="12"/>
  <c r="N145" i="12" s="1"/>
  <c r="B145" i="12"/>
  <c r="X144" i="12"/>
  <c r="T144" i="12"/>
  <c r="P144" i="12"/>
  <c r="J144" i="12"/>
  <c r="H144" i="12"/>
  <c r="D144" i="12"/>
  <c r="L144" i="12" s="1"/>
  <c r="N144" i="12" s="1"/>
  <c r="B144" i="12"/>
  <c r="Z143" i="12"/>
  <c r="X143" i="12"/>
  <c r="L143" i="12"/>
  <c r="N143" i="12" s="1"/>
  <c r="B143" i="12"/>
  <c r="T142" i="12"/>
  <c r="P142" i="12"/>
  <c r="J142" i="12"/>
  <c r="H142" i="12"/>
  <c r="D142" i="12"/>
  <c r="L142" i="12" s="1"/>
  <c r="B142" i="12"/>
  <c r="Z141" i="12"/>
  <c r="X141" i="12"/>
  <c r="V141" i="12"/>
  <c r="N141" i="12"/>
  <c r="L141" i="12"/>
  <c r="B141" i="12"/>
  <c r="T140" i="12"/>
  <c r="P140" i="12"/>
  <c r="H140" i="12"/>
  <c r="N140" i="12" s="1"/>
  <c r="D140" i="12"/>
  <c r="L140" i="12" s="1"/>
  <c r="B140" i="12"/>
  <c r="Z139" i="12"/>
  <c r="X139" i="12"/>
  <c r="V139" i="12"/>
  <c r="N139" i="12"/>
  <c r="L139" i="12"/>
  <c r="B139" i="12"/>
  <c r="T138" i="12"/>
  <c r="P138" i="12"/>
  <c r="X138" i="12" s="1"/>
  <c r="Z138" i="12" s="1"/>
  <c r="L138" i="12"/>
  <c r="H138" i="12"/>
  <c r="N138" i="12" s="1"/>
  <c r="D138" i="12"/>
  <c r="B138" i="12"/>
  <c r="X137" i="12"/>
  <c r="Z137" i="12" s="1"/>
  <c r="N137" i="12"/>
  <c r="L137" i="12"/>
  <c r="J137" i="12"/>
  <c r="B137" i="12"/>
  <c r="T136" i="12"/>
  <c r="Z136" i="12" s="1"/>
  <c r="P136" i="12"/>
  <c r="X136" i="12" s="1"/>
  <c r="L136" i="12"/>
  <c r="H136" i="12"/>
  <c r="D136" i="12"/>
  <c r="B136" i="12"/>
  <c r="X135" i="12"/>
  <c r="Z135" i="12" s="1"/>
  <c r="N135" i="12"/>
  <c r="L135" i="12"/>
  <c r="J135" i="12"/>
  <c r="B135" i="12"/>
  <c r="X134" i="12"/>
  <c r="Z134" i="12" s="1"/>
  <c r="N134" i="12"/>
  <c r="L134" i="12"/>
  <c r="J134" i="12"/>
  <c r="B134" i="12"/>
  <c r="Z133" i="12"/>
  <c r="V133" i="12"/>
  <c r="T133" i="12"/>
  <c r="X133" i="12" s="1"/>
  <c r="P133" i="12"/>
  <c r="L133" i="12"/>
  <c r="H133" i="12"/>
  <c r="N133" i="12" s="1"/>
  <c r="D133" i="12"/>
  <c r="B133" i="12"/>
  <c r="X132" i="12"/>
  <c r="Z132" i="12" s="1"/>
  <c r="L132" i="12"/>
  <c r="N132" i="12" s="1"/>
  <c r="J132" i="12"/>
  <c r="B132" i="12"/>
  <c r="Z131" i="12"/>
  <c r="X131" i="12"/>
  <c r="V131" i="12"/>
  <c r="N131" i="12"/>
  <c r="L131" i="12"/>
  <c r="B131" i="12"/>
  <c r="T130" i="12"/>
  <c r="P130" i="12"/>
  <c r="X130" i="12" s="1"/>
  <c r="Z130" i="12" s="1"/>
  <c r="L130" i="12"/>
  <c r="H130" i="12"/>
  <c r="D130" i="12"/>
  <c r="B130" i="12"/>
  <c r="X129" i="12"/>
  <c r="Z129" i="12" s="1"/>
  <c r="N129" i="12"/>
  <c r="L129" i="12"/>
  <c r="J129" i="12"/>
  <c r="B129" i="12"/>
  <c r="T128" i="12"/>
  <c r="Z128" i="12" s="1"/>
  <c r="P128" i="12"/>
  <c r="X128" i="12" s="1"/>
  <c r="L128" i="12"/>
  <c r="H128" i="12"/>
  <c r="D128" i="12"/>
  <c r="B128" i="12"/>
  <c r="X127" i="12"/>
  <c r="Z127" i="12" s="1"/>
  <c r="N127" i="12"/>
  <c r="L127" i="12"/>
  <c r="J127" i="12"/>
  <c r="B127" i="12"/>
  <c r="T126" i="12"/>
  <c r="Z126" i="12" s="1"/>
  <c r="P126" i="12"/>
  <c r="X126" i="12" s="1"/>
  <c r="H126" i="12"/>
  <c r="D126" i="12"/>
  <c r="L126" i="12" s="1"/>
  <c r="B126" i="12"/>
  <c r="Z125" i="12"/>
  <c r="X125" i="12"/>
  <c r="L125" i="12"/>
  <c r="N125" i="12" s="1"/>
  <c r="B125" i="12"/>
  <c r="Z124" i="12"/>
  <c r="X124" i="12"/>
  <c r="N124" i="12"/>
  <c r="L124" i="12"/>
  <c r="J124" i="12"/>
  <c r="B124" i="12"/>
  <c r="V123" i="12"/>
  <c r="T123" i="12"/>
  <c r="P123" i="12"/>
  <c r="X123" i="12" s="1"/>
  <c r="Z123" i="12" s="1"/>
  <c r="H123" i="12"/>
  <c r="D123" i="12"/>
  <c r="L123" i="12" s="1"/>
  <c r="B123" i="12"/>
  <c r="X122" i="12"/>
  <c r="Z122" i="12" s="1"/>
  <c r="L122" i="12"/>
  <c r="N122" i="12" s="1"/>
  <c r="B122" i="12"/>
  <c r="X121" i="12"/>
  <c r="Z121" i="12" s="1"/>
  <c r="T121" i="12"/>
  <c r="P121" i="12"/>
  <c r="H121" i="12"/>
  <c r="D121" i="12"/>
  <c r="L121" i="12" s="1"/>
  <c r="N121" i="12" s="1"/>
  <c r="B121" i="12"/>
  <c r="Z120" i="12"/>
  <c r="X120" i="12"/>
  <c r="L120" i="12"/>
  <c r="N120" i="12" s="1"/>
  <c r="B120" i="12"/>
  <c r="Z119" i="12"/>
  <c r="X119" i="12"/>
  <c r="N119" i="12"/>
  <c r="L119" i="12"/>
  <c r="J119" i="12"/>
  <c r="B119" i="12"/>
  <c r="T118" i="12"/>
  <c r="P118" i="12"/>
  <c r="X118" i="12" s="1"/>
  <c r="H118" i="12"/>
  <c r="D118" i="12"/>
  <c r="L118" i="12" s="1"/>
  <c r="B118" i="12"/>
  <c r="Z117" i="12"/>
  <c r="X117" i="12"/>
  <c r="L117" i="12"/>
  <c r="N117" i="12" s="1"/>
  <c r="B117" i="12"/>
  <c r="X116" i="12"/>
  <c r="T116" i="12"/>
  <c r="P116" i="12"/>
  <c r="J116" i="12"/>
  <c r="H116" i="12"/>
  <c r="D116" i="12"/>
  <c r="L116" i="12" s="1"/>
  <c r="N116" i="12" s="1"/>
  <c r="B116" i="12"/>
  <c r="Z115" i="12"/>
  <c r="X115" i="12"/>
  <c r="L115" i="12"/>
  <c r="N115" i="12" s="1"/>
  <c r="B115" i="12"/>
  <c r="X114" i="12"/>
  <c r="Z114" i="12" s="1"/>
  <c r="L114" i="12"/>
  <c r="N114" i="12" s="1"/>
  <c r="B114" i="12"/>
  <c r="X113" i="12"/>
  <c r="Z113" i="12" s="1"/>
  <c r="T113" i="12"/>
  <c r="P113" i="12"/>
  <c r="H113" i="12"/>
  <c r="D113" i="12"/>
  <c r="L113" i="12" s="1"/>
  <c r="N113" i="12" s="1"/>
  <c r="B113" i="12"/>
  <c r="Z112" i="12"/>
  <c r="X112" i="12"/>
  <c r="L112" i="12"/>
  <c r="N112" i="12" s="1"/>
  <c r="B112" i="12"/>
  <c r="X111" i="12"/>
  <c r="T111" i="12"/>
  <c r="Z111" i="12" s="1"/>
  <c r="P111" i="12"/>
  <c r="J111" i="12"/>
  <c r="H111" i="12"/>
  <c r="L111" i="12" s="1"/>
  <c r="N111" i="12" s="1"/>
  <c r="D111" i="12"/>
  <c r="B111" i="12"/>
  <c r="Z110" i="12"/>
  <c r="X110" i="12"/>
  <c r="N110" i="12"/>
  <c r="L110" i="12"/>
  <c r="F110" i="12"/>
  <c r="B110" i="12"/>
  <c r="Z109" i="12"/>
  <c r="X109" i="12"/>
  <c r="N109" i="12"/>
  <c r="L109" i="12"/>
  <c r="B109" i="12"/>
  <c r="X108" i="12"/>
  <c r="Z108" i="12" s="1"/>
  <c r="L108" i="12"/>
  <c r="N108" i="12" s="1"/>
  <c r="J108" i="12"/>
  <c r="B108" i="12"/>
  <c r="Z107" i="12"/>
  <c r="X107" i="12"/>
  <c r="V107" i="12"/>
  <c r="N107" i="12"/>
  <c r="L107" i="12"/>
  <c r="B107" i="12"/>
  <c r="Z106" i="12"/>
  <c r="X106" i="12"/>
  <c r="N106" i="12"/>
  <c r="L106" i="12"/>
  <c r="B106" i="12"/>
  <c r="Z105" i="12"/>
  <c r="X105" i="12"/>
  <c r="L105" i="12"/>
  <c r="N105" i="12" s="1"/>
  <c r="B105" i="12"/>
  <c r="X104" i="12"/>
  <c r="Z104" i="12" s="1"/>
  <c r="L104" i="12"/>
  <c r="N104" i="12" s="1"/>
  <c r="J104" i="12"/>
  <c r="B104" i="12"/>
  <c r="Z103" i="12"/>
  <c r="X103" i="12"/>
  <c r="V103" i="12"/>
  <c r="N103" i="12"/>
  <c r="L103" i="12"/>
  <c r="B103" i="12"/>
  <c r="Z102" i="12"/>
  <c r="X102" i="12"/>
  <c r="L102" i="12"/>
  <c r="N102" i="12" s="1"/>
  <c r="B102" i="12"/>
  <c r="Z101" i="12"/>
  <c r="X101" i="12"/>
  <c r="L101" i="12"/>
  <c r="N101" i="12" s="1"/>
  <c r="J101" i="12"/>
  <c r="B101" i="12"/>
  <c r="X100" i="12"/>
  <c r="T100" i="12"/>
  <c r="Z100" i="12" s="1"/>
  <c r="P100" i="12"/>
  <c r="J100" i="12"/>
  <c r="H100" i="12"/>
  <c r="D100" i="12"/>
  <c r="L100" i="12" s="1"/>
  <c r="N100" i="12" s="1"/>
  <c r="B100" i="12"/>
  <c r="Z99" i="12"/>
  <c r="X99" i="12"/>
  <c r="L99" i="12"/>
  <c r="N99" i="12" s="1"/>
  <c r="B99" i="12"/>
  <c r="X98" i="12"/>
  <c r="Z98" i="12" s="1"/>
  <c r="N98" i="12"/>
  <c r="L98" i="12"/>
  <c r="B98" i="12"/>
  <c r="X97" i="12"/>
  <c r="Z97" i="12" s="1"/>
  <c r="N97" i="12"/>
  <c r="L97" i="12"/>
  <c r="J97" i="12"/>
  <c r="B97" i="12"/>
  <c r="Z96" i="12"/>
  <c r="X96" i="12"/>
  <c r="N96" i="12"/>
  <c r="L96" i="12"/>
  <c r="F96" i="12"/>
  <c r="B96" i="12"/>
  <c r="Z95" i="12"/>
  <c r="X95" i="12"/>
  <c r="N95" i="12"/>
  <c r="L95" i="12"/>
  <c r="B95" i="12"/>
  <c r="X94" i="12"/>
  <c r="Z94" i="12" s="1"/>
  <c r="L94" i="12"/>
  <c r="N94" i="12" s="1"/>
  <c r="B94" i="12"/>
  <c r="X93" i="12"/>
  <c r="Z93" i="12" s="1"/>
  <c r="N93" i="12"/>
  <c r="L93" i="12"/>
  <c r="J93" i="12"/>
  <c r="B93" i="12"/>
  <c r="X92" i="12"/>
  <c r="Z92" i="12" s="1"/>
  <c r="N92" i="12"/>
  <c r="L92" i="12"/>
  <c r="B92" i="12"/>
  <c r="Z91" i="12"/>
  <c r="X91" i="12"/>
  <c r="L91" i="12"/>
  <c r="N91" i="12" s="1"/>
  <c r="B91" i="12"/>
  <c r="X90" i="12"/>
  <c r="Z90" i="12" s="1"/>
  <c r="L90" i="12"/>
  <c r="N90" i="12" s="1"/>
  <c r="B90" i="12"/>
  <c r="X89" i="12"/>
  <c r="Z89" i="12" s="1"/>
  <c r="T89" i="12"/>
  <c r="P89" i="12"/>
  <c r="N89" i="12"/>
  <c r="H89" i="12"/>
  <c r="D89" i="12"/>
  <c r="L89" i="12" s="1"/>
  <c r="B89" i="12"/>
  <c r="T88" i="12"/>
  <c r="P88" i="12"/>
  <c r="X88" i="12" s="1"/>
  <c r="H88" i="12"/>
  <c r="N88" i="12" s="1"/>
  <c r="D88" i="12"/>
  <c r="L88" i="12" s="1"/>
  <c r="T86" i="12"/>
  <c r="Z84" i="12"/>
  <c r="X84" i="12"/>
  <c r="N84" i="12"/>
  <c r="L84" i="12"/>
  <c r="B84" i="12"/>
  <c r="Z83" i="12"/>
  <c r="X83" i="12"/>
  <c r="N83" i="12"/>
  <c r="L83" i="12"/>
  <c r="J83" i="12"/>
  <c r="B83" i="12"/>
  <c r="Z82" i="12"/>
  <c r="X82" i="12"/>
  <c r="N82" i="12"/>
  <c r="L82" i="12"/>
  <c r="J82" i="12"/>
  <c r="B82" i="12"/>
  <c r="Z81" i="12"/>
  <c r="X81" i="12"/>
  <c r="V81" i="12"/>
  <c r="N81" i="12"/>
  <c r="L81" i="12"/>
  <c r="J81" i="12"/>
  <c r="B81" i="12"/>
  <c r="Z80" i="12"/>
  <c r="X80" i="12"/>
  <c r="N80" i="12"/>
  <c r="L80" i="12"/>
  <c r="B80" i="12"/>
  <c r="Z79" i="12"/>
  <c r="X79" i="12"/>
  <c r="N79" i="12"/>
  <c r="L79" i="12"/>
  <c r="J79" i="12"/>
  <c r="B79" i="12"/>
  <c r="Z78" i="12"/>
  <c r="X78" i="12"/>
  <c r="N78" i="12"/>
  <c r="L78" i="12"/>
  <c r="J78" i="12"/>
  <c r="B78" i="12"/>
  <c r="Z77" i="12"/>
  <c r="X77" i="12"/>
  <c r="V77" i="12"/>
  <c r="N77" i="12"/>
  <c r="L77" i="12"/>
  <c r="J77" i="12"/>
  <c r="B77" i="12"/>
  <c r="Z76" i="12"/>
  <c r="X76" i="12"/>
  <c r="N76" i="12"/>
  <c r="L76" i="12"/>
  <c r="B76" i="12"/>
  <c r="Z75" i="12"/>
  <c r="X75" i="12"/>
  <c r="N75" i="12"/>
  <c r="L75" i="12"/>
  <c r="J75" i="12"/>
  <c r="B75" i="12"/>
  <c r="Z74" i="12"/>
  <c r="X74" i="12"/>
  <c r="N74" i="12"/>
  <c r="L74" i="12"/>
  <c r="J74" i="12"/>
  <c r="B74" i="12"/>
  <c r="Z73" i="12"/>
  <c r="X73" i="12"/>
  <c r="V73" i="12"/>
  <c r="N73" i="12"/>
  <c r="L73" i="12"/>
  <c r="J73" i="12"/>
  <c r="B73" i="12"/>
  <c r="Z72" i="12"/>
  <c r="X72" i="12"/>
  <c r="N72" i="12"/>
  <c r="L72" i="12"/>
  <c r="B72" i="12"/>
  <c r="Z71" i="12"/>
  <c r="X71" i="12"/>
  <c r="N71" i="12"/>
  <c r="L71" i="12"/>
  <c r="J71" i="12"/>
  <c r="B71" i="12"/>
  <c r="Z70" i="12"/>
  <c r="X70" i="12"/>
  <c r="N70" i="12"/>
  <c r="L70" i="12"/>
  <c r="J70" i="12"/>
  <c r="B70" i="12"/>
  <c r="Z69" i="12"/>
  <c r="X69" i="12"/>
  <c r="V69" i="12"/>
  <c r="N69" i="12"/>
  <c r="L69" i="12"/>
  <c r="J69" i="12"/>
  <c r="B69" i="12"/>
  <c r="Z68" i="12"/>
  <c r="X68" i="12"/>
  <c r="N68" i="12"/>
  <c r="L68" i="12"/>
  <c r="B68" i="12"/>
  <c r="Z67" i="12"/>
  <c r="X67" i="12"/>
  <c r="N67" i="12"/>
  <c r="L67" i="12"/>
  <c r="J67" i="12"/>
  <c r="B67" i="12"/>
  <c r="Z66" i="12"/>
  <c r="X66" i="12"/>
  <c r="N66" i="12"/>
  <c r="L66" i="12"/>
  <c r="J66" i="12"/>
  <c r="B66" i="12"/>
  <c r="Z65" i="12"/>
  <c r="X65" i="12"/>
  <c r="V65" i="12"/>
  <c r="N65" i="12"/>
  <c r="L65" i="12"/>
  <c r="J65" i="12"/>
  <c r="B65" i="12"/>
  <c r="Z64" i="12"/>
  <c r="X64" i="12"/>
  <c r="N64" i="12"/>
  <c r="L64" i="12"/>
  <c r="B64" i="12"/>
  <c r="Z63" i="12"/>
  <c r="X63" i="12"/>
  <c r="N63" i="12"/>
  <c r="L63" i="12"/>
  <c r="J63" i="12"/>
  <c r="B63" i="12"/>
  <c r="X62" i="12"/>
  <c r="Z62" i="12" s="1"/>
  <c r="N62" i="12"/>
  <c r="L62" i="12"/>
  <c r="J62" i="12"/>
  <c r="B62" i="12"/>
  <c r="Z61" i="12"/>
  <c r="V61" i="12"/>
  <c r="T61" i="12"/>
  <c r="X61" i="12" s="1"/>
  <c r="P61" i="12"/>
  <c r="L61" i="12"/>
  <c r="H61" i="12"/>
  <c r="H86" i="12" s="1"/>
  <c r="D61" i="12"/>
  <c r="Z59" i="12"/>
  <c r="P59" i="12"/>
  <c r="X59" i="12" s="1"/>
  <c r="N59" i="12"/>
  <c r="L59" i="12"/>
  <c r="D59" i="12"/>
  <c r="B59" i="12"/>
  <c r="Z58" i="12"/>
  <c r="P58" i="12"/>
  <c r="X58" i="12" s="1"/>
  <c r="N58" i="12"/>
  <c r="D58" i="12"/>
  <c r="L58" i="12" s="1"/>
  <c r="B58" i="12"/>
  <c r="Z57" i="12"/>
  <c r="P57" i="12"/>
  <c r="X57" i="12" s="1"/>
  <c r="N57" i="12"/>
  <c r="D57" i="12"/>
  <c r="L57" i="12" s="1"/>
  <c r="B57" i="12"/>
  <c r="Z56" i="12"/>
  <c r="X56" i="12"/>
  <c r="P56" i="12"/>
  <c r="N56" i="12"/>
  <c r="D56" i="12"/>
  <c r="L56" i="12" s="1"/>
  <c r="B56" i="12"/>
  <c r="Z55" i="12"/>
  <c r="P55" i="12"/>
  <c r="X55" i="12" s="1"/>
  <c r="N55" i="12"/>
  <c r="D55" i="12"/>
  <c r="L55" i="12" s="1"/>
  <c r="B55" i="12"/>
  <c r="Z54" i="12"/>
  <c r="X54" i="12"/>
  <c r="P54" i="12"/>
  <c r="N54" i="12"/>
  <c r="D54" i="12"/>
  <c r="L54" i="12" s="1"/>
  <c r="B54" i="12"/>
  <c r="Z53" i="12"/>
  <c r="X53" i="12"/>
  <c r="P53" i="12"/>
  <c r="N53" i="12"/>
  <c r="L53" i="12"/>
  <c r="D53" i="12"/>
  <c r="B53" i="12"/>
  <c r="Z52" i="12"/>
  <c r="X52" i="12"/>
  <c r="P52" i="12"/>
  <c r="N52" i="12"/>
  <c r="D52" i="12"/>
  <c r="L52" i="12" s="1"/>
  <c r="B52" i="12"/>
  <c r="Z51" i="12"/>
  <c r="X51" i="12"/>
  <c r="P51" i="12"/>
  <c r="N51" i="12"/>
  <c r="L51" i="12"/>
  <c r="D51" i="12"/>
  <c r="B51" i="12"/>
  <c r="Z50" i="12"/>
  <c r="X50" i="12"/>
  <c r="P50" i="12"/>
  <c r="N50" i="12"/>
  <c r="L50" i="12"/>
  <c r="D50" i="12"/>
  <c r="B50" i="12"/>
  <c r="Z49" i="12"/>
  <c r="P49" i="12"/>
  <c r="X49" i="12" s="1"/>
  <c r="N49" i="12"/>
  <c r="L49" i="12"/>
  <c r="D49" i="12"/>
  <c r="B49" i="12"/>
  <c r="Z48" i="12"/>
  <c r="P48" i="12"/>
  <c r="X48" i="12" s="1"/>
  <c r="N48" i="12"/>
  <c r="L48" i="12"/>
  <c r="D48" i="12"/>
  <c r="B48" i="12"/>
  <c r="Z47" i="12"/>
  <c r="P47" i="12"/>
  <c r="X47" i="12" s="1"/>
  <c r="N47" i="12"/>
  <c r="L47" i="12"/>
  <c r="D47" i="12"/>
  <c r="B47" i="12"/>
  <c r="Z46" i="12"/>
  <c r="P46" i="12"/>
  <c r="X46" i="12" s="1"/>
  <c r="N46" i="12"/>
  <c r="D46" i="12"/>
  <c r="L46" i="12" s="1"/>
  <c r="B46" i="12"/>
  <c r="Z45" i="12"/>
  <c r="P45" i="12"/>
  <c r="X45" i="12" s="1"/>
  <c r="N45" i="12"/>
  <c r="D45" i="12"/>
  <c r="L45" i="12" s="1"/>
  <c r="B45" i="12"/>
  <c r="Z44" i="12"/>
  <c r="X44" i="12"/>
  <c r="P44" i="12"/>
  <c r="N44" i="12"/>
  <c r="D44" i="12"/>
  <c r="L44" i="12" s="1"/>
  <c r="B44" i="12"/>
  <c r="Z43" i="12"/>
  <c r="P43" i="12"/>
  <c r="X43" i="12" s="1"/>
  <c r="N43" i="12"/>
  <c r="D43" i="12"/>
  <c r="L43" i="12" s="1"/>
  <c r="B43" i="12"/>
  <c r="Z42" i="12"/>
  <c r="X42" i="12"/>
  <c r="P42" i="12"/>
  <c r="N42" i="12"/>
  <c r="D42" i="12"/>
  <c r="L42" i="12" s="1"/>
  <c r="B42" i="12"/>
  <c r="Z41" i="12"/>
  <c r="X41" i="12"/>
  <c r="P41" i="12"/>
  <c r="N41" i="12"/>
  <c r="L41" i="12"/>
  <c r="D41" i="12"/>
  <c r="B41" i="12"/>
  <c r="Z40" i="12"/>
  <c r="X40" i="12"/>
  <c r="P40" i="12"/>
  <c r="N40" i="12"/>
  <c r="D40" i="12"/>
  <c r="L40" i="12" s="1"/>
  <c r="B40" i="12"/>
  <c r="Z39" i="12"/>
  <c r="X39" i="12"/>
  <c r="P39" i="12"/>
  <c r="N39" i="12"/>
  <c r="L39" i="12"/>
  <c r="D39" i="12"/>
  <c r="B39" i="12"/>
  <c r="Z38" i="12"/>
  <c r="X38" i="12"/>
  <c r="P38" i="12"/>
  <c r="N38" i="12"/>
  <c r="L38" i="12"/>
  <c r="D38" i="12"/>
  <c r="B38" i="12"/>
  <c r="Z37" i="12"/>
  <c r="P37" i="12"/>
  <c r="X37" i="12" s="1"/>
  <c r="N37" i="12"/>
  <c r="L37" i="12"/>
  <c r="D37" i="12"/>
  <c r="B37" i="12"/>
  <c r="Z36" i="12"/>
  <c r="P36" i="12"/>
  <c r="X36" i="12" s="1"/>
  <c r="N36" i="12"/>
  <c r="L36" i="12"/>
  <c r="D36" i="12"/>
  <c r="B36" i="12"/>
  <c r="Z35" i="12"/>
  <c r="P35" i="12"/>
  <c r="X35" i="12" s="1"/>
  <c r="N35" i="12"/>
  <c r="L35" i="12"/>
  <c r="D35" i="12"/>
  <c r="B35" i="12"/>
  <c r="Z34" i="12"/>
  <c r="P34" i="12"/>
  <c r="X34" i="12" s="1"/>
  <c r="N34" i="12"/>
  <c r="D34" i="12"/>
  <c r="L34" i="12" s="1"/>
  <c r="B34" i="12"/>
  <c r="Z33" i="12"/>
  <c r="P33" i="12"/>
  <c r="X33" i="12" s="1"/>
  <c r="N33" i="12"/>
  <c r="D33" i="12"/>
  <c r="L33" i="12" s="1"/>
  <c r="B33" i="12"/>
  <c r="Z32" i="12"/>
  <c r="X32" i="12"/>
  <c r="P32" i="12"/>
  <c r="N32" i="12"/>
  <c r="D32" i="12"/>
  <c r="L32" i="12" s="1"/>
  <c r="B32" i="12"/>
  <c r="Z31" i="12"/>
  <c r="P31" i="12"/>
  <c r="X31" i="12" s="1"/>
  <c r="N31" i="12"/>
  <c r="D31" i="12"/>
  <c r="L31" i="12" s="1"/>
  <c r="B31" i="12"/>
  <c r="Z30" i="12"/>
  <c r="X30" i="12"/>
  <c r="P30" i="12"/>
  <c r="N30" i="12"/>
  <c r="D30" i="12"/>
  <c r="L30" i="12" s="1"/>
  <c r="B30" i="12"/>
  <c r="X29" i="12"/>
  <c r="Z29" i="12" s="1"/>
  <c r="P29" i="12"/>
  <c r="N29" i="12"/>
  <c r="L29" i="12"/>
  <c r="D29" i="12"/>
  <c r="B29" i="12"/>
  <c r="Z28" i="12"/>
  <c r="X28" i="12"/>
  <c r="P28" i="12"/>
  <c r="N28" i="12"/>
  <c r="D28" i="12"/>
  <c r="L28" i="12" s="1"/>
  <c r="B28" i="12"/>
  <c r="Z27" i="12"/>
  <c r="X27" i="12"/>
  <c r="P27" i="12"/>
  <c r="N27" i="12"/>
  <c r="L27" i="12"/>
  <c r="D27" i="12"/>
  <c r="B27" i="12"/>
  <c r="Z26" i="12"/>
  <c r="X26" i="12"/>
  <c r="P26" i="12"/>
  <c r="N26" i="12"/>
  <c r="L26" i="12"/>
  <c r="D26" i="12"/>
  <c r="B26" i="12"/>
  <c r="Z25" i="12"/>
  <c r="P25" i="12"/>
  <c r="X25" i="12" s="1"/>
  <c r="N25" i="12"/>
  <c r="L25" i="12"/>
  <c r="D25" i="12"/>
  <c r="B25" i="12"/>
  <c r="Z24" i="12"/>
  <c r="P24" i="12"/>
  <c r="X24" i="12" s="1"/>
  <c r="N24" i="12"/>
  <c r="L24" i="12"/>
  <c r="D24" i="12"/>
  <c r="B24" i="12"/>
  <c r="Z23" i="12"/>
  <c r="P23" i="12"/>
  <c r="X23" i="12" s="1"/>
  <c r="N23" i="12"/>
  <c r="L23" i="12"/>
  <c r="D23" i="12"/>
  <c r="B23" i="12"/>
  <c r="Z22" i="12"/>
  <c r="P22" i="12"/>
  <c r="X22" i="12" s="1"/>
  <c r="N22" i="12"/>
  <c r="D22" i="12"/>
  <c r="L22" i="12" s="1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D20" i="12"/>
  <c r="L20" i="12" s="1"/>
  <c r="B20" i="12"/>
  <c r="Z19" i="12"/>
  <c r="P19" i="12"/>
  <c r="X19" i="12" s="1"/>
  <c r="N19" i="12"/>
  <c r="D19" i="12"/>
  <c r="L19" i="12" s="1"/>
  <c r="B19" i="12"/>
  <c r="Z18" i="12"/>
  <c r="X18" i="12"/>
  <c r="P18" i="12"/>
  <c r="N18" i="12"/>
  <c r="D18" i="12"/>
  <c r="L18" i="12" s="1"/>
  <c r="B18" i="12"/>
  <c r="Z17" i="12"/>
  <c r="X17" i="12"/>
  <c r="P17" i="12"/>
  <c r="N17" i="12"/>
  <c r="L17" i="12"/>
  <c r="D17" i="12"/>
  <c r="B17" i="12"/>
  <c r="Z16" i="12"/>
  <c r="X16" i="12"/>
  <c r="P16" i="12"/>
  <c r="N16" i="12"/>
  <c r="D16" i="12"/>
  <c r="L16" i="12" s="1"/>
  <c r="B16" i="12"/>
  <c r="Z15" i="12"/>
  <c r="X15" i="12"/>
  <c r="P15" i="12"/>
  <c r="N15" i="12"/>
  <c r="L15" i="12"/>
  <c r="D15" i="12"/>
  <c r="B15" i="12"/>
  <c r="Z14" i="12"/>
  <c r="X14" i="12"/>
  <c r="P14" i="12"/>
  <c r="N14" i="12"/>
  <c r="L14" i="12"/>
  <c r="D14" i="12"/>
  <c r="B14" i="12"/>
  <c r="P13" i="12"/>
  <c r="L13" i="12"/>
  <c r="N13" i="12" s="1"/>
  <c r="D13" i="12"/>
  <c r="B13" i="12"/>
  <c r="T12" i="12"/>
  <c r="V171" i="12" s="1"/>
  <c r="H12" i="12"/>
  <c r="J188" i="12" s="1"/>
  <c r="D12" i="12"/>
  <c r="F171" i="12" s="1"/>
  <c r="D4" i="12"/>
  <c r="J108" i="9"/>
  <c r="F108" i="9"/>
  <c r="J105" i="9"/>
  <c r="F105" i="9"/>
  <c r="Z103" i="9"/>
  <c r="X103" i="9"/>
  <c r="N103" i="9"/>
  <c r="L103" i="9"/>
  <c r="V101" i="9"/>
  <c r="Z99" i="9"/>
  <c r="V99" i="9"/>
  <c r="P99" i="9"/>
  <c r="X99" i="9" s="1"/>
  <c r="N99" i="9"/>
  <c r="J99" i="9"/>
  <c r="D99" i="9"/>
  <c r="L99" i="9" s="1"/>
  <c r="B99" i="9"/>
  <c r="Z98" i="9"/>
  <c r="X98" i="9"/>
  <c r="P98" i="9"/>
  <c r="N98" i="9"/>
  <c r="F98" i="9"/>
  <c r="D98" i="9"/>
  <c r="L98" i="9" s="1"/>
  <c r="B98" i="9"/>
  <c r="V97" i="9"/>
  <c r="P97" i="9"/>
  <c r="X97" i="9" s="1"/>
  <c r="Z97" i="9" s="1"/>
  <c r="D97" i="9"/>
  <c r="B97" i="9"/>
  <c r="T96" i="9"/>
  <c r="P96" i="9"/>
  <c r="X96" i="9" s="1"/>
  <c r="H96" i="9"/>
  <c r="F96" i="9"/>
  <c r="Z94" i="9"/>
  <c r="X94" i="9"/>
  <c r="N94" i="9"/>
  <c r="L94" i="9"/>
  <c r="B94" i="9"/>
  <c r="X93" i="9"/>
  <c r="Z93" i="9" s="1"/>
  <c r="N93" i="9"/>
  <c r="L93" i="9"/>
  <c r="J93" i="9"/>
  <c r="B93" i="9"/>
  <c r="T92" i="9"/>
  <c r="P92" i="9"/>
  <c r="X92" i="9" s="1"/>
  <c r="H92" i="9"/>
  <c r="D92" i="9"/>
  <c r="B92" i="9"/>
  <c r="Z91" i="9"/>
  <c r="X91" i="9"/>
  <c r="L91" i="9"/>
  <c r="N91" i="9" s="1"/>
  <c r="B91" i="9"/>
  <c r="X90" i="9"/>
  <c r="T90" i="9"/>
  <c r="P90" i="9"/>
  <c r="N90" i="9"/>
  <c r="H90" i="9"/>
  <c r="D90" i="9"/>
  <c r="L90" i="9" s="1"/>
  <c r="B90" i="9"/>
  <c r="Z89" i="9"/>
  <c r="X89" i="9"/>
  <c r="L89" i="9"/>
  <c r="N89" i="9" s="1"/>
  <c r="F89" i="9"/>
  <c r="B89" i="9"/>
  <c r="X88" i="9"/>
  <c r="Z88" i="9" s="1"/>
  <c r="L88" i="9"/>
  <c r="N88" i="9" s="1"/>
  <c r="B88" i="9"/>
  <c r="X87" i="9"/>
  <c r="Z87" i="9" s="1"/>
  <c r="T87" i="9"/>
  <c r="R87" i="9"/>
  <c r="P87" i="9"/>
  <c r="N87" i="9"/>
  <c r="H87" i="9"/>
  <c r="D87" i="9"/>
  <c r="L87" i="9" s="1"/>
  <c r="B87" i="9"/>
  <c r="Z86" i="9"/>
  <c r="X86" i="9"/>
  <c r="L86" i="9"/>
  <c r="N86" i="9" s="1"/>
  <c r="B86" i="9"/>
  <c r="X85" i="9"/>
  <c r="Z85" i="9" s="1"/>
  <c r="N85" i="9"/>
  <c r="L85" i="9"/>
  <c r="J85" i="9"/>
  <c r="B85" i="9"/>
  <c r="X84" i="9"/>
  <c r="Z84" i="9" s="1"/>
  <c r="N84" i="9"/>
  <c r="L84" i="9"/>
  <c r="B84" i="9"/>
  <c r="Z83" i="9"/>
  <c r="X83" i="9"/>
  <c r="V83" i="9"/>
  <c r="N83" i="9"/>
  <c r="L83" i="9"/>
  <c r="F83" i="9"/>
  <c r="B83" i="9"/>
  <c r="Z82" i="9"/>
  <c r="X82" i="9"/>
  <c r="L82" i="9"/>
  <c r="N82" i="9" s="1"/>
  <c r="B82" i="9"/>
  <c r="X81" i="9"/>
  <c r="V81" i="9"/>
  <c r="T81" i="9"/>
  <c r="Z81" i="9" s="1"/>
  <c r="P81" i="9"/>
  <c r="N81" i="9"/>
  <c r="J81" i="9"/>
  <c r="H81" i="9"/>
  <c r="L81" i="9" s="1"/>
  <c r="D81" i="9"/>
  <c r="B81" i="9"/>
  <c r="Z80" i="9"/>
  <c r="X80" i="9"/>
  <c r="V80" i="9"/>
  <c r="L80" i="9"/>
  <c r="N80" i="9" s="1"/>
  <c r="F80" i="9"/>
  <c r="B80" i="9"/>
  <c r="Z79" i="9"/>
  <c r="X79" i="9"/>
  <c r="L79" i="9"/>
  <c r="N79" i="9" s="1"/>
  <c r="B79" i="9"/>
  <c r="X78" i="9"/>
  <c r="T78" i="9"/>
  <c r="Z78" i="9" s="1"/>
  <c r="P78" i="9"/>
  <c r="H78" i="9"/>
  <c r="D78" i="9"/>
  <c r="L78" i="9" s="1"/>
  <c r="N78" i="9" s="1"/>
  <c r="B78" i="9"/>
  <c r="Z77" i="9"/>
  <c r="X77" i="9"/>
  <c r="L77" i="9"/>
  <c r="N77" i="9" s="1"/>
  <c r="F77" i="9"/>
  <c r="B77" i="9"/>
  <c r="X76" i="9"/>
  <c r="Z76" i="9" s="1"/>
  <c r="N76" i="9"/>
  <c r="L76" i="9"/>
  <c r="B76" i="9"/>
  <c r="X75" i="9"/>
  <c r="Z75" i="9" s="1"/>
  <c r="T75" i="9"/>
  <c r="P75" i="9"/>
  <c r="H75" i="9"/>
  <c r="D75" i="9"/>
  <c r="L75" i="9" s="1"/>
  <c r="N75" i="9" s="1"/>
  <c r="B75" i="9"/>
  <c r="Z74" i="9"/>
  <c r="X74" i="9"/>
  <c r="N74" i="9"/>
  <c r="L74" i="9"/>
  <c r="B74" i="9"/>
  <c r="X73" i="9"/>
  <c r="Z73" i="9" s="1"/>
  <c r="V73" i="9"/>
  <c r="N73" i="9"/>
  <c r="L73" i="9"/>
  <c r="J73" i="9"/>
  <c r="B73" i="9"/>
  <c r="Z72" i="9"/>
  <c r="X72" i="9"/>
  <c r="N72" i="9"/>
  <c r="L72" i="9"/>
  <c r="B72" i="9"/>
  <c r="Z71" i="9"/>
  <c r="X71" i="9"/>
  <c r="V71" i="9"/>
  <c r="N71" i="9"/>
  <c r="L71" i="9"/>
  <c r="F71" i="9"/>
  <c r="B71" i="9"/>
  <c r="T70" i="9"/>
  <c r="P70" i="9"/>
  <c r="H70" i="9"/>
  <c r="F70" i="9"/>
  <c r="D70" i="9"/>
  <c r="L70" i="9" s="1"/>
  <c r="B70" i="9"/>
  <c r="Z69" i="9"/>
  <c r="X69" i="9"/>
  <c r="V69" i="9"/>
  <c r="N69" i="9"/>
  <c r="L69" i="9"/>
  <c r="B69" i="9"/>
  <c r="Z68" i="9"/>
  <c r="X68" i="9"/>
  <c r="V68" i="9"/>
  <c r="L68" i="9"/>
  <c r="N68" i="9" s="1"/>
  <c r="F68" i="9"/>
  <c r="B68" i="9"/>
  <c r="Z67" i="9"/>
  <c r="X67" i="9"/>
  <c r="L67" i="9"/>
  <c r="N67" i="9" s="1"/>
  <c r="B67" i="9"/>
  <c r="X66" i="9"/>
  <c r="Z66" i="9" s="1"/>
  <c r="L66" i="9"/>
  <c r="N66" i="9" s="1"/>
  <c r="J66" i="9"/>
  <c r="B66" i="9"/>
  <c r="V65" i="9"/>
  <c r="T65" i="9"/>
  <c r="P65" i="9"/>
  <c r="X65" i="9" s="1"/>
  <c r="Z65" i="9" s="1"/>
  <c r="H65" i="9"/>
  <c r="D65" i="9"/>
  <c r="B65" i="9"/>
  <c r="X64" i="9"/>
  <c r="Z64" i="9" s="1"/>
  <c r="N64" i="9"/>
  <c r="L64" i="9"/>
  <c r="B64" i="9"/>
  <c r="X63" i="9"/>
  <c r="Z63" i="9" s="1"/>
  <c r="N63" i="9"/>
  <c r="L63" i="9"/>
  <c r="J63" i="9"/>
  <c r="B63" i="9"/>
  <c r="V62" i="9"/>
  <c r="T62" i="9"/>
  <c r="Z62" i="9" s="1"/>
  <c r="P62" i="9"/>
  <c r="X62" i="9" s="1"/>
  <c r="H62" i="9"/>
  <c r="D62" i="9"/>
  <c r="B62" i="9"/>
  <c r="X61" i="9"/>
  <c r="Z61" i="9" s="1"/>
  <c r="V61" i="9"/>
  <c r="N61" i="9"/>
  <c r="L61" i="9"/>
  <c r="J61" i="9"/>
  <c r="B61" i="9"/>
  <c r="T60" i="9"/>
  <c r="Z60" i="9" s="1"/>
  <c r="P60" i="9"/>
  <c r="X60" i="9" s="1"/>
  <c r="H60" i="9"/>
  <c r="D60" i="9"/>
  <c r="B60" i="9"/>
  <c r="Z59" i="9"/>
  <c r="X59" i="9"/>
  <c r="L59" i="9"/>
  <c r="N59" i="9" s="1"/>
  <c r="B59" i="9"/>
  <c r="X58" i="9"/>
  <c r="T58" i="9"/>
  <c r="Z58" i="9" s="1"/>
  <c r="P58" i="9"/>
  <c r="H58" i="9"/>
  <c r="D58" i="9"/>
  <c r="L58" i="9" s="1"/>
  <c r="N58" i="9" s="1"/>
  <c r="B58" i="9"/>
  <c r="Z57" i="9"/>
  <c r="X57" i="9"/>
  <c r="L57" i="9"/>
  <c r="N57" i="9" s="1"/>
  <c r="F57" i="9"/>
  <c r="B57" i="9"/>
  <c r="T56" i="9"/>
  <c r="P56" i="9"/>
  <c r="J56" i="9"/>
  <c r="H56" i="9"/>
  <c r="N56" i="9" s="1"/>
  <c r="F56" i="9"/>
  <c r="D56" i="9"/>
  <c r="L56" i="9" s="1"/>
  <c r="B56" i="9"/>
  <c r="Z55" i="9"/>
  <c r="X55" i="9"/>
  <c r="V55" i="9"/>
  <c r="N55" i="9"/>
  <c r="L55" i="9"/>
  <c r="F55" i="9"/>
  <c r="B55" i="9"/>
  <c r="T54" i="9"/>
  <c r="P54" i="9"/>
  <c r="X54" i="9" s="1"/>
  <c r="H54" i="9"/>
  <c r="N54" i="9" s="1"/>
  <c r="F54" i="9"/>
  <c r="D54" i="9"/>
  <c r="L54" i="9" s="1"/>
  <c r="B54" i="9"/>
  <c r="Z53" i="9"/>
  <c r="X53" i="9"/>
  <c r="V53" i="9"/>
  <c r="N53" i="9"/>
  <c r="L53" i="9"/>
  <c r="B53" i="9"/>
  <c r="V52" i="9"/>
  <c r="T52" i="9"/>
  <c r="P52" i="9"/>
  <c r="X52" i="9" s="1"/>
  <c r="Z52" i="9" s="1"/>
  <c r="L52" i="9"/>
  <c r="H52" i="9"/>
  <c r="D52" i="9"/>
  <c r="B52" i="9"/>
  <c r="X51" i="9"/>
  <c r="Z51" i="9" s="1"/>
  <c r="V51" i="9"/>
  <c r="N51" i="9"/>
  <c r="L51" i="9"/>
  <c r="J51" i="9"/>
  <c r="B51" i="9"/>
  <c r="X50" i="9"/>
  <c r="Z50" i="9" s="1"/>
  <c r="V50" i="9"/>
  <c r="N50" i="9"/>
  <c r="L50" i="9"/>
  <c r="F50" i="9"/>
  <c r="B50" i="9"/>
  <c r="Z49" i="9"/>
  <c r="T49" i="9"/>
  <c r="P49" i="9"/>
  <c r="X49" i="9" s="1"/>
  <c r="L49" i="9"/>
  <c r="N49" i="9" s="1"/>
  <c r="H49" i="9"/>
  <c r="F49" i="9"/>
  <c r="D49" i="9"/>
  <c r="B49" i="9"/>
  <c r="X48" i="9"/>
  <c r="Z48" i="9" s="1"/>
  <c r="N48" i="9"/>
  <c r="L48" i="9"/>
  <c r="B48" i="9"/>
  <c r="Z47" i="9"/>
  <c r="V47" i="9"/>
  <c r="T47" i="9"/>
  <c r="X47" i="9" s="1"/>
  <c r="P47" i="9"/>
  <c r="L47" i="9"/>
  <c r="H47" i="9"/>
  <c r="N47" i="9" s="1"/>
  <c r="D47" i="9"/>
  <c r="B47" i="9"/>
  <c r="X46" i="9"/>
  <c r="Z46" i="9" s="1"/>
  <c r="L46" i="9"/>
  <c r="N46" i="9" s="1"/>
  <c r="J46" i="9"/>
  <c r="B46" i="9"/>
  <c r="V45" i="9"/>
  <c r="T45" i="9"/>
  <c r="P45" i="9"/>
  <c r="X45" i="9" s="1"/>
  <c r="Z45" i="9" s="1"/>
  <c r="H45" i="9"/>
  <c r="D45" i="9"/>
  <c r="L45" i="9" s="1"/>
  <c r="B45" i="9"/>
  <c r="X44" i="9"/>
  <c r="Z44" i="9" s="1"/>
  <c r="L44" i="9"/>
  <c r="N44" i="9" s="1"/>
  <c r="B44" i="9"/>
  <c r="X43" i="9"/>
  <c r="Z43" i="9" s="1"/>
  <c r="V43" i="9"/>
  <c r="T43" i="9"/>
  <c r="P43" i="9"/>
  <c r="H43" i="9"/>
  <c r="D43" i="9"/>
  <c r="L43" i="9" s="1"/>
  <c r="N43" i="9" s="1"/>
  <c r="B43" i="9"/>
  <c r="Z42" i="9"/>
  <c r="X42" i="9"/>
  <c r="N42" i="9"/>
  <c r="L42" i="9"/>
  <c r="B42" i="9"/>
  <c r="Z41" i="9"/>
  <c r="X41" i="9"/>
  <c r="V41" i="9"/>
  <c r="N41" i="9"/>
  <c r="L41" i="9"/>
  <c r="J41" i="9"/>
  <c r="B41" i="9"/>
  <c r="Z40" i="9"/>
  <c r="X40" i="9"/>
  <c r="N40" i="9"/>
  <c r="L40" i="9"/>
  <c r="B40" i="9"/>
  <c r="Z39" i="9"/>
  <c r="X39" i="9"/>
  <c r="V39" i="9"/>
  <c r="N39" i="9"/>
  <c r="L39" i="9"/>
  <c r="F39" i="9"/>
  <c r="B39" i="9"/>
  <c r="Z38" i="9"/>
  <c r="X38" i="9"/>
  <c r="N38" i="9"/>
  <c r="L38" i="9"/>
  <c r="B38" i="9"/>
  <c r="X37" i="9"/>
  <c r="Z37" i="9" s="1"/>
  <c r="V37" i="9"/>
  <c r="N37" i="9"/>
  <c r="L37" i="9"/>
  <c r="J37" i="9"/>
  <c r="B37" i="9"/>
  <c r="X36" i="9"/>
  <c r="Z36" i="9" s="1"/>
  <c r="N36" i="9"/>
  <c r="L36" i="9"/>
  <c r="B36" i="9"/>
  <c r="Z35" i="9"/>
  <c r="X35" i="9"/>
  <c r="V35" i="9"/>
  <c r="N35" i="9"/>
  <c r="L35" i="9"/>
  <c r="F35" i="9"/>
  <c r="B35" i="9"/>
  <c r="Z34" i="9"/>
  <c r="X34" i="9"/>
  <c r="L34" i="9"/>
  <c r="N34" i="9" s="1"/>
  <c r="B34" i="9"/>
  <c r="X33" i="9"/>
  <c r="Z33" i="9" s="1"/>
  <c r="V33" i="9"/>
  <c r="N33" i="9"/>
  <c r="L33" i="9"/>
  <c r="J33" i="9"/>
  <c r="B33" i="9"/>
  <c r="T32" i="9"/>
  <c r="Z32" i="9" s="1"/>
  <c r="P32" i="9"/>
  <c r="X32" i="9" s="1"/>
  <c r="H32" i="9"/>
  <c r="D32" i="9"/>
  <c r="B32" i="9"/>
  <c r="Z31" i="9"/>
  <c r="X31" i="9"/>
  <c r="L31" i="9"/>
  <c r="N31" i="9" s="1"/>
  <c r="B31" i="9"/>
  <c r="X30" i="9"/>
  <c r="Z30" i="9" s="1"/>
  <c r="L30" i="9"/>
  <c r="N30" i="9" s="1"/>
  <c r="J30" i="9"/>
  <c r="F30" i="9"/>
  <c r="B30" i="9"/>
  <c r="Z29" i="9"/>
  <c r="X29" i="9"/>
  <c r="V29" i="9"/>
  <c r="N29" i="9"/>
  <c r="L29" i="9"/>
  <c r="B29" i="9"/>
  <c r="Z28" i="9"/>
  <c r="X28" i="9"/>
  <c r="V28" i="9"/>
  <c r="L28" i="9"/>
  <c r="N28" i="9" s="1"/>
  <c r="F28" i="9"/>
  <c r="B28" i="9"/>
  <c r="Z27" i="9"/>
  <c r="X27" i="9"/>
  <c r="N27" i="9"/>
  <c r="L27" i="9"/>
  <c r="B27" i="9"/>
  <c r="X26" i="9"/>
  <c r="Z26" i="9" s="1"/>
  <c r="L26" i="9"/>
  <c r="N26" i="9" s="1"/>
  <c r="J26" i="9"/>
  <c r="F26" i="9"/>
  <c r="B26" i="9"/>
  <c r="Z25" i="9"/>
  <c r="X25" i="9"/>
  <c r="V25" i="9"/>
  <c r="N25" i="9"/>
  <c r="L25" i="9"/>
  <c r="B25" i="9"/>
  <c r="Z24" i="9"/>
  <c r="X24" i="9"/>
  <c r="V24" i="9"/>
  <c r="L24" i="9"/>
  <c r="N24" i="9" s="1"/>
  <c r="F24" i="9"/>
  <c r="B24" i="9"/>
  <c r="Z23" i="9"/>
  <c r="X23" i="9"/>
  <c r="V23" i="9"/>
  <c r="L23" i="9"/>
  <c r="N23" i="9" s="1"/>
  <c r="B23" i="9"/>
  <c r="X22" i="9"/>
  <c r="Z22" i="9" s="1"/>
  <c r="L22" i="9"/>
  <c r="N22" i="9" s="1"/>
  <c r="J22" i="9"/>
  <c r="F22" i="9"/>
  <c r="B22" i="9"/>
  <c r="Z21" i="9"/>
  <c r="X21" i="9"/>
  <c r="V21" i="9"/>
  <c r="N21" i="9"/>
  <c r="L21" i="9"/>
  <c r="B21" i="9"/>
  <c r="V20" i="9"/>
  <c r="T20" i="9"/>
  <c r="P20" i="9"/>
  <c r="X20" i="9" s="1"/>
  <c r="Z20" i="9" s="1"/>
  <c r="L20" i="9"/>
  <c r="H20" i="9"/>
  <c r="N20" i="9" s="1"/>
  <c r="D20" i="9"/>
  <c r="B20" i="9"/>
  <c r="X19" i="9"/>
  <c r="Z19" i="9" s="1"/>
  <c r="V19" i="9"/>
  <c r="T19" i="9"/>
  <c r="P19" i="9"/>
  <c r="H19" i="9"/>
  <c r="D19" i="9"/>
  <c r="L19" i="9" s="1"/>
  <c r="N19" i="9" s="1"/>
  <c r="V17" i="9"/>
  <c r="D17" i="9"/>
  <c r="Z15" i="9"/>
  <c r="X15" i="9"/>
  <c r="V15" i="9"/>
  <c r="T15" i="9"/>
  <c r="P15" i="9"/>
  <c r="N15" i="9"/>
  <c r="H15" i="9"/>
  <c r="D15" i="9"/>
  <c r="L15" i="9" s="1"/>
  <c r="Z13" i="9"/>
  <c r="X13" i="9"/>
  <c r="P13" i="9"/>
  <c r="P12" i="9" s="1"/>
  <c r="R75" i="9" s="1"/>
  <c r="N13" i="9"/>
  <c r="L13" i="9"/>
  <c r="D13" i="9"/>
  <c r="B13" i="9"/>
  <c r="T12" i="9"/>
  <c r="V90" i="9" s="1"/>
  <c r="N12" i="9"/>
  <c r="H12" i="9"/>
  <c r="J94" i="9" s="1"/>
  <c r="D12" i="9"/>
  <c r="F63" i="9" s="1"/>
  <c r="D4" i="9"/>
  <c r="J31" i="6"/>
  <c r="F31" i="6"/>
  <c r="T29" i="6"/>
  <c r="P29" i="6"/>
  <c r="X29" i="6" s="1"/>
  <c r="Z29" i="6" s="1"/>
  <c r="L29" i="6"/>
  <c r="N29" i="6" s="1"/>
  <c r="J29" i="6"/>
  <c r="H29" i="6"/>
  <c r="F29" i="6"/>
  <c r="D29" i="6"/>
  <c r="Z28" i="6"/>
  <c r="T28" i="6"/>
  <c r="P28" i="6"/>
  <c r="X28" i="6" s="1"/>
  <c r="L28" i="6"/>
  <c r="N28" i="6" s="1"/>
  <c r="J28" i="6"/>
  <c r="H28" i="6"/>
  <c r="F28" i="6"/>
  <c r="D28" i="6"/>
  <c r="J26" i="6"/>
  <c r="F26" i="6"/>
  <c r="Z24" i="6"/>
  <c r="X24" i="6"/>
  <c r="N24" i="6"/>
  <c r="L24" i="6"/>
  <c r="J24" i="6"/>
  <c r="F24" i="6"/>
  <c r="V22" i="6"/>
  <c r="R22" i="6"/>
  <c r="J22" i="6"/>
  <c r="H22" i="6"/>
  <c r="F22" i="6"/>
  <c r="Z20" i="6"/>
  <c r="X20" i="6"/>
  <c r="V20" i="6"/>
  <c r="T20" i="6"/>
  <c r="R20" i="6"/>
  <c r="P20" i="6"/>
  <c r="J20" i="6"/>
  <c r="H20" i="6"/>
  <c r="N20" i="6" s="1"/>
  <c r="F20" i="6"/>
  <c r="D20" i="6"/>
  <c r="L20" i="6" s="1"/>
  <c r="Z18" i="6"/>
  <c r="X18" i="6"/>
  <c r="V18" i="6"/>
  <c r="T18" i="6"/>
  <c r="R18" i="6"/>
  <c r="P18" i="6"/>
  <c r="J18" i="6"/>
  <c r="H18" i="6"/>
  <c r="N18" i="6" s="1"/>
  <c r="F18" i="6"/>
  <c r="D18" i="6"/>
  <c r="L18" i="6" s="1"/>
  <c r="R16" i="6"/>
  <c r="J16" i="6"/>
  <c r="H16" i="6"/>
  <c r="N16" i="6" s="1"/>
  <c r="F16" i="6"/>
  <c r="Z14" i="6"/>
  <c r="X14" i="6"/>
  <c r="T14" i="6"/>
  <c r="R14" i="6"/>
  <c r="P14" i="6"/>
  <c r="J14" i="6"/>
  <c r="H14" i="6"/>
  <c r="N14" i="6" s="1"/>
  <c r="F14" i="6"/>
  <c r="D14" i="6"/>
  <c r="L14" i="6" s="1"/>
  <c r="T12" i="6"/>
  <c r="V14" i="6" s="1"/>
  <c r="P12" i="6"/>
  <c r="P16" i="6" s="1"/>
  <c r="N12" i="6"/>
  <c r="L12" i="6"/>
  <c r="H12" i="6"/>
  <c r="D12" i="6"/>
  <c r="D4" i="6"/>
  <c r="T232" i="3"/>
  <c r="P232" i="3"/>
  <c r="H232" i="3"/>
  <c r="D232" i="3"/>
  <c r="L232" i="3" s="1"/>
  <c r="T231" i="3"/>
  <c r="P231" i="3"/>
  <c r="H231" i="3"/>
  <c r="D231" i="3"/>
  <c r="L231" i="3" s="1"/>
  <c r="Z227" i="3"/>
  <c r="X227" i="3"/>
  <c r="L227" i="3"/>
  <c r="N227" i="3" s="1"/>
  <c r="Z223" i="3"/>
  <c r="P223" i="3"/>
  <c r="X223" i="3" s="1"/>
  <c r="N223" i="3"/>
  <c r="D223" i="3"/>
  <c r="L223" i="3" s="1"/>
  <c r="B223" i="3"/>
  <c r="Z222" i="3"/>
  <c r="P222" i="3"/>
  <c r="X222" i="3" s="1"/>
  <c r="N222" i="3"/>
  <c r="L222" i="3"/>
  <c r="D222" i="3"/>
  <c r="B222" i="3"/>
  <c r="Z221" i="3"/>
  <c r="P221" i="3"/>
  <c r="N221" i="3"/>
  <c r="D221" i="3"/>
  <c r="L221" i="3" s="1"/>
  <c r="B221" i="3"/>
  <c r="Z220" i="3"/>
  <c r="P220" i="3"/>
  <c r="X220" i="3" s="1"/>
  <c r="N220" i="3"/>
  <c r="L220" i="3"/>
  <c r="D220" i="3"/>
  <c r="B220" i="3"/>
  <c r="X219" i="3"/>
  <c r="Z219" i="3" s="1"/>
  <c r="P219" i="3"/>
  <c r="L219" i="3"/>
  <c r="N219" i="3" s="1"/>
  <c r="D219" i="3"/>
  <c r="B219" i="3"/>
  <c r="Z218" i="3"/>
  <c r="X218" i="3"/>
  <c r="P218" i="3"/>
  <c r="D218" i="3"/>
  <c r="L218" i="3" s="1"/>
  <c r="N218" i="3" s="1"/>
  <c r="B218" i="3"/>
  <c r="Z217" i="3"/>
  <c r="X217" i="3"/>
  <c r="P217" i="3"/>
  <c r="N217" i="3"/>
  <c r="D217" i="3"/>
  <c r="L217" i="3" s="1"/>
  <c r="B217" i="3"/>
  <c r="T216" i="3"/>
  <c r="H216" i="3"/>
  <c r="D216" i="3"/>
  <c r="L216" i="3" s="1"/>
  <c r="Z214" i="3"/>
  <c r="X214" i="3"/>
  <c r="N214" i="3"/>
  <c r="L214" i="3"/>
  <c r="B214" i="3"/>
  <c r="Z213" i="3"/>
  <c r="T213" i="3"/>
  <c r="P213" i="3"/>
  <c r="X213" i="3" s="1"/>
  <c r="L213" i="3"/>
  <c r="N213" i="3" s="1"/>
  <c r="H213" i="3"/>
  <c r="D213" i="3"/>
  <c r="B213" i="3"/>
  <c r="X212" i="3"/>
  <c r="Z212" i="3" s="1"/>
  <c r="N212" i="3"/>
  <c r="L212" i="3"/>
  <c r="J212" i="3"/>
  <c r="B212" i="3"/>
  <c r="X211" i="3"/>
  <c r="Z211" i="3" s="1"/>
  <c r="N211" i="3"/>
  <c r="L211" i="3"/>
  <c r="B211" i="3"/>
  <c r="Z210" i="3"/>
  <c r="X210" i="3"/>
  <c r="L210" i="3"/>
  <c r="N210" i="3" s="1"/>
  <c r="B210" i="3"/>
  <c r="T209" i="3"/>
  <c r="P209" i="3"/>
  <c r="H209" i="3"/>
  <c r="N209" i="3" s="1"/>
  <c r="D209" i="3"/>
  <c r="L209" i="3" s="1"/>
  <c r="B209" i="3"/>
  <c r="Z208" i="3"/>
  <c r="X208" i="3"/>
  <c r="N208" i="3"/>
  <c r="L208" i="3"/>
  <c r="B208" i="3"/>
  <c r="T207" i="3"/>
  <c r="Z207" i="3" s="1"/>
  <c r="P207" i="3"/>
  <c r="X207" i="3" s="1"/>
  <c r="H207" i="3"/>
  <c r="D207" i="3"/>
  <c r="L207" i="3" s="1"/>
  <c r="B207" i="3"/>
  <c r="Z206" i="3"/>
  <c r="X206" i="3"/>
  <c r="N206" i="3"/>
  <c r="L206" i="3"/>
  <c r="B206" i="3"/>
  <c r="Z205" i="3"/>
  <c r="X205" i="3"/>
  <c r="L205" i="3"/>
  <c r="N205" i="3" s="1"/>
  <c r="B205" i="3"/>
  <c r="T204" i="3"/>
  <c r="P204" i="3"/>
  <c r="X204" i="3" s="1"/>
  <c r="H204" i="3"/>
  <c r="D204" i="3"/>
  <c r="L204" i="3" s="1"/>
  <c r="N204" i="3" s="1"/>
  <c r="B204" i="3"/>
  <c r="X203" i="3"/>
  <c r="Z203" i="3" s="1"/>
  <c r="N203" i="3"/>
  <c r="L203" i="3"/>
  <c r="B203" i="3"/>
  <c r="Z202" i="3"/>
  <c r="X202" i="3"/>
  <c r="L202" i="3"/>
  <c r="N202" i="3" s="1"/>
  <c r="B202" i="3"/>
  <c r="Z201" i="3"/>
  <c r="X201" i="3"/>
  <c r="N201" i="3"/>
  <c r="L201" i="3"/>
  <c r="B201" i="3"/>
  <c r="X200" i="3"/>
  <c r="Z200" i="3" s="1"/>
  <c r="N200" i="3"/>
  <c r="L200" i="3"/>
  <c r="B200" i="3"/>
  <c r="X199" i="3"/>
  <c r="Z199" i="3" s="1"/>
  <c r="N199" i="3"/>
  <c r="L199" i="3"/>
  <c r="B199" i="3"/>
  <c r="Z198" i="3"/>
  <c r="X198" i="3"/>
  <c r="L198" i="3"/>
  <c r="N198" i="3" s="1"/>
  <c r="B198" i="3"/>
  <c r="X197" i="3"/>
  <c r="Z197" i="3" s="1"/>
  <c r="L197" i="3"/>
  <c r="N197" i="3" s="1"/>
  <c r="B197" i="3"/>
  <c r="X196" i="3"/>
  <c r="Z196" i="3" s="1"/>
  <c r="N196" i="3"/>
  <c r="L196" i="3"/>
  <c r="J196" i="3"/>
  <c r="B196" i="3"/>
  <c r="X195" i="3"/>
  <c r="Z195" i="3" s="1"/>
  <c r="N195" i="3"/>
  <c r="L195" i="3"/>
  <c r="B195" i="3"/>
  <c r="Z194" i="3"/>
  <c r="X194" i="3"/>
  <c r="L194" i="3"/>
  <c r="N194" i="3" s="1"/>
  <c r="B194" i="3"/>
  <c r="X193" i="3"/>
  <c r="Z193" i="3" s="1"/>
  <c r="L193" i="3"/>
  <c r="N193" i="3" s="1"/>
  <c r="B193" i="3"/>
  <c r="X192" i="3"/>
  <c r="Z192" i="3" s="1"/>
  <c r="T192" i="3"/>
  <c r="P192" i="3"/>
  <c r="H192" i="3"/>
  <c r="D192" i="3"/>
  <c r="L192" i="3" s="1"/>
  <c r="N192" i="3" s="1"/>
  <c r="B192" i="3"/>
  <c r="Z191" i="3"/>
  <c r="X191" i="3"/>
  <c r="L191" i="3"/>
  <c r="N191" i="3" s="1"/>
  <c r="B191" i="3"/>
  <c r="X190" i="3"/>
  <c r="Z190" i="3" s="1"/>
  <c r="N190" i="3"/>
  <c r="L190" i="3"/>
  <c r="B190" i="3"/>
  <c r="T189" i="3"/>
  <c r="P189" i="3"/>
  <c r="X189" i="3" s="1"/>
  <c r="H189" i="3"/>
  <c r="D189" i="3"/>
  <c r="B189" i="3"/>
  <c r="Z188" i="3"/>
  <c r="X188" i="3"/>
  <c r="L188" i="3"/>
  <c r="N188" i="3" s="1"/>
  <c r="B188" i="3"/>
  <c r="X187" i="3"/>
  <c r="Z187" i="3" s="1"/>
  <c r="N187" i="3"/>
  <c r="L187" i="3"/>
  <c r="B187" i="3"/>
  <c r="Z186" i="3"/>
  <c r="X186" i="3"/>
  <c r="N186" i="3"/>
  <c r="L186" i="3"/>
  <c r="B186" i="3"/>
  <c r="Z185" i="3"/>
  <c r="X185" i="3"/>
  <c r="L185" i="3"/>
  <c r="N185" i="3" s="1"/>
  <c r="B185" i="3"/>
  <c r="Z184" i="3"/>
  <c r="X184" i="3"/>
  <c r="L184" i="3"/>
  <c r="N184" i="3" s="1"/>
  <c r="B184" i="3"/>
  <c r="X183" i="3"/>
  <c r="T183" i="3"/>
  <c r="P183" i="3"/>
  <c r="J183" i="3"/>
  <c r="H183" i="3"/>
  <c r="D183" i="3"/>
  <c r="L183" i="3" s="1"/>
  <c r="N183" i="3" s="1"/>
  <c r="B183" i="3"/>
  <c r="Z182" i="3"/>
  <c r="X182" i="3"/>
  <c r="L182" i="3"/>
  <c r="N182" i="3" s="1"/>
  <c r="B182" i="3"/>
  <c r="X181" i="3"/>
  <c r="Z181" i="3" s="1"/>
  <c r="L181" i="3"/>
  <c r="N181" i="3" s="1"/>
  <c r="B181" i="3"/>
  <c r="X180" i="3"/>
  <c r="Z180" i="3" s="1"/>
  <c r="N180" i="3"/>
  <c r="L180" i="3"/>
  <c r="B180" i="3"/>
  <c r="X179" i="3"/>
  <c r="Z179" i="3" s="1"/>
  <c r="N179" i="3"/>
  <c r="L179" i="3"/>
  <c r="B179" i="3"/>
  <c r="Z178" i="3"/>
  <c r="T178" i="3"/>
  <c r="P178" i="3"/>
  <c r="X178" i="3" s="1"/>
  <c r="L178" i="3"/>
  <c r="N178" i="3" s="1"/>
  <c r="H178" i="3"/>
  <c r="D178" i="3"/>
  <c r="B178" i="3"/>
  <c r="X177" i="3"/>
  <c r="Z177" i="3" s="1"/>
  <c r="N177" i="3"/>
  <c r="L177" i="3"/>
  <c r="B177" i="3"/>
  <c r="Z176" i="3"/>
  <c r="X176" i="3"/>
  <c r="N176" i="3"/>
  <c r="L176" i="3"/>
  <c r="B176" i="3"/>
  <c r="Z175" i="3"/>
  <c r="X175" i="3"/>
  <c r="L175" i="3"/>
  <c r="N175" i="3" s="1"/>
  <c r="B175" i="3"/>
  <c r="X174" i="3"/>
  <c r="Z174" i="3" s="1"/>
  <c r="N174" i="3"/>
  <c r="L174" i="3"/>
  <c r="B174" i="3"/>
  <c r="T173" i="3"/>
  <c r="P173" i="3"/>
  <c r="X173" i="3" s="1"/>
  <c r="H173" i="3"/>
  <c r="D173" i="3"/>
  <c r="L173" i="3" s="1"/>
  <c r="N173" i="3" s="1"/>
  <c r="B173" i="3"/>
  <c r="Z172" i="3"/>
  <c r="X172" i="3"/>
  <c r="L172" i="3"/>
  <c r="N172" i="3" s="1"/>
  <c r="B172" i="3"/>
  <c r="X171" i="3"/>
  <c r="T171" i="3"/>
  <c r="Z171" i="3" s="1"/>
  <c r="P171" i="3"/>
  <c r="N171" i="3"/>
  <c r="H171" i="3"/>
  <c r="D171" i="3"/>
  <c r="L171" i="3" s="1"/>
  <c r="B171" i="3"/>
  <c r="Z170" i="3"/>
  <c r="X170" i="3"/>
  <c r="N170" i="3"/>
  <c r="L170" i="3"/>
  <c r="B170" i="3"/>
  <c r="T169" i="3"/>
  <c r="Z169" i="3" s="1"/>
  <c r="P169" i="3"/>
  <c r="J169" i="3"/>
  <c r="H169" i="3"/>
  <c r="N169" i="3" s="1"/>
  <c r="D169" i="3"/>
  <c r="L169" i="3" s="1"/>
  <c r="B169" i="3"/>
  <c r="Z168" i="3"/>
  <c r="X168" i="3"/>
  <c r="N168" i="3"/>
  <c r="L168" i="3"/>
  <c r="B168" i="3"/>
  <c r="Z167" i="3"/>
  <c r="T167" i="3"/>
  <c r="P167" i="3"/>
  <c r="X167" i="3" s="1"/>
  <c r="H167" i="3"/>
  <c r="D167" i="3"/>
  <c r="L167" i="3" s="1"/>
  <c r="B167" i="3"/>
  <c r="Z166" i="3"/>
  <c r="X166" i="3"/>
  <c r="N166" i="3"/>
  <c r="L166" i="3"/>
  <c r="B166" i="3"/>
  <c r="Z165" i="3"/>
  <c r="T165" i="3"/>
  <c r="P165" i="3"/>
  <c r="X165" i="3" s="1"/>
  <c r="L165" i="3"/>
  <c r="N165" i="3" s="1"/>
  <c r="H165" i="3"/>
  <c r="D165" i="3"/>
  <c r="B165" i="3"/>
  <c r="X164" i="3"/>
  <c r="Z164" i="3" s="1"/>
  <c r="N164" i="3"/>
  <c r="L164" i="3"/>
  <c r="J164" i="3"/>
  <c r="B164" i="3"/>
  <c r="T163" i="3"/>
  <c r="P163" i="3"/>
  <c r="X163" i="3" s="1"/>
  <c r="L163" i="3"/>
  <c r="H163" i="3"/>
  <c r="D163" i="3"/>
  <c r="B163" i="3"/>
  <c r="X162" i="3"/>
  <c r="Z162" i="3" s="1"/>
  <c r="N162" i="3"/>
  <c r="L162" i="3"/>
  <c r="B162" i="3"/>
  <c r="T161" i="3"/>
  <c r="P161" i="3"/>
  <c r="X161" i="3" s="1"/>
  <c r="H161" i="3"/>
  <c r="D161" i="3"/>
  <c r="B161" i="3"/>
  <c r="Z160" i="3"/>
  <c r="X160" i="3"/>
  <c r="L160" i="3"/>
  <c r="N160" i="3" s="1"/>
  <c r="B160" i="3"/>
  <c r="X159" i="3"/>
  <c r="Z159" i="3" s="1"/>
  <c r="N159" i="3"/>
  <c r="L159" i="3"/>
  <c r="B159" i="3"/>
  <c r="T158" i="3"/>
  <c r="P158" i="3"/>
  <c r="X158" i="3" s="1"/>
  <c r="Z158" i="3" s="1"/>
  <c r="H158" i="3"/>
  <c r="D158" i="3"/>
  <c r="L158" i="3" s="1"/>
  <c r="B158" i="3"/>
  <c r="X157" i="3"/>
  <c r="Z157" i="3" s="1"/>
  <c r="L157" i="3"/>
  <c r="N157" i="3" s="1"/>
  <c r="B157" i="3"/>
  <c r="X156" i="3"/>
  <c r="Z156" i="3" s="1"/>
  <c r="N156" i="3"/>
  <c r="L156" i="3"/>
  <c r="B156" i="3"/>
  <c r="T155" i="3"/>
  <c r="Z155" i="3" s="1"/>
  <c r="P155" i="3"/>
  <c r="X155" i="3" s="1"/>
  <c r="H155" i="3"/>
  <c r="D155" i="3"/>
  <c r="B155" i="3"/>
  <c r="X154" i="3"/>
  <c r="Z154" i="3" s="1"/>
  <c r="N154" i="3"/>
  <c r="L154" i="3"/>
  <c r="B154" i="3"/>
  <c r="T153" i="3"/>
  <c r="P153" i="3"/>
  <c r="X153" i="3" s="1"/>
  <c r="N153" i="3"/>
  <c r="H153" i="3"/>
  <c r="D153" i="3"/>
  <c r="L153" i="3" s="1"/>
  <c r="B153" i="3"/>
  <c r="Z152" i="3"/>
  <c r="X152" i="3"/>
  <c r="L152" i="3"/>
  <c r="N152" i="3" s="1"/>
  <c r="B152" i="3"/>
  <c r="X151" i="3"/>
  <c r="Z151" i="3" s="1"/>
  <c r="T151" i="3"/>
  <c r="P151" i="3"/>
  <c r="N151" i="3"/>
  <c r="H151" i="3"/>
  <c r="D151" i="3"/>
  <c r="L151" i="3" s="1"/>
  <c r="B151" i="3"/>
  <c r="Z150" i="3"/>
  <c r="X150" i="3"/>
  <c r="L150" i="3"/>
  <c r="N150" i="3" s="1"/>
  <c r="B150" i="3"/>
  <c r="Z149" i="3"/>
  <c r="X149" i="3"/>
  <c r="N149" i="3"/>
  <c r="L149" i="3"/>
  <c r="B149" i="3"/>
  <c r="X148" i="3"/>
  <c r="Z148" i="3" s="1"/>
  <c r="T148" i="3"/>
  <c r="P148" i="3"/>
  <c r="N148" i="3"/>
  <c r="H148" i="3"/>
  <c r="D148" i="3"/>
  <c r="L148" i="3" s="1"/>
  <c r="B148" i="3"/>
  <c r="Z147" i="3"/>
  <c r="X147" i="3"/>
  <c r="L147" i="3"/>
  <c r="N147" i="3" s="1"/>
  <c r="B147" i="3"/>
  <c r="V146" i="3"/>
  <c r="T146" i="3"/>
  <c r="X146" i="3" s="1"/>
  <c r="P146" i="3"/>
  <c r="N146" i="3"/>
  <c r="L146" i="3"/>
  <c r="H146" i="3"/>
  <c r="D146" i="3"/>
  <c r="B146" i="3"/>
  <c r="X145" i="3"/>
  <c r="Z145" i="3" s="1"/>
  <c r="L145" i="3"/>
  <c r="N145" i="3" s="1"/>
  <c r="B145" i="3"/>
  <c r="Z144" i="3"/>
  <c r="X144" i="3"/>
  <c r="N144" i="3"/>
  <c r="L144" i="3"/>
  <c r="B144" i="3"/>
  <c r="Z143" i="3"/>
  <c r="X143" i="3"/>
  <c r="N143" i="3"/>
  <c r="L143" i="3"/>
  <c r="B143" i="3"/>
  <c r="T142" i="3"/>
  <c r="P142" i="3"/>
  <c r="X142" i="3" s="1"/>
  <c r="Z142" i="3" s="1"/>
  <c r="H142" i="3"/>
  <c r="D142" i="3"/>
  <c r="L142" i="3" s="1"/>
  <c r="B142" i="3"/>
  <c r="X141" i="3"/>
  <c r="Z141" i="3" s="1"/>
  <c r="L141" i="3"/>
  <c r="N141" i="3" s="1"/>
  <c r="B141" i="3"/>
  <c r="X140" i="3"/>
  <c r="Z140" i="3" s="1"/>
  <c r="T140" i="3"/>
  <c r="P140" i="3"/>
  <c r="N140" i="3"/>
  <c r="H140" i="3"/>
  <c r="D140" i="3"/>
  <c r="L140" i="3" s="1"/>
  <c r="B140" i="3"/>
  <c r="Z139" i="3"/>
  <c r="X139" i="3"/>
  <c r="L139" i="3"/>
  <c r="N139" i="3" s="1"/>
  <c r="B139" i="3"/>
  <c r="X138" i="3"/>
  <c r="Z138" i="3" s="1"/>
  <c r="N138" i="3"/>
  <c r="L138" i="3"/>
  <c r="B138" i="3"/>
  <c r="T137" i="3"/>
  <c r="P137" i="3"/>
  <c r="X137" i="3" s="1"/>
  <c r="H137" i="3"/>
  <c r="N137" i="3" s="1"/>
  <c r="D137" i="3"/>
  <c r="L137" i="3" s="1"/>
  <c r="B137" i="3"/>
  <c r="Z136" i="3"/>
  <c r="X136" i="3"/>
  <c r="L136" i="3"/>
  <c r="N136" i="3" s="1"/>
  <c r="B136" i="3"/>
  <c r="X135" i="3"/>
  <c r="T135" i="3"/>
  <c r="P135" i="3"/>
  <c r="L135" i="3"/>
  <c r="N135" i="3" s="1"/>
  <c r="H135" i="3"/>
  <c r="D135" i="3"/>
  <c r="B135" i="3"/>
  <c r="Z134" i="3"/>
  <c r="X134" i="3"/>
  <c r="N134" i="3"/>
  <c r="L134" i="3"/>
  <c r="B134" i="3"/>
  <c r="Z133" i="3"/>
  <c r="X133" i="3"/>
  <c r="N133" i="3"/>
  <c r="L133" i="3"/>
  <c r="B133" i="3"/>
  <c r="Z132" i="3"/>
  <c r="X132" i="3"/>
  <c r="N132" i="3"/>
  <c r="L132" i="3"/>
  <c r="B132" i="3"/>
  <c r="X131" i="3"/>
  <c r="Z131" i="3" s="1"/>
  <c r="N131" i="3"/>
  <c r="L131" i="3"/>
  <c r="B131" i="3"/>
  <c r="Z130" i="3"/>
  <c r="X130" i="3"/>
  <c r="N130" i="3"/>
  <c r="L130" i="3"/>
  <c r="B130" i="3"/>
  <c r="X129" i="3"/>
  <c r="Z129" i="3" s="1"/>
  <c r="L129" i="3"/>
  <c r="N129" i="3" s="1"/>
  <c r="B129" i="3"/>
  <c r="Z128" i="3"/>
  <c r="X128" i="3"/>
  <c r="N128" i="3"/>
  <c r="L128" i="3"/>
  <c r="B128" i="3"/>
  <c r="Z127" i="3"/>
  <c r="X127" i="3"/>
  <c r="N127" i="3"/>
  <c r="L127" i="3"/>
  <c r="B127" i="3"/>
  <c r="Z126" i="3"/>
  <c r="X126" i="3"/>
  <c r="L126" i="3"/>
  <c r="N126" i="3" s="1"/>
  <c r="B126" i="3"/>
  <c r="X125" i="3"/>
  <c r="Z125" i="3" s="1"/>
  <c r="L125" i="3"/>
  <c r="N125" i="3" s="1"/>
  <c r="B125" i="3"/>
  <c r="Z124" i="3"/>
  <c r="X124" i="3"/>
  <c r="T124" i="3"/>
  <c r="P124" i="3"/>
  <c r="N124" i="3"/>
  <c r="H124" i="3"/>
  <c r="D124" i="3"/>
  <c r="L124" i="3" s="1"/>
  <c r="B124" i="3"/>
  <c r="Z123" i="3"/>
  <c r="X123" i="3"/>
  <c r="L123" i="3"/>
  <c r="N123" i="3" s="1"/>
  <c r="B123" i="3"/>
  <c r="X122" i="3"/>
  <c r="Z122" i="3" s="1"/>
  <c r="N122" i="3"/>
  <c r="L122" i="3"/>
  <c r="B122" i="3"/>
  <c r="X121" i="3"/>
  <c r="Z121" i="3" s="1"/>
  <c r="N121" i="3"/>
  <c r="L121" i="3"/>
  <c r="J121" i="3"/>
  <c r="B121" i="3"/>
  <c r="Z120" i="3"/>
  <c r="X120" i="3"/>
  <c r="N120" i="3"/>
  <c r="L120" i="3"/>
  <c r="B120" i="3"/>
  <c r="Z119" i="3"/>
  <c r="X119" i="3"/>
  <c r="N119" i="3"/>
  <c r="L119" i="3"/>
  <c r="B119" i="3"/>
  <c r="X118" i="3"/>
  <c r="Z118" i="3" s="1"/>
  <c r="N118" i="3"/>
  <c r="L118" i="3"/>
  <c r="B118" i="3"/>
  <c r="X117" i="3"/>
  <c r="Z117" i="3" s="1"/>
  <c r="L117" i="3"/>
  <c r="N117" i="3" s="1"/>
  <c r="B117" i="3"/>
  <c r="Z116" i="3"/>
  <c r="X116" i="3"/>
  <c r="N116" i="3"/>
  <c r="L116" i="3"/>
  <c r="B116" i="3"/>
  <c r="Z115" i="3"/>
  <c r="X115" i="3"/>
  <c r="L115" i="3"/>
  <c r="N115" i="3" s="1"/>
  <c r="B115" i="3"/>
  <c r="X114" i="3"/>
  <c r="Z114" i="3" s="1"/>
  <c r="N114" i="3"/>
  <c r="L114" i="3"/>
  <c r="B114" i="3"/>
  <c r="T113" i="3"/>
  <c r="P113" i="3"/>
  <c r="X113" i="3" s="1"/>
  <c r="H113" i="3"/>
  <c r="D113" i="3"/>
  <c r="B113" i="3"/>
  <c r="T112" i="3"/>
  <c r="P112" i="3"/>
  <c r="H112" i="3"/>
  <c r="N112" i="3" s="1"/>
  <c r="D112" i="3"/>
  <c r="L112" i="3" s="1"/>
  <c r="T110" i="3"/>
  <c r="Z108" i="3"/>
  <c r="X108" i="3"/>
  <c r="N108" i="3"/>
  <c r="L108" i="3"/>
  <c r="B108" i="3"/>
  <c r="Z107" i="3"/>
  <c r="X107" i="3"/>
  <c r="N107" i="3"/>
  <c r="L107" i="3"/>
  <c r="B107" i="3"/>
  <c r="Z106" i="3"/>
  <c r="X106" i="3"/>
  <c r="N106" i="3"/>
  <c r="L106" i="3"/>
  <c r="B106" i="3"/>
  <c r="Z105" i="3"/>
  <c r="X105" i="3"/>
  <c r="N105" i="3"/>
  <c r="L105" i="3"/>
  <c r="B105" i="3"/>
  <c r="Z104" i="3"/>
  <c r="X104" i="3"/>
  <c r="N104" i="3"/>
  <c r="L104" i="3"/>
  <c r="B104" i="3"/>
  <c r="Z103" i="3"/>
  <c r="X103" i="3"/>
  <c r="N103" i="3"/>
  <c r="L103" i="3"/>
  <c r="B103" i="3"/>
  <c r="Z102" i="3"/>
  <c r="X102" i="3"/>
  <c r="N102" i="3"/>
  <c r="L102" i="3"/>
  <c r="B102" i="3"/>
  <c r="Z101" i="3"/>
  <c r="X101" i="3"/>
  <c r="N101" i="3"/>
  <c r="L101" i="3"/>
  <c r="B101" i="3"/>
  <c r="Z100" i="3"/>
  <c r="X100" i="3"/>
  <c r="N100" i="3"/>
  <c r="L100" i="3"/>
  <c r="B100" i="3"/>
  <c r="Z99" i="3"/>
  <c r="X99" i="3"/>
  <c r="N99" i="3"/>
  <c r="L99" i="3"/>
  <c r="B99" i="3"/>
  <c r="Z98" i="3"/>
  <c r="X98" i="3"/>
  <c r="N98" i="3"/>
  <c r="L98" i="3"/>
  <c r="B98" i="3"/>
  <c r="Z97" i="3"/>
  <c r="X97" i="3"/>
  <c r="N97" i="3"/>
  <c r="L97" i="3"/>
  <c r="B97" i="3"/>
  <c r="Z96" i="3"/>
  <c r="X96" i="3"/>
  <c r="N96" i="3"/>
  <c r="L96" i="3"/>
  <c r="B96" i="3"/>
  <c r="Z95" i="3"/>
  <c r="X95" i="3"/>
  <c r="N95" i="3"/>
  <c r="L95" i="3"/>
  <c r="J95" i="3"/>
  <c r="B95" i="3"/>
  <c r="Z94" i="3"/>
  <c r="X94" i="3"/>
  <c r="N94" i="3"/>
  <c r="L94" i="3"/>
  <c r="B94" i="3"/>
  <c r="Z93" i="3"/>
  <c r="X93" i="3"/>
  <c r="N93" i="3"/>
  <c r="L93" i="3"/>
  <c r="B93" i="3"/>
  <c r="Z92" i="3"/>
  <c r="X92" i="3"/>
  <c r="N92" i="3"/>
  <c r="L92" i="3"/>
  <c r="J92" i="3"/>
  <c r="B92" i="3"/>
  <c r="Z91" i="3"/>
  <c r="X91" i="3"/>
  <c r="N91" i="3"/>
  <c r="L91" i="3"/>
  <c r="J91" i="3"/>
  <c r="B91" i="3"/>
  <c r="Z90" i="3"/>
  <c r="X90" i="3"/>
  <c r="N90" i="3"/>
  <c r="L90" i="3"/>
  <c r="B90" i="3"/>
  <c r="Z89" i="3"/>
  <c r="X89" i="3"/>
  <c r="N89" i="3"/>
  <c r="L89" i="3"/>
  <c r="B89" i="3"/>
  <c r="Z88" i="3"/>
  <c r="X88" i="3"/>
  <c r="N88" i="3"/>
  <c r="L88" i="3"/>
  <c r="J88" i="3"/>
  <c r="B88" i="3"/>
  <c r="Z87" i="3"/>
  <c r="X87" i="3"/>
  <c r="N87" i="3"/>
  <c r="L87" i="3"/>
  <c r="J87" i="3"/>
  <c r="B87" i="3"/>
  <c r="Z86" i="3"/>
  <c r="X86" i="3"/>
  <c r="N86" i="3"/>
  <c r="L86" i="3"/>
  <c r="B86" i="3"/>
  <c r="Z85" i="3"/>
  <c r="X85" i="3"/>
  <c r="V85" i="3"/>
  <c r="N85" i="3"/>
  <c r="L85" i="3"/>
  <c r="B85" i="3"/>
  <c r="Z84" i="3"/>
  <c r="X84" i="3"/>
  <c r="N84" i="3"/>
  <c r="L84" i="3"/>
  <c r="B84" i="3"/>
  <c r="Z83" i="3"/>
  <c r="X83" i="3"/>
  <c r="N83" i="3"/>
  <c r="L83" i="3"/>
  <c r="B83" i="3"/>
  <c r="Z82" i="3"/>
  <c r="X82" i="3"/>
  <c r="N82" i="3"/>
  <c r="L82" i="3"/>
  <c r="B82" i="3"/>
  <c r="Z81" i="3"/>
  <c r="X81" i="3"/>
  <c r="N81" i="3"/>
  <c r="L81" i="3"/>
  <c r="J81" i="3"/>
  <c r="B81" i="3"/>
  <c r="Z80" i="3"/>
  <c r="X80" i="3"/>
  <c r="N80" i="3"/>
  <c r="L80" i="3"/>
  <c r="B80" i="3"/>
  <c r="X79" i="3"/>
  <c r="Z79" i="3" s="1"/>
  <c r="L79" i="3"/>
  <c r="N79" i="3" s="1"/>
  <c r="B79" i="3"/>
  <c r="T78" i="3"/>
  <c r="P78" i="3"/>
  <c r="X78" i="3" s="1"/>
  <c r="Z78" i="3" s="1"/>
  <c r="H78" i="3"/>
  <c r="D78" i="3"/>
  <c r="Z76" i="3"/>
  <c r="P76" i="3"/>
  <c r="X76" i="3" s="1"/>
  <c r="N76" i="3"/>
  <c r="L76" i="3"/>
  <c r="D76" i="3"/>
  <c r="B76" i="3"/>
  <c r="Z75" i="3"/>
  <c r="X75" i="3"/>
  <c r="P75" i="3"/>
  <c r="N75" i="3"/>
  <c r="D75" i="3"/>
  <c r="L75" i="3" s="1"/>
  <c r="B75" i="3"/>
  <c r="Z74" i="3"/>
  <c r="P74" i="3"/>
  <c r="X74" i="3" s="1"/>
  <c r="N74" i="3"/>
  <c r="L74" i="3"/>
  <c r="D74" i="3"/>
  <c r="B74" i="3"/>
  <c r="Z73" i="3"/>
  <c r="X73" i="3"/>
  <c r="P73" i="3"/>
  <c r="N73" i="3"/>
  <c r="D73" i="3"/>
  <c r="L73" i="3" s="1"/>
  <c r="B73" i="3"/>
  <c r="Z72" i="3"/>
  <c r="X72" i="3"/>
  <c r="P72" i="3"/>
  <c r="N72" i="3"/>
  <c r="D72" i="3"/>
  <c r="L72" i="3" s="1"/>
  <c r="B72" i="3"/>
  <c r="Z71" i="3"/>
  <c r="X71" i="3"/>
  <c r="P71" i="3"/>
  <c r="N71" i="3"/>
  <c r="D71" i="3"/>
  <c r="L71" i="3" s="1"/>
  <c r="B71" i="3"/>
  <c r="Z70" i="3"/>
  <c r="P70" i="3"/>
  <c r="X70" i="3" s="1"/>
  <c r="N70" i="3"/>
  <c r="L70" i="3"/>
  <c r="D70" i="3"/>
  <c r="B70" i="3"/>
  <c r="Z69" i="3"/>
  <c r="X69" i="3"/>
  <c r="P69" i="3"/>
  <c r="N69" i="3"/>
  <c r="D69" i="3"/>
  <c r="L69" i="3" s="1"/>
  <c r="B69" i="3"/>
  <c r="Z68" i="3"/>
  <c r="P68" i="3"/>
  <c r="X68" i="3" s="1"/>
  <c r="N68" i="3"/>
  <c r="L68" i="3"/>
  <c r="D68" i="3"/>
  <c r="B68" i="3"/>
  <c r="Z67" i="3"/>
  <c r="P67" i="3"/>
  <c r="X67" i="3" s="1"/>
  <c r="N67" i="3"/>
  <c r="D67" i="3"/>
  <c r="L67" i="3" s="1"/>
  <c r="B67" i="3"/>
  <c r="Z66" i="3"/>
  <c r="X66" i="3"/>
  <c r="P66" i="3"/>
  <c r="N66" i="3"/>
  <c r="D66" i="3"/>
  <c r="L66" i="3" s="1"/>
  <c r="B66" i="3"/>
  <c r="Z65" i="3"/>
  <c r="X65" i="3"/>
  <c r="P65" i="3"/>
  <c r="N65" i="3"/>
  <c r="L65" i="3"/>
  <c r="D65" i="3"/>
  <c r="B65" i="3"/>
  <c r="Z64" i="3"/>
  <c r="P64" i="3"/>
  <c r="X64" i="3" s="1"/>
  <c r="N64" i="3"/>
  <c r="L64" i="3"/>
  <c r="D64" i="3"/>
  <c r="B64" i="3"/>
  <c r="Z63" i="3"/>
  <c r="X63" i="3"/>
  <c r="P63" i="3"/>
  <c r="N63" i="3"/>
  <c r="D63" i="3"/>
  <c r="L63" i="3" s="1"/>
  <c r="B63" i="3"/>
  <c r="Z62" i="3"/>
  <c r="P62" i="3"/>
  <c r="X62" i="3" s="1"/>
  <c r="N62" i="3"/>
  <c r="L62" i="3"/>
  <c r="D62" i="3"/>
  <c r="B62" i="3"/>
  <c r="Z61" i="3"/>
  <c r="X61" i="3"/>
  <c r="P61" i="3"/>
  <c r="N61" i="3"/>
  <c r="D61" i="3"/>
  <c r="L61" i="3" s="1"/>
  <c r="B61" i="3"/>
  <c r="Z60" i="3"/>
  <c r="X60" i="3"/>
  <c r="P60" i="3"/>
  <c r="N60" i="3"/>
  <c r="D60" i="3"/>
  <c r="L60" i="3" s="1"/>
  <c r="B60" i="3"/>
  <c r="Z59" i="3"/>
  <c r="X59" i="3"/>
  <c r="P59" i="3"/>
  <c r="N59" i="3"/>
  <c r="L59" i="3"/>
  <c r="D59" i="3"/>
  <c r="B59" i="3"/>
  <c r="Z58" i="3"/>
  <c r="P58" i="3"/>
  <c r="X58" i="3" s="1"/>
  <c r="N58" i="3"/>
  <c r="L58" i="3"/>
  <c r="D58" i="3"/>
  <c r="B58" i="3"/>
  <c r="Z57" i="3"/>
  <c r="X57" i="3"/>
  <c r="P57" i="3"/>
  <c r="N57" i="3"/>
  <c r="D57" i="3"/>
  <c r="L57" i="3" s="1"/>
  <c r="B57" i="3"/>
  <c r="Z56" i="3"/>
  <c r="P56" i="3"/>
  <c r="X56" i="3" s="1"/>
  <c r="N56" i="3"/>
  <c r="L56" i="3"/>
  <c r="D56" i="3"/>
  <c r="B56" i="3"/>
  <c r="Z55" i="3"/>
  <c r="X55" i="3"/>
  <c r="P55" i="3"/>
  <c r="N55" i="3"/>
  <c r="D55" i="3"/>
  <c r="L55" i="3" s="1"/>
  <c r="B55" i="3"/>
  <c r="Z54" i="3"/>
  <c r="X54" i="3"/>
  <c r="P54" i="3"/>
  <c r="N54" i="3"/>
  <c r="D54" i="3"/>
  <c r="L54" i="3" s="1"/>
  <c r="B54" i="3"/>
  <c r="Z53" i="3"/>
  <c r="X53" i="3"/>
  <c r="P53" i="3"/>
  <c r="N53" i="3"/>
  <c r="D53" i="3"/>
  <c r="L53" i="3" s="1"/>
  <c r="B53" i="3"/>
  <c r="Z52" i="3"/>
  <c r="P52" i="3"/>
  <c r="X52" i="3" s="1"/>
  <c r="N52" i="3"/>
  <c r="L52" i="3"/>
  <c r="D52" i="3"/>
  <c r="B52" i="3"/>
  <c r="Z51" i="3"/>
  <c r="X51" i="3"/>
  <c r="P51" i="3"/>
  <c r="N51" i="3"/>
  <c r="D51" i="3"/>
  <c r="L51" i="3" s="1"/>
  <c r="B51" i="3"/>
  <c r="Z50" i="3"/>
  <c r="P50" i="3"/>
  <c r="X50" i="3" s="1"/>
  <c r="N50" i="3"/>
  <c r="L50" i="3"/>
  <c r="D50" i="3"/>
  <c r="B50" i="3"/>
  <c r="Z49" i="3"/>
  <c r="P49" i="3"/>
  <c r="X49" i="3" s="1"/>
  <c r="N49" i="3"/>
  <c r="D49" i="3"/>
  <c r="L49" i="3" s="1"/>
  <c r="B49" i="3"/>
  <c r="Z48" i="3"/>
  <c r="X48" i="3"/>
  <c r="P48" i="3"/>
  <c r="N48" i="3"/>
  <c r="D48" i="3"/>
  <c r="L48" i="3" s="1"/>
  <c r="B48" i="3"/>
  <c r="Z47" i="3"/>
  <c r="X47" i="3"/>
  <c r="P47" i="3"/>
  <c r="N47" i="3"/>
  <c r="L47" i="3"/>
  <c r="D47" i="3"/>
  <c r="B47" i="3"/>
  <c r="Z46" i="3"/>
  <c r="P46" i="3"/>
  <c r="X46" i="3" s="1"/>
  <c r="N46" i="3"/>
  <c r="L46" i="3"/>
  <c r="D46" i="3"/>
  <c r="B46" i="3"/>
  <c r="Z45" i="3"/>
  <c r="X45" i="3"/>
  <c r="P45" i="3"/>
  <c r="N45" i="3"/>
  <c r="D45" i="3"/>
  <c r="L45" i="3" s="1"/>
  <c r="B45" i="3"/>
  <c r="Z44" i="3"/>
  <c r="P44" i="3"/>
  <c r="X44" i="3" s="1"/>
  <c r="N44" i="3"/>
  <c r="D44" i="3"/>
  <c r="L44" i="3" s="1"/>
  <c r="B44" i="3"/>
  <c r="Z43" i="3"/>
  <c r="X43" i="3"/>
  <c r="P43" i="3"/>
  <c r="N43" i="3"/>
  <c r="D43" i="3"/>
  <c r="L43" i="3" s="1"/>
  <c r="B43" i="3"/>
  <c r="Z42" i="3"/>
  <c r="X42" i="3"/>
  <c r="P42" i="3"/>
  <c r="N42" i="3"/>
  <c r="L42" i="3"/>
  <c r="D42" i="3"/>
  <c r="B42" i="3"/>
  <c r="Z41" i="3"/>
  <c r="X41" i="3"/>
  <c r="P41" i="3"/>
  <c r="N41" i="3"/>
  <c r="D41" i="3"/>
  <c r="L41" i="3" s="1"/>
  <c r="B41" i="3"/>
  <c r="Z40" i="3"/>
  <c r="P40" i="3"/>
  <c r="X40" i="3" s="1"/>
  <c r="N40" i="3"/>
  <c r="L40" i="3"/>
  <c r="D40" i="3"/>
  <c r="B40" i="3"/>
  <c r="Z39" i="3"/>
  <c r="X39" i="3"/>
  <c r="P39" i="3"/>
  <c r="N39" i="3"/>
  <c r="L39" i="3"/>
  <c r="D39" i="3"/>
  <c r="B39" i="3"/>
  <c r="Z38" i="3"/>
  <c r="P38" i="3"/>
  <c r="X38" i="3" s="1"/>
  <c r="N38" i="3"/>
  <c r="L38" i="3"/>
  <c r="D38" i="3"/>
  <c r="B38" i="3"/>
  <c r="Z37" i="3"/>
  <c r="X37" i="3"/>
  <c r="P37" i="3"/>
  <c r="N37" i="3"/>
  <c r="D37" i="3"/>
  <c r="L37" i="3" s="1"/>
  <c r="B37" i="3"/>
  <c r="Z36" i="3"/>
  <c r="P36" i="3"/>
  <c r="X36" i="3" s="1"/>
  <c r="N36" i="3"/>
  <c r="L36" i="3"/>
  <c r="D36" i="3"/>
  <c r="B36" i="3"/>
  <c r="P35" i="3"/>
  <c r="X35" i="3" s="1"/>
  <c r="Z35" i="3" s="1"/>
  <c r="D35" i="3"/>
  <c r="L35" i="3" s="1"/>
  <c r="N35" i="3" s="1"/>
  <c r="B35" i="3"/>
  <c r="Z34" i="3"/>
  <c r="P34" i="3"/>
  <c r="X34" i="3" s="1"/>
  <c r="N34" i="3"/>
  <c r="L34" i="3"/>
  <c r="D34" i="3"/>
  <c r="B34" i="3"/>
  <c r="Z33" i="3"/>
  <c r="X33" i="3"/>
  <c r="P33" i="3"/>
  <c r="N33" i="3"/>
  <c r="D33" i="3"/>
  <c r="L33" i="3" s="1"/>
  <c r="B33" i="3"/>
  <c r="Z32" i="3"/>
  <c r="P32" i="3"/>
  <c r="X32" i="3" s="1"/>
  <c r="N32" i="3"/>
  <c r="D32" i="3"/>
  <c r="L32" i="3" s="1"/>
  <c r="B32" i="3"/>
  <c r="Z31" i="3"/>
  <c r="X31" i="3"/>
  <c r="P31" i="3"/>
  <c r="N31" i="3"/>
  <c r="D31" i="3"/>
  <c r="L31" i="3" s="1"/>
  <c r="B31" i="3"/>
  <c r="Z30" i="3"/>
  <c r="X30" i="3"/>
  <c r="P30" i="3"/>
  <c r="N30" i="3"/>
  <c r="L30" i="3"/>
  <c r="D30" i="3"/>
  <c r="B30" i="3"/>
  <c r="Z29" i="3"/>
  <c r="X29" i="3"/>
  <c r="P29" i="3"/>
  <c r="N29" i="3"/>
  <c r="D29" i="3"/>
  <c r="L29" i="3" s="1"/>
  <c r="B29" i="3"/>
  <c r="Z28" i="3"/>
  <c r="P28" i="3"/>
  <c r="X28" i="3" s="1"/>
  <c r="N28" i="3"/>
  <c r="L28" i="3"/>
  <c r="D28" i="3"/>
  <c r="B28" i="3"/>
  <c r="Z27" i="3"/>
  <c r="X27" i="3"/>
  <c r="P27" i="3"/>
  <c r="N27" i="3"/>
  <c r="L27" i="3"/>
  <c r="D27" i="3"/>
  <c r="B27" i="3"/>
  <c r="Z26" i="3"/>
  <c r="P26" i="3"/>
  <c r="X26" i="3" s="1"/>
  <c r="N26" i="3"/>
  <c r="L26" i="3"/>
  <c r="D26" i="3"/>
  <c r="B26" i="3"/>
  <c r="Z25" i="3"/>
  <c r="X25" i="3"/>
  <c r="P25" i="3"/>
  <c r="N25" i="3"/>
  <c r="D25" i="3"/>
  <c r="L25" i="3" s="1"/>
  <c r="B25" i="3"/>
  <c r="Z24" i="3"/>
  <c r="P24" i="3"/>
  <c r="X24" i="3" s="1"/>
  <c r="N24" i="3"/>
  <c r="L24" i="3"/>
  <c r="D24" i="3"/>
  <c r="B24" i="3"/>
  <c r="Z23" i="3"/>
  <c r="P23" i="3"/>
  <c r="X23" i="3" s="1"/>
  <c r="N23" i="3"/>
  <c r="D23" i="3"/>
  <c r="L23" i="3" s="1"/>
  <c r="B23" i="3"/>
  <c r="Z22" i="3"/>
  <c r="P22" i="3"/>
  <c r="X22" i="3" s="1"/>
  <c r="N22" i="3"/>
  <c r="L22" i="3"/>
  <c r="D22" i="3"/>
  <c r="B22" i="3"/>
  <c r="Z21" i="3"/>
  <c r="X21" i="3"/>
  <c r="P21" i="3"/>
  <c r="N21" i="3"/>
  <c r="D21" i="3"/>
  <c r="L21" i="3" s="1"/>
  <c r="B21" i="3"/>
  <c r="Z20" i="3"/>
  <c r="P20" i="3"/>
  <c r="X20" i="3" s="1"/>
  <c r="N20" i="3"/>
  <c r="D20" i="3"/>
  <c r="L20" i="3" s="1"/>
  <c r="B20" i="3"/>
  <c r="Z19" i="3"/>
  <c r="X19" i="3"/>
  <c r="P19" i="3"/>
  <c r="N19" i="3"/>
  <c r="D19" i="3"/>
  <c r="L19" i="3" s="1"/>
  <c r="B19" i="3"/>
  <c r="Z18" i="3"/>
  <c r="X18" i="3"/>
  <c r="P18" i="3"/>
  <c r="N18" i="3"/>
  <c r="L18" i="3"/>
  <c r="D18" i="3"/>
  <c r="B18" i="3"/>
  <c r="Z17" i="3"/>
  <c r="X17" i="3"/>
  <c r="P17" i="3"/>
  <c r="N17" i="3"/>
  <c r="D17" i="3"/>
  <c r="L17" i="3" s="1"/>
  <c r="B17" i="3"/>
  <c r="Z16" i="3"/>
  <c r="P16" i="3"/>
  <c r="X16" i="3" s="1"/>
  <c r="N16" i="3"/>
  <c r="L16" i="3"/>
  <c r="D16" i="3"/>
  <c r="B16" i="3"/>
  <c r="Z15" i="3"/>
  <c r="X15" i="3"/>
  <c r="P15" i="3"/>
  <c r="N15" i="3"/>
  <c r="L15" i="3"/>
  <c r="D15" i="3"/>
  <c r="B15" i="3"/>
  <c r="Z14" i="3"/>
  <c r="P14" i="3"/>
  <c r="X14" i="3" s="1"/>
  <c r="N14" i="3"/>
  <c r="L14" i="3"/>
  <c r="D14" i="3"/>
  <c r="B14" i="3"/>
  <c r="X13" i="3"/>
  <c r="Z13" i="3" s="1"/>
  <c r="P13" i="3"/>
  <c r="P12" i="3" s="1"/>
  <c r="D13" i="3"/>
  <c r="L13" i="3" s="1"/>
  <c r="N13" i="3" s="1"/>
  <c r="B13" i="3"/>
  <c r="T12" i="3"/>
  <c r="V205" i="3" s="1"/>
  <c r="H12" i="3"/>
  <c r="J218" i="3" s="1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H25" i="110"/>
  <c r="P15" i="110"/>
  <c r="D6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B22" i="110"/>
  <c r="D21" i="110"/>
  <c r="H15" i="110"/>
  <c r="P24" i="112"/>
  <c r="P22" i="112"/>
  <c r="T20" i="112"/>
  <c r="T16" i="112"/>
  <c r="T13" i="112"/>
  <c r="T24" i="111"/>
  <c r="T22" i="111"/>
  <c r="P12" i="111"/>
  <c r="B21" i="110"/>
  <c r="D20" i="110"/>
  <c r="D16" i="110"/>
  <c r="P16" i="112"/>
  <c r="P22" i="111"/>
  <c r="T16" i="111"/>
  <c r="T22" i="110"/>
  <c r="H29" i="112"/>
  <c r="P29" i="110"/>
  <c r="P21" i="112"/>
  <c r="T15" i="112"/>
  <c r="P34" i="111"/>
  <c r="T21" i="111"/>
  <c r="T34" i="110"/>
  <c r="B16" i="110"/>
  <c r="H34" i="112"/>
  <c r="P15" i="112"/>
  <c r="P21" i="111"/>
  <c r="T15" i="111"/>
  <c r="P34" i="110"/>
  <c r="T21" i="110"/>
  <c r="P13" i="112"/>
  <c r="P33" i="111"/>
  <c r="P25" i="111"/>
  <c r="T33" i="110"/>
  <c r="T25" i="110"/>
  <c r="D15" i="110"/>
  <c r="P20" i="112"/>
  <c r="T20" i="111"/>
  <c r="T13" i="111"/>
  <c r="H33" i="112"/>
  <c r="H25" i="112"/>
  <c r="P13" i="111"/>
  <c r="P33" i="110"/>
  <c r="P25" i="110"/>
  <c r="H12" i="112"/>
  <c r="T12" i="110"/>
  <c r="P29" i="111"/>
  <c r="T29" i="110"/>
  <c r="P24" i="111"/>
  <c r="T24" i="110"/>
  <c r="D12" i="112"/>
  <c r="P12" i="110"/>
  <c r="D6" i="112"/>
  <c r="H12" i="111"/>
  <c r="T34" i="53"/>
  <c r="T33" i="53"/>
  <c r="T29" i="53"/>
  <c r="T25" i="53"/>
  <c r="B16" i="53"/>
  <c r="D15" i="53"/>
  <c r="T12" i="53"/>
  <c r="B21" i="52"/>
  <c r="D20" i="52"/>
  <c r="D16" i="52"/>
  <c r="P21" i="50"/>
  <c r="T15" i="50"/>
  <c r="P13" i="50"/>
  <c r="H12" i="50"/>
  <c r="P24" i="49"/>
  <c r="P22" i="49"/>
  <c r="T20" i="49"/>
  <c r="T16" i="49"/>
  <c r="T13" i="49"/>
  <c r="T24" i="53"/>
  <c r="T22" i="53"/>
  <c r="P12" i="53"/>
  <c r="T34" i="52"/>
  <c r="T33" i="52"/>
  <c r="T29" i="52"/>
  <c r="T25" i="52"/>
  <c r="B16" i="52"/>
  <c r="D15" i="52"/>
  <c r="T12" i="52"/>
  <c r="P20" i="50"/>
  <c r="P16" i="50"/>
  <c r="D12" i="50"/>
  <c r="P21" i="49"/>
  <c r="T15" i="49"/>
  <c r="P13" i="49"/>
  <c r="H12" i="49"/>
  <c r="P34" i="53"/>
  <c r="P33" i="53"/>
  <c r="P29" i="53"/>
  <c r="P25" i="53"/>
  <c r="T21" i="53"/>
  <c r="T24" i="52"/>
  <c r="T22" i="52"/>
  <c r="P12" i="52"/>
  <c r="H34" i="50"/>
  <c r="H33" i="50"/>
  <c r="H29" i="50"/>
  <c r="H25" i="50"/>
  <c r="P15" i="50"/>
  <c r="D5" i="50"/>
  <c r="P20" i="49"/>
  <c r="P16" i="49"/>
  <c r="D12" i="49"/>
  <c r="P24" i="53"/>
  <c r="P22" i="53"/>
  <c r="T20" i="53"/>
  <c r="T16" i="53"/>
  <c r="T13" i="53"/>
  <c r="P34" i="52"/>
  <c r="P33" i="52"/>
  <c r="P29" i="52"/>
  <c r="P25" i="52"/>
  <c r="T21" i="52"/>
  <c r="B39" i="50"/>
  <c r="H24" i="50"/>
  <c r="H22" i="50"/>
  <c r="H13" i="50"/>
  <c r="D4" i="50"/>
  <c r="H34" i="49"/>
  <c r="H33" i="49"/>
  <c r="H29" i="49"/>
  <c r="H25" i="49"/>
  <c r="P15" i="49"/>
  <c r="D5" i="49"/>
  <c r="P21" i="53"/>
  <c r="T15" i="53"/>
  <c r="P13" i="53"/>
  <c r="H12" i="53"/>
  <c r="P24" i="52"/>
  <c r="P22" i="52"/>
  <c r="T20" i="52"/>
  <c r="T16" i="52"/>
  <c r="T13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P20" i="53"/>
  <c r="P16" i="53"/>
  <c r="D12" i="53"/>
  <c r="P21" i="52"/>
  <c r="T15" i="52"/>
  <c r="P13" i="52"/>
  <c r="H12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H34" i="53"/>
  <c r="H33" i="53"/>
  <c r="H29" i="53"/>
  <c r="H25" i="53"/>
  <c r="P15" i="53"/>
  <c r="D5" i="53"/>
  <c r="P20" i="52"/>
  <c r="P16" i="52"/>
  <c r="D12" i="52"/>
  <c r="B22" i="50"/>
  <c r="D21" i="50"/>
  <c r="H15" i="50"/>
  <c r="B25" i="49"/>
  <c r="D24" i="49"/>
  <c r="D22" i="49"/>
  <c r="H20" i="49"/>
  <c r="H16" i="49"/>
  <c r="B13" i="49"/>
  <c r="B39" i="53"/>
  <c r="H24" i="53"/>
  <c r="H22" i="53"/>
  <c r="H13" i="53"/>
  <c r="D4" i="53"/>
  <c r="H34" i="52"/>
  <c r="H33" i="52"/>
  <c r="H29" i="52"/>
  <c r="H25" i="52"/>
  <c r="P15" i="52"/>
  <c r="D5" i="52"/>
  <c r="B21" i="50"/>
  <c r="D20" i="50"/>
  <c r="D16" i="50"/>
  <c r="B22" i="49"/>
  <c r="D21" i="49"/>
  <c r="B38" i="53"/>
  <c r="D34" i="53"/>
  <c r="D33" i="53"/>
  <c r="D29" i="53"/>
  <c r="D25" i="53"/>
  <c r="H21" i="53"/>
  <c r="D13" i="53"/>
  <c r="B39" i="52"/>
  <c r="H24" i="52"/>
  <c r="H22" i="52"/>
  <c r="H13" i="52"/>
  <c r="D4" i="52"/>
  <c r="T34" i="50"/>
  <c r="T33" i="50"/>
  <c r="T29" i="50"/>
  <c r="T25" i="50"/>
  <c r="B16" i="50"/>
  <c r="D15" i="50"/>
  <c r="T12" i="50"/>
  <c r="B21" i="49"/>
  <c r="D20" i="49"/>
  <c r="D16" i="49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T24" i="50"/>
  <c r="T22" i="50"/>
  <c r="P12" i="50"/>
  <c r="T34" i="49"/>
  <c r="T33" i="49"/>
  <c r="T29" i="49"/>
  <c r="T25" i="49"/>
  <c r="B16" i="49"/>
  <c r="D15" i="49"/>
  <c r="T12" i="49"/>
  <c r="B22" i="53"/>
  <c r="D21" i="53"/>
  <c r="H15" i="53"/>
  <c r="B25" i="52"/>
  <c r="D24" i="52"/>
  <c r="D22" i="52"/>
  <c r="H20" i="52"/>
  <c r="H16" i="52"/>
  <c r="B13" i="52"/>
  <c r="P34" i="50"/>
  <c r="P33" i="50"/>
  <c r="P29" i="50"/>
  <c r="P25" i="50"/>
  <c r="T21" i="50"/>
  <c r="T24" i="49"/>
  <c r="T22" i="49"/>
  <c r="P12" i="49"/>
  <c r="B21" i="53"/>
  <c r="P34" i="47"/>
  <c r="H24" i="47"/>
  <c r="H22" i="47"/>
  <c r="H13" i="47"/>
  <c r="D4" i="47"/>
  <c r="H34" i="46"/>
  <c r="H33" i="46"/>
  <c r="H29" i="46"/>
  <c r="H25" i="46"/>
  <c r="P15" i="46"/>
  <c r="D5" i="46"/>
  <c r="B39" i="44"/>
  <c r="H24" i="44"/>
  <c r="H22" i="44"/>
  <c r="H13" i="44"/>
  <c r="D4" i="44"/>
  <c r="H34" i="43"/>
  <c r="H33" i="43"/>
  <c r="H29" i="43"/>
  <c r="H25" i="43"/>
  <c r="P15" i="43"/>
  <c r="D5" i="43"/>
  <c r="D20" i="53"/>
  <c r="T20" i="50"/>
  <c r="P25" i="49"/>
  <c r="H29" i="47"/>
  <c r="D25" i="47"/>
  <c r="H21" i="47"/>
  <c r="D13" i="47"/>
  <c r="B39" i="46"/>
  <c r="H24" i="46"/>
  <c r="H22" i="46"/>
  <c r="H13" i="46"/>
  <c r="D4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B38" i="41"/>
  <c r="D34" i="41"/>
  <c r="D33" i="41"/>
  <c r="D29" i="41"/>
  <c r="D25" i="41"/>
  <c r="H21" i="41"/>
  <c r="D13" i="41"/>
  <c r="B39" i="40"/>
  <c r="D16" i="53"/>
  <c r="B22" i="52"/>
  <c r="T16" i="50"/>
  <c r="H33" i="47"/>
  <c r="D29" i="47"/>
  <c r="B22" i="47"/>
  <c r="D21" i="47"/>
  <c r="H15" i="47"/>
  <c r="B25" i="46"/>
  <c r="D24" i="46"/>
  <c r="D22" i="46"/>
  <c r="H20" i="46"/>
  <c r="H16" i="46"/>
  <c r="B13" i="46"/>
  <c r="B22" i="44"/>
  <c r="D21" i="44"/>
  <c r="H15" i="44"/>
  <c r="B25" i="43"/>
  <c r="D24" i="43"/>
  <c r="D22" i="43"/>
  <c r="H20" i="43"/>
  <c r="H16" i="43"/>
  <c r="B13" i="43"/>
  <c r="D21" i="52"/>
  <c r="T21" i="49"/>
  <c r="H34" i="47"/>
  <c r="B21" i="47"/>
  <c r="D20" i="47"/>
  <c r="D16" i="47"/>
  <c r="B22" i="46"/>
  <c r="D21" i="46"/>
  <c r="H15" i="46"/>
  <c r="B21" i="44"/>
  <c r="D20" i="44"/>
  <c r="D16" i="44"/>
  <c r="B22" i="43"/>
  <c r="D21" i="43"/>
  <c r="H15" i="43"/>
  <c r="T13" i="50"/>
  <c r="D33" i="47"/>
  <c r="T25" i="47"/>
  <c r="B16" i="47"/>
  <c r="D15" i="47"/>
  <c r="T12" i="47"/>
  <c r="B21" i="46"/>
  <c r="D20" i="46"/>
  <c r="D16" i="46"/>
  <c r="T34" i="44"/>
  <c r="T33" i="44"/>
  <c r="T29" i="44"/>
  <c r="T25" i="44"/>
  <c r="B16" i="44"/>
  <c r="D15" i="44"/>
  <c r="T12" i="44"/>
  <c r="B21" i="43"/>
  <c r="D20" i="43"/>
  <c r="D16" i="43"/>
  <c r="D34" i="47"/>
  <c r="T24" i="47"/>
  <c r="T22" i="47"/>
  <c r="P12" i="47"/>
  <c r="T34" i="46"/>
  <c r="T33" i="46"/>
  <c r="T29" i="46"/>
  <c r="T25" i="46"/>
  <c r="B16" i="46"/>
  <c r="D15" i="46"/>
  <c r="T12" i="46"/>
  <c r="B39" i="47"/>
  <c r="T29" i="47"/>
  <c r="P25" i="47"/>
  <c r="T21" i="47"/>
  <c r="T24" i="46"/>
  <c r="T22" i="46"/>
  <c r="P12" i="46"/>
  <c r="P34" i="44"/>
  <c r="P33" i="44"/>
  <c r="P29" i="44"/>
  <c r="P25" i="44"/>
  <c r="T21" i="44"/>
  <c r="T24" i="43"/>
  <c r="T22" i="43"/>
  <c r="P12" i="43"/>
  <c r="H15" i="52"/>
  <c r="P34" i="49"/>
  <c r="B38" i="47"/>
  <c r="P24" i="47"/>
  <c r="P22" i="47"/>
  <c r="T20" i="47"/>
  <c r="T16" i="47"/>
  <c r="T13" i="47"/>
  <c r="P34" i="46"/>
  <c r="P33" i="46"/>
  <c r="P29" i="46"/>
  <c r="P25" i="46"/>
  <c r="T21" i="46"/>
  <c r="P24" i="44"/>
  <c r="P22" i="44"/>
  <c r="T20" i="44"/>
  <c r="T16" i="44"/>
  <c r="T13" i="44"/>
  <c r="P34" i="43"/>
  <c r="P33" i="43"/>
  <c r="P29" i="43"/>
  <c r="P25" i="43"/>
  <c r="T21" i="43"/>
  <c r="P33" i="49"/>
  <c r="T33" i="47"/>
  <c r="P29" i="47"/>
  <c r="P21" i="47"/>
  <c r="T15" i="47"/>
  <c r="P13" i="47"/>
  <c r="H12" i="47"/>
  <c r="P24" i="46"/>
  <c r="P22" i="46"/>
  <c r="T20" i="46"/>
  <c r="T16" i="46"/>
  <c r="T13" i="46"/>
  <c r="P21" i="44"/>
  <c r="T15" i="44"/>
  <c r="P13" i="44"/>
  <c r="H12" i="44"/>
  <c r="P24" i="43"/>
  <c r="P22" i="43"/>
  <c r="T20" i="43"/>
  <c r="T16" i="43"/>
  <c r="T13" i="43"/>
  <c r="P24" i="50"/>
  <c r="T34" i="47"/>
  <c r="P20" i="47"/>
  <c r="P16" i="47"/>
  <c r="D12" i="47"/>
  <c r="P21" i="46"/>
  <c r="T15" i="46"/>
  <c r="P13" i="46"/>
  <c r="H12" i="46"/>
  <c r="P20" i="44"/>
  <c r="P16" i="44"/>
  <c r="D12" i="44"/>
  <c r="P21" i="43"/>
  <c r="T15" i="43"/>
  <c r="P13" i="43"/>
  <c r="H12" i="43"/>
  <c r="P21" i="41"/>
  <c r="T15" i="41"/>
  <c r="P13" i="41"/>
  <c r="H12" i="41"/>
  <c r="P12" i="44"/>
  <c r="H34" i="41"/>
  <c r="D22" i="41"/>
  <c r="B21" i="41"/>
  <c r="T16" i="41"/>
  <c r="P15" i="41"/>
  <c r="B13" i="41"/>
  <c r="T34" i="40"/>
  <c r="T24" i="40"/>
  <c r="T22" i="40"/>
  <c r="P12" i="40"/>
  <c r="P21" i="38"/>
  <c r="T15" i="38"/>
  <c r="P13" i="38"/>
  <c r="H12" i="38"/>
  <c r="P24" i="37"/>
  <c r="P22" i="37"/>
  <c r="T20" i="37"/>
  <c r="T16" i="37"/>
  <c r="T13" i="37"/>
  <c r="P22" i="50"/>
  <c r="D5" i="44"/>
  <c r="T29" i="41"/>
  <c r="H24" i="41"/>
  <c r="B22" i="41"/>
  <c r="P16" i="41"/>
  <c r="P33" i="40"/>
  <c r="P29" i="40"/>
  <c r="P25" i="40"/>
  <c r="T21" i="40"/>
  <c r="P20" i="38"/>
  <c r="P16" i="38"/>
  <c r="D12" i="38"/>
  <c r="P29" i="49"/>
  <c r="T25" i="43"/>
  <c r="H25" i="41"/>
  <c r="D24" i="41"/>
  <c r="P34" i="40"/>
  <c r="P24" i="40"/>
  <c r="P22" i="40"/>
  <c r="T20" i="40"/>
  <c r="T16" i="40"/>
  <c r="T13" i="40"/>
  <c r="H34" i="38"/>
  <c r="H33" i="38"/>
  <c r="H29" i="38"/>
  <c r="H25" i="38"/>
  <c r="P15" i="38"/>
  <c r="D5" i="38"/>
  <c r="P20" i="37"/>
  <c r="P16" i="37"/>
  <c r="D12" i="37"/>
  <c r="H15" i="49"/>
  <c r="H29" i="44"/>
  <c r="P16" i="43"/>
  <c r="P15" i="47"/>
  <c r="T34" i="43"/>
  <c r="B16" i="43"/>
  <c r="B25" i="41"/>
  <c r="T20" i="41"/>
  <c r="H16" i="41"/>
  <c r="P12" i="41"/>
  <c r="P20" i="40"/>
  <c r="P16" i="40"/>
  <c r="D12" i="40"/>
  <c r="P33" i="47"/>
  <c r="P20" i="46"/>
  <c r="B39" i="41"/>
  <c r="T33" i="41"/>
  <c r="T21" i="41"/>
  <c r="P20" i="41"/>
  <c r="D15" i="41"/>
  <c r="H34" i="40"/>
  <c r="H33" i="40"/>
  <c r="H29" i="40"/>
  <c r="H25" i="40"/>
  <c r="P15" i="40"/>
  <c r="D5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D5" i="47"/>
  <c r="T33" i="43"/>
  <c r="D15" i="43"/>
  <c r="H29" i="41"/>
  <c r="T22" i="41"/>
  <c r="D16" i="41"/>
  <c r="H24" i="40"/>
  <c r="H22" i="40"/>
  <c r="H13" i="40"/>
  <c r="D4" i="40"/>
  <c r="P16" i="46"/>
  <c r="H25" i="44"/>
  <c r="T34" i="41"/>
  <c r="P33" i="41"/>
  <c r="B16" i="41"/>
  <c r="D12" i="41"/>
  <c r="D34" i="40"/>
  <c r="D33" i="40"/>
  <c r="D29" i="40"/>
  <c r="D25" i="40"/>
  <c r="H21" i="40"/>
  <c r="D13" i="40"/>
  <c r="B21" i="38"/>
  <c r="D20" i="38"/>
  <c r="D16" i="38"/>
  <c r="B22" i="37"/>
  <c r="D21" i="37"/>
  <c r="H15" i="37"/>
  <c r="T24" i="44"/>
  <c r="T12" i="43"/>
  <c r="T24" i="41"/>
  <c r="P22" i="41"/>
  <c r="H20" i="41"/>
  <c r="T13" i="41"/>
  <c r="D5" i="41"/>
  <c r="B25" i="40"/>
  <c r="D24" i="40"/>
  <c r="D22" i="40"/>
  <c r="H20" i="40"/>
  <c r="H16" i="40"/>
  <c r="B13" i="40"/>
  <c r="T34" i="38"/>
  <c r="T33" i="38"/>
  <c r="T29" i="38"/>
  <c r="T25" i="38"/>
  <c r="B16" i="38"/>
  <c r="D15" i="38"/>
  <c r="T12" i="38"/>
  <c r="B21" i="37"/>
  <c r="D20" i="37"/>
  <c r="D16" i="37"/>
  <c r="D12" i="46"/>
  <c r="T22" i="44"/>
  <c r="T29" i="43"/>
  <c r="H33" i="41"/>
  <c r="P24" i="41"/>
  <c r="D20" i="41"/>
  <c r="B38" i="40"/>
  <c r="B21" i="40"/>
  <c r="D20" i="40"/>
  <c r="D16" i="40"/>
  <c r="P34" i="38"/>
  <c r="P33" i="38"/>
  <c r="P29" i="38"/>
  <c r="P25" i="38"/>
  <c r="T21" i="38"/>
  <c r="T24" i="37"/>
  <c r="T22" i="37"/>
  <c r="P12" i="37"/>
  <c r="P29" i="41"/>
  <c r="H15" i="41"/>
  <c r="P13" i="40"/>
  <c r="P34" i="37"/>
  <c r="T25" i="37"/>
  <c r="P13" i="37"/>
  <c r="T24" i="35"/>
  <c r="T22" i="35"/>
  <c r="P12" i="35"/>
  <c r="T34" i="34"/>
  <c r="T33" i="34"/>
  <c r="T29" i="34"/>
  <c r="T25" i="34"/>
  <c r="B16" i="34"/>
  <c r="D15" i="34"/>
  <c r="T12" i="34"/>
  <c r="P34" i="32"/>
  <c r="P33" i="32"/>
  <c r="P29" i="32"/>
  <c r="P25" i="32"/>
  <c r="T21" i="32"/>
  <c r="T24" i="31"/>
  <c r="T22" i="31"/>
  <c r="P12" i="31"/>
  <c r="H34" i="44"/>
  <c r="T20" i="38"/>
  <c r="P12" i="38"/>
  <c r="H34" i="37"/>
  <c r="P25" i="37"/>
  <c r="P34" i="35"/>
  <c r="P33" i="35"/>
  <c r="P29" i="35"/>
  <c r="P25" i="35"/>
  <c r="T21" i="35"/>
  <c r="T24" i="34"/>
  <c r="T22" i="34"/>
  <c r="P12" i="34"/>
  <c r="P24" i="32"/>
  <c r="P22" i="32"/>
  <c r="T20" i="32"/>
  <c r="T16" i="32"/>
  <c r="T13" i="32"/>
  <c r="P34" i="31"/>
  <c r="P33" i="31"/>
  <c r="H33" i="44"/>
  <c r="D21" i="41"/>
  <c r="H13" i="41"/>
  <c r="T12" i="40"/>
  <c r="T22" i="38"/>
  <c r="T29" i="37"/>
  <c r="H25" i="37"/>
  <c r="H22" i="37"/>
  <c r="H13" i="37"/>
  <c r="P24" i="35"/>
  <c r="P22" i="35"/>
  <c r="T20" i="35"/>
  <c r="T16" i="35"/>
  <c r="T13" i="35"/>
  <c r="P34" i="34"/>
  <c r="P33" i="34"/>
  <c r="P29" i="34"/>
  <c r="P25" i="34"/>
  <c r="T21" i="34"/>
  <c r="P21" i="32"/>
  <c r="T15" i="32"/>
  <c r="P13" i="32"/>
  <c r="H12" i="32"/>
  <c r="P24" i="31"/>
  <c r="P22" i="31"/>
  <c r="T20" i="31"/>
  <c r="T16" i="31"/>
  <c r="T13" i="31"/>
  <c r="T12" i="41"/>
  <c r="H12" i="40"/>
  <c r="P22" i="38"/>
  <c r="D4" i="38"/>
  <c r="P29" i="37"/>
  <c r="D22" i="37"/>
  <c r="H20" i="37"/>
  <c r="H16" i="37"/>
  <c r="B13" i="37"/>
  <c r="P21" i="35"/>
  <c r="T15" i="35"/>
  <c r="P13" i="35"/>
  <c r="H12" i="35"/>
  <c r="P24" i="34"/>
  <c r="P22" i="34"/>
  <c r="T20" i="34"/>
  <c r="T16" i="34"/>
  <c r="T13" i="34"/>
  <c r="P20" i="32"/>
  <c r="P16" i="32"/>
  <c r="D12" i="32"/>
  <c r="P21" i="31"/>
  <c r="T15" i="31"/>
  <c r="P13" i="31"/>
  <c r="H12" i="31"/>
  <c r="P34" i="41"/>
  <c r="T25" i="41"/>
  <c r="D4" i="41"/>
  <c r="H22" i="38"/>
  <c r="B39" i="37"/>
  <c r="T33" i="37"/>
  <c r="H29" i="37"/>
  <c r="B25" i="37"/>
  <c r="B16" i="37"/>
  <c r="T12" i="37"/>
  <c r="P20" i="35"/>
  <c r="P16" i="35"/>
  <c r="D12" i="35"/>
  <c r="P21" i="34"/>
  <c r="T15" i="34"/>
  <c r="P13" i="34"/>
  <c r="H12" i="34"/>
  <c r="P15" i="44"/>
  <c r="P25" i="41"/>
  <c r="T29" i="40"/>
  <c r="P33" i="37"/>
  <c r="T21" i="37"/>
  <c r="H34" i="35"/>
  <c r="H33" i="35"/>
  <c r="H29" i="35"/>
  <c r="H25" i="35"/>
  <c r="P15" i="35"/>
  <c r="D5" i="35"/>
  <c r="P20" i="34"/>
  <c r="P16" i="34"/>
  <c r="D12" i="34"/>
  <c r="D34" i="38"/>
  <c r="B22" i="38"/>
  <c r="H33" i="37"/>
  <c r="P21" i="37"/>
  <c r="T15" i="37"/>
  <c r="H12" i="37"/>
  <c r="B39" i="35"/>
  <c r="H24" i="35"/>
  <c r="H22" i="35"/>
  <c r="B22" i="40"/>
  <c r="B39" i="38"/>
  <c r="D25" i="38"/>
  <c r="H15" i="38"/>
  <c r="P15" i="37"/>
  <c r="D5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B16" i="40"/>
  <c r="B38" i="38"/>
  <c r="H24" i="37"/>
  <c r="D4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B22" i="32"/>
  <c r="D21" i="32"/>
  <c r="H15" i="32"/>
  <c r="B25" i="31"/>
  <c r="D24" i="31"/>
  <c r="D22" i="31"/>
  <c r="H20" i="31"/>
  <c r="H16" i="31"/>
  <c r="B13" i="31"/>
  <c r="H25" i="47"/>
  <c r="P21" i="40"/>
  <c r="T15" i="40"/>
  <c r="D29" i="38"/>
  <c r="T24" i="38"/>
  <c r="T13" i="38"/>
  <c r="D24" i="37"/>
  <c r="B22" i="35"/>
  <c r="D21" i="35"/>
  <c r="H15" i="35"/>
  <c r="B25" i="34"/>
  <c r="D24" i="34"/>
  <c r="D22" i="34"/>
  <c r="H20" i="34"/>
  <c r="H16" i="34"/>
  <c r="B13" i="34"/>
  <c r="B21" i="32"/>
  <c r="D20" i="32"/>
  <c r="D16" i="32"/>
  <c r="B22" i="31"/>
  <c r="D21" i="31"/>
  <c r="H15" i="31"/>
  <c r="D20" i="35"/>
  <c r="H34" i="32"/>
  <c r="H22" i="32"/>
  <c r="P15" i="32"/>
  <c r="B39" i="31"/>
  <c r="T33" i="31"/>
  <c r="P20" i="31"/>
  <c r="P16" i="31"/>
  <c r="B22" i="29"/>
  <c r="D21" i="29"/>
  <c r="H15" i="29"/>
  <c r="B25" i="28"/>
  <c r="D24" i="28"/>
  <c r="D22" i="28"/>
  <c r="H20" i="28"/>
  <c r="H16" i="28"/>
  <c r="B13" i="28"/>
  <c r="B21" i="26"/>
  <c r="D20" i="26"/>
  <c r="D16" i="26"/>
  <c r="H22" i="41"/>
  <c r="P24" i="38"/>
  <c r="T12" i="35"/>
  <c r="D20" i="34"/>
  <c r="T29" i="32"/>
  <c r="H25" i="32"/>
  <c r="H29" i="31"/>
  <c r="H25" i="31"/>
  <c r="B21" i="29"/>
  <c r="D20" i="29"/>
  <c r="D16" i="29"/>
  <c r="B22" i="28"/>
  <c r="D21" i="28"/>
  <c r="H15" i="28"/>
  <c r="T34" i="26"/>
  <c r="T33" i="26"/>
  <c r="T29" i="26"/>
  <c r="T25" i="26"/>
  <c r="B16" i="26"/>
  <c r="D15" i="26"/>
  <c r="T12" i="26"/>
  <c r="H24" i="38"/>
  <c r="T25" i="35"/>
  <c r="D4" i="35"/>
  <c r="D5" i="34"/>
  <c r="D34" i="32"/>
  <c r="H33" i="31"/>
  <c r="H22" i="31"/>
  <c r="H13" i="31"/>
  <c r="T34" i="29"/>
  <c r="T33" i="29"/>
  <c r="T29" i="29"/>
  <c r="T25" i="29"/>
  <c r="B16" i="29"/>
  <c r="D15" i="29"/>
  <c r="T12" i="29"/>
  <c r="B21" i="28"/>
  <c r="D20" i="28"/>
  <c r="D16" i="28"/>
  <c r="T24" i="26"/>
  <c r="T22" i="26"/>
  <c r="P12" i="26"/>
  <c r="T34" i="25"/>
  <c r="T33" i="25"/>
  <c r="H21" i="38"/>
  <c r="B39" i="32"/>
  <c r="T33" i="32"/>
  <c r="H29" i="32"/>
  <c r="D25" i="32"/>
  <c r="D15" i="32"/>
  <c r="D20" i="31"/>
  <c r="D16" i="31"/>
  <c r="T24" i="29"/>
  <c r="T22" i="29"/>
  <c r="P12" i="29"/>
  <c r="T34" i="28"/>
  <c r="T33" i="28"/>
  <c r="T29" i="28"/>
  <c r="T25" i="28"/>
  <c r="B16" i="28"/>
  <c r="D15" i="28"/>
  <c r="T12" i="28"/>
  <c r="P34" i="26"/>
  <c r="P33" i="26"/>
  <c r="D21" i="38"/>
  <c r="T34" i="35"/>
  <c r="B38" i="32"/>
  <c r="B16" i="31"/>
  <c r="T12" i="31"/>
  <c r="P34" i="29"/>
  <c r="P33" i="29"/>
  <c r="P29" i="29"/>
  <c r="P25" i="29"/>
  <c r="T21" i="29"/>
  <c r="T24" i="28"/>
  <c r="T22" i="28"/>
  <c r="P12" i="28"/>
  <c r="T33" i="40"/>
  <c r="H29" i="34"/>
  <c r="H33" i="32"/>
  <c r="D29" i="32"/>
  <c r="T24" i="32"/>
  <c r="T21" i="31"/>
  <c r="P24" i="29"/>
  <c r="P22" i="29"/>
  <c r="T16" i="38"/>
  <c r="T33" i="35"/>
  <c r="D16" i="35"/>
  <c r="B22" i="34"/>
  <c r="H21" i="32"/>
  <c r="H13" i="32"/>
  <c r="D12" i="31"/>
  <c r="P21" i="29"/>
  <c r="T15" i="29"/>
  <c r="P13" i="29"/>
  <c r="H12" i="29"/>
  <c r="P24" i="28"/>
  <c r="P22" i="28"/>
  <c r="T20" i="28"/>
  <c r="T16" i="28"/>
  <c r="T13" i="28"/>
  <c r="P20" i="26"/>
  <c r="P16" i="26"/>
  <c r="D12" i="26"/>
  <c r="P20" i="43"/>
  <c r="T25" i="40"/>
  <c r="H13" i="38"/>
  <c r="B16" i="35"/>
  <c r="D16" i="34"/>
  <c r="D33" i="32"/>
  <c r="H24" i="32"/>
  <c r="D13" i="32"/>
  <c r="T34" i="31"/>
  <c r="P15" i="31"/>
  <c r="D5" i="31"/>
  <c r="P20" i="29"/>
  <c r="P16" i="29"/>
  <c r="D12" i="29"/>
  <c r="P21" i="28"/>
  <c r="T15" i="28"/>
  <c r="P13" i="28"/>
  <c r="H12" i="28"/>
  <c r="H34" i="26"/>
  <c r="H33" i="26"/>
  <c r="H15" i="40"/>
  <c r="D33" i="38"/>
  <c r="T34" i="37"/>
  <c r="T29" i="35"/>
  <c r="D15" i="35"/>
  <c r="B21" i="34"/>
  <c r="T34" i="32"/>
  <c r="T22" i="32"/>
  <c r="B16" i="32"/>
  <c r="D5" i="32"/>
  <c r="T29" i="31"/>
  <c r="T25" i="31"/>
  <c r="D15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B25" i="26"/>
  <c r="D24" i="26"/>
  <c r="D22" i="26"/>
  <c r="H20" i="26"/>
  <c r="H16" i="26"/>
  <c r="B13" i="26"/>
  <c r="B38" i="25"/>
  <c r="D34" i="25"/>
  <c r="D33" i="25"/>
  <c r="H33" i="34"/>
  <c r="H34" i="31"/>
  <c r="B21" i="31"/>
  <c r="H22" i="29"/>
  <c r="B13" i="29"/>
  <c r="D34" i="28"/>
  <c r="D29" i="28"/>
  <c r="T16" i="26"/>
  <c r="H15" i="26"/>
  <c r="D4" i="26"/>
  <c r="T25" i="25"/>
  <c r="B16" i="25"/>
  <c r="D15" i="25"/>
  <c r="T12" i="25"/>
  <c r="P21" i="23"/>
  <c r="T15" i="23"/>
  <c r="P13" i="23"/>
  <c r="H12" i="23"/>
  <c r="P24" i="22"/>
  <c r="P22" i="22"/>
  <c r="T20" i="22"/>
  <c r="T16" i="22"/>
  <c r="T13" i="22"/>
  <c r="P21" i="20"/>
  <c r="T15" i="20"/>
  <c r="P13" i="20"/>
  <c r="H12" i="20"/>
  <c r="D22" i="29"/>
  <c r="T16" i="29"/>
  <c r="P33" i="28"/>
  <c r="P24" i="26"/>
  <c r="B22" i="26"/>
  <c r="B39" i="25"/>
  <c r="T29" i="25"/>
  <c r="T24" i="25"/>
  <c r="T22" i="25"/>
  <c r="P12" i="25"/>
  <c r="P20" i="23"/>
  <c r="P16" i="23"/>
  <c r="D12" i="23"/>
  <c r="P21" i="22"/>
  <c r="T15" i="22"/>
  <c r="P13" i="22"/>
  <c r="H12" i="22"/>
  <c r="D13" i="38"/>
  <c r="H34" i="29"/>
  <c r="D5" i="29"/>
  <c r="T21" i="26"/>
  <c r="T13" i="26"/>
  <c r="P25" i="25"/>
  <c r="T21" i="25"/>
  <c r="H34" i="23"/>
  <c r="H33" i="23"/>
  <c r="H29" i="23"/>
  <c r="H25" i="23"/>
  <c r="P15" i="23"/>
  <c r="D5" i="23"/>
  <c r="P20" i="22"/>
  <c r="P16" i="22"/>
  <c r="D12" i="22"/>
  <c r="H34" i="20"/>
  <c r="H33" i="20"/>
  <c r="H29" i="20"/>
  <c r="H25" i="20"/>
  <c r="P15" i="20"/>
  <c r="D5" i="20"/>
  <c r="P20" i="19"/>
  <c r="P16" i="19"/>
  <c r="D12" i="19"/>
  <c r="H25" i="34"/>
  <c r="D4" i="29"/>
  <c r="H33" i="28"/>
  <c r="D34" i="26"/>
  <c r="P29" i="26"/>
  <c r="P13" i="26"/>
  <c r="H34" i="25"/>
  <c r="P29" i="25"/>
  <c r="P24" i="25"/>
  <c r="P22" i="25"/>
  <c r="T20" i="25"/>
  <c r="T16" i="25"/>
  <c r="T13" i="25"/>
  <c r="B39" i="23"/>
  <c r="H24" i="23"/>
  <c r="H22" i="23"/>
  <c r="H13" i="23"/>
  <c r="D4" i="23"/>
  <c r="H34" i="22"/>
  <c r="H33" i="22"/>
  <c r="H29" i="22"/>
  <c r="H25" i="22"/>
  <c r="P15" i="22"/>
  <c r="D5" i="22"/>
  <c r="B39" i="20"/>
  <c r="H24" i="20"/>
  <c r="H22" i="20"/>
  <c r="H13" i="20"/>
  <c r="D4" i="20"/>
  <c r="H34" i="19"/>
  <c r="H33" i="19"/>
  <c r="H29" i="19"/>
  <c r="P29" i="31"/>
  <c r="H16" i="29"/>
  <c r="B38" i="28"/>
  <c r="D33" i="28"/>
  <c r="D13" i="28"/>
  <c r="B39" i="26"/>
  <c r="H24" i="26"/>
  <c r="P21" i="26"/>
  <c r="P21" i="25"/>
  <c r="T15" i="25"/>
  <c r="P13" i="25"/>
  <c r="H12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B21" i="35"/>
  <c r="D21" i="34"/>
  <c r="H33" i="29"/>
  <c r="H25" i="29"/>
  <c r="T20" i="29"/>
  <c r="P25" i="28"/>
  <c r="T21" i="28"/>
  <c r="B38" i="26"/>
  <c r="P25" i="26"/>
  <c r="H13" i="26"/>
  <c r="P20" i="25"/>
  <c r="P16" i="25"/>
  <c r="D12" i="25"/>
  <c r="D12" i="43"/>
  <c r="D15" i="37"/>
  <c r="P15" i="29"/>
  <c r="P16" i="28"/>
  <c r="D12" i="28"/>
  <c r="H29" i="26"/>
  <c r="D13" i="26"/>
  <c r="H25" i="25"/>
  <c r="P15" i="25"/>
  <c r="D5" i="25"/>
  <c r="B22" i="23"/>
  <c r="D21" i="23"/>
  <c r="H15" i="23"/>
  <c r="B25" i="22"/>
  <c r="D24" i="22"/>
  <c r="D22" i="22"/>
  <c r="H20" i="22"/>
  <c r="P15" i="34"/>
  <c r="P25" i="31"/>
  <c r="B25" i="29"/>
  <c r="H25" i="28"/>
  <c r="D5" i="28"/>
  <c r="H21" i="26"/>
  <c r="P33" i="25"/>
  <c r="H29" i="25"/>
  <c r="H24" i="25"/>
  <c r="H22" i="25"/>
  <c r="H13" i="25"/>
  <c r="D4" i="25"/>
  <c r="B21" i="23"/>
  <c r="D20" i="23"/>
  <c r="D16" i="23"/>
  <c r="B22" i="22"/>
  <c r="D21" i="22"/>
  <c r="D21" i="40"/>
  <c r="H15" i="34"/>
  <c r="T12" i="32"/>
  <c r="H24" i="31"/>
  <c r="D4" i="31"/>
  <c r="H20" i="29"/>
  <c r="D25" i="28"/>
  <c r="H21" i="28"/>
  <c r="D33" i="26"/>
  <c r="D29" i="26"/>
  <c r="H25" i="26"/>
  <c r="P22" i="26"/>
  <c r="D21" i="26"/>
  <c r="T15" i="26"/>
  <c r="D25" i="25"/>
  <c r="H21" i="25"/>
  <c r="D13" i="25"/>
  <c r="T34" i="23"/>
  <c r="T33" i="23"/>
  <c r="T29" i="23"/>
  <c r="T25" i="23"/>
  <c r="B16" i="23"/>
  <c r="D15" i="23"/>
  <c r="T12" i="23"/>
  <c r="B21" i="22"/>
  <c r="D20" i="22"/>
  <c r="D16" i="22"/>
  <c r="T34" i="20"/>
  <c r="T33" i="20"/>
  <c r="T29" i="20"/>
  <c r="T25" i="20"/>
  <c r="B16" i="20"/>
  <c r="D15" i="20"/>
  <c r="T12" i="20"/>
  <c r="B21" i="19"/>
  <c r="D20" i="19"/>
  <c r="D16" i="19"/>
  <c r="P12" i="32"/>
  <c r="H13" i="29"/>
  <c r="H22" i="26"/>
  <c r="D5" i="26"/>
  <c r="D16" i="25"/>
  <c r="P34" i="23"/>
  <c r="P29" i="23"/>
  <c r="D25" i="20"/>
  <c r="T22" i="20"/>
  <c r="H21" i="20"/>
  <c r="B39" i="19"/>
  <c r="T34" i="19"/>
  <c r="T29" i="19"/>
  <c r="T22" i="19"/>
  <c r="B38" i="17"/>
  <c r="D34" i="17"/>
  <c r="D33" i="17"/>
  <c r="D29" i="17"/>
  <c r="D25" i="17"/>
  <c r="H21" i="17"/>
  <c r="D13" i="17"/>
  <c r="B39" i="16"/>
  <c r="H24" i="16"/>
  <c r="H22" i="16"/>
  <c r="D4" i="32"/>
  <c r="P34" i="28"/>
  <c r="P24" i="23"/>
  <c r="T20" i="23"/>
  <c r="P25" i="22"/>
  <c r="T21" i="22"/>
  <c r="P33" i="20"/>
  <c r="B25" i="20"/>
  <c r="H16" i="20"/>
  <c r="B38" i="19"/>
  <c r="D33" i="19"/>
  <c r="P21" i="19"/>
  <c r="B16" i="19"/>
  <c r="H12" i="19"/>
  <c r="T20" i="26"/>
  <c r="D21" i="25"/>
  <c r="H15" i="25"/>
  <c r="D24" i="23"/>
  <c r="H20" i="23"/>
  <c r="D25" i="22"/>
  <c r="H21" i="22"/>
  <c r="D13" i="22"/>
  <c r="P22" i="20"/>
  <c r="D21" i="20"/>
  <c r="T13" i="20"/>
  <c r="P34" i="19"/>
  <c r="P29" i="19"/>
  <c r="T24" i="19"/>
  <c r="P22" i="19"/>
  <c r="T13" i="19"/>
  <c r="D5" i="19"/>
  <c r="B22" i="17"/>
  <c r="D21" i="17"/>
  <c r="H15" i="17"/>
  <c r="B25" i="16"/>
  <c r="D24" i="16"/>
  <c r="D22" i="16"/>
  <c r="H20" i="16"/>
  <c r="H16" i="16"/>
  <c r="B13" i="16"/>
  <c r="H29" i="29"/>
  <c r="H34" i="28"/>
  <c r="P15" i="28"/>
  <c r="P34" i="25"/>
  <c r="B21" i="25"/>
  <c r="T22" i="23"/>
  <c r="T34" i="22"/>
  <c r="T29" i="22"/>
  <c r="B13" i="22"/>
  <c r="B21" i="20"/>
  <c r="D16" i="20"/>
  <c r="H20" i="19"/>
  <c r="P13" i="19"/>
  <c r="D4" i="19"/>
  <c r="B21" i="17"/>
  <c r="D20" i="17"/>
  <c r="D16" i="17"/>
  <c r="B22" i="16"/>
  <c r="D21" i="16"/>
  <c r="H24" i="29"/>
  <c r="P29" i="28"/>
  <c r="B25" i="25"/>
  <c r="H20" i="25"/>
  <c r="B13" i="25"/>
  <c r="P33" i="23"/>
  <c r="T24" i="22"/>
  <c r="H16" i="22"/>
  <c r="B38" i="20"/>
  <c r="D33" i="20"/>
  <c r="T24" i="20"/>
  <c r="D13" i="20"/>
  <c r="T25" i="19"/>
  <c r="P24" i="19"/>
  <c r="H21" i="19"/>
  <c r="D24" i="29"/>
  <c r="P22" i="23"/>
  <c r="T13" i="23"/>
  <c r="P34" i="22"/>
  <c r="P29" i="22"/>
  <c r="B16" i="22"/>
  <c r="T12" i="22"/>
  <c r="P34" i="20"/>
  <c r="P29" i="20"/>
  <c r="D22" i="20"/>
  <c r="B13" i="20"/>
  <c r="D34" i="19"/>
  <c r="D29" i="19"/>
  <c r="H22" i="19"/>
  <c r="T15" i="19"/>
  <c r="H13" i="19"/>
  <c r="D15" i="40"/>
  <c r="H13" i="35"/>
  <c r="H29" i="28"/>
  <c r="H33" i="25"/>
  <c r="D20" i="25"/>
  <c r="D22" i="23"/>
  <c r="B13" i="23"/>
  <c r="D34" i="22"/>
  <c r="D29" i="22"/>
  <c r="P12" i="22"/>
  <c r="P24" i="20"/>
  <c r="B22" i="20"/>
  <c r="T20" i="20"/>
  <c r="P25" i="19"/>
  <c r="D21" i="19"/>
  <c r="T16" i="19"/>
  <c r="P15" i="19"/>
  <c r="D13" i="19"/>
  <c r="H34" i="34"/>
  <c r="P15" i="26"/>
  <c r="D24" i="25"/>
  <c r="P12" i="23"/>
  <c r="T33" i="22"/>
  <c r="P20" i="20"/>
  <c r="H24" i="19"/>
  <c r="D22" i="19"/>
  <c r="B13" i="19"/>
  <c r="D25" i="26"/>
  <c r="P25" i="23"/>
  <c r="T21" i="23"/>
  <c r="T22" i="22"/>
  <c r="D34" i="20"/>
  <c r="D29" i="20"/>
  <c r="P12" i="20"/>
  <c r="T33" i="19"/>
  <c r="H25" i="19"/>
  <c r="B22" i="19"/>
  <c r="P21" i="17"/>
  <c r="T15" i="17"/>
  <c r="P13" i="17"/>
  <c r="H12" i="17"/>
  <c r="P24" i="16"/>
  <c r="P22" i="16"/>
  <c r="T20" i="16"/>
  <c r="T16" i="16"/>
  <c r="T13" i="16"/>
  <c r="T25" i="32"/>
  <c r="B39" i="29"/>
  <c r="T13" i="29"/>
  <c r="D29" i="25"/>
  <c r="D22" i="25"/>
  <c r="H16" i="25"/>
  <c r="B25" i="23"/>
  <c r="H16" i="23"/>
  <c r="B38" i="22"/>
  <c r="D33" i="22"/>
  <c r="H15" i="22"/>
  <c r="T16" i="20"/>
  <c r="H15" i="20"/>
  <c r="P33" i="19"/>
  <c r="D25" i="19"/>
  <c r="T20" i="19"/>
  <c r="H15" i="19"/>
  <c r="P12" i="19"/>
  <c r="D20" i="20"/>
  <c r="T34" i="17"/>
  <c r="T29" i="17"/>
  <c r="B16" i="17"/>
  <c r="P13" i="16"/>
  <c r="D12" i="16"/>
  <c r="P20" i="14"/>
  <c r="P16" i="14"/>
  <c r="D12" i="14"/>
  <c r="P21" i="13"/>
  <c r="T15" i="13"/>
  <c r="P13" i="13"/>
  <c r="H12" i="13"/>
  <c r="B22" i="25"/>
  <c r="H33" i="17"/>
  <c r="T24" i="17"/>
  <c r="T25" i="16"/>
  <c r="P20" i="16"/>
  <c r="D5" i="16"/>
  <c r="H34" i="14"/>
  <c r="H33" i="14"/>
  <c r="H29" i="14"/>
  <c r="H25" i="14"/>
  <c r="P15" i="14"/>
  <c r="D5" i="14"/>
  <c r="P20" i="13"/>
  <c r="P16" i="13"/>
  <c r="D12" i="13"/>
  <c r="P33" i="22"/>
  <c r="P16" i="20"/>
  <c r="H16" i="19"/>
  <c r="B39" i="17"/>
  <c r="P34" i="17"/>
  <c r="P29" i="17"/>
  <c r="H22" i="17"/>
  <c r="H13" i="17"/>
  <c r="H34" i="16"/>
  <c r="H29" i="16"/>
  <c r="T15" i="16"/>
  <c r="D4" i="16"/>
  <c r="B39" i="14"/>
  <c r="H24" i="14"/>
  <c r="H22" i="14"/>
  <c r="H13" i="14"/>
  <c r="D4" i="14"/>
  <c r="H34" i="13"/>
  <c r="H33" i="13"/>
  <c r="H29" i="13"/>
  <c r="H25" i="13"/>
  <c r="P15" i="13"/>
  <c r="D5" i="13"/>
  <c r="P24" i="17"/>
  <c r="D22" i="17"/>
  <c r="T20" i="17"/>
  <c r="B13" i="17"/>
  <c r="D34" i="16"/>
  <c r="D29" i="16"/>
  <c r="P25" i="16"/>
  <c r="T21" i="16"/>
  <c r="H13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B25" i="19"/>
  <c r="D15" i="19"/>
  <c r="T25" i="17"/>
  <c r="P20" i="17"/>
  <c r="T12" i="17"/>
  <c r="P21" i="16"/>
  <c r="D20" i="16"/>
  <c r="P15" i="16"/>
  <c r="D13" i="16"/>
  <c r="P20" i="28"/>
  <c r="T25" i="22"/>
  <c r="P25" i="20"/>
  <c r="D24" i="19"/>
  <c r="T12" i="19"/>
  <c r="H34" i="17"/>
  <c r="H29" i="17"/>
  <c r="P15" i="17"/>
  <c r="P12" i="17"/>
  <c r="T33" i="16"/>
  <c r="D12" i="20"/>
  <c r="P25" i="17"/>
  <c r="H24" i="17"/>
  <c r="T21" i="17"/>
  <c r="H25" i="16"/>
  <c r="T22" i="16"/>
  <c r="P16" i="16"/>
  <c r="T24" i="23"/>
  <c r="D24" i="20"/>
  <c r="D24" i="17"/>
  <c r="H20" i="17"/>
  <c r="T16" i="17"/>
  <c r="P33" i="16"/>
  <c r="D25" i="16"/>
  <c r="H21" i="16"/>
  <c r="H15" i="16"/>
  <c r="T12" i="16"/>
  <c r="T34" i="14"/>
  <c r="T33" i="14"/>
  <c r="T29" i="14"/>
  <c r="T25" i="14"/>
  <c r="B16" i="14"/>
  <c r="D15" i="14"/>
  <c r="T12" i="14"/>
  <c r="B21" i="13"/>
  <c r="D20" i="13"/>
  <c r="D16" i="13"/>
  <c r="T16" i="23"/>
  <c r="P33" i="17"/>
  <c r="D4" i="17"/>
  <c r="H33" i="16"/>
  <c r="T24" i="16"/>
  <c r="D16" i="16"/>
  <c r="P24" i="14"/>
  <c r="P22" i="14"/>
  <c r="T20" i="14"/>
  <c r="T16" i="14"/>
  <c r="T13" i="14"/>
  <c r="P34" i="13"/>
  <c r="P33" i="13"/>
  <c r="P29" i="13"/>
  <c r="P25" i="13"/>
  <c r="T21" i="13"/>
  <c r="D12" i="17"/>
  <c r="B22" i="14"/>
  <c r="B25" i="13"/>
  <c r="D22" i="13"/>
  <c r="H20" i="13"/>
  <c r="H16" i="13"/>
  <c r="B13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T21" i="20"/>
  <c r="D5" i="17"/>
  <c r="D20" i="14"/>
  <c r="D16" i="14"/>
  <c r="B22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H20" i="20"/>
  <c r="B38" i="16"/>
  <c r="T24" i="14"/>
  <c r="P12" i="14"/>
  <c r="T34" i="13"/>
  <c r="B16" i="13"/>
  <c r="T12" i="13"/>
  <c r="B22" i="11"/>
  <c r="D21" i="11"/>
  <c r="H15" i="11"/>
  <c r="B25" i="10"/>
  <c r="D24" i="10"/>
  <c r="D22" i="10"/>
  <c r="H20" i="10"/>
  <c r="H16" i="10"/>
  <c r="B13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P34" i="14"/>
  <c r="T21" i="14"/>
  <c r="T24" i="13"/>
  <c r="P12" i="13"/>
  <c r="B21" i="11"/>
  <c r="D20" i="11"/>
  <c r="D16" i="11"/>
  <c r="B22" i="10"/>
  <c r="D21" i="10"/>
  <c r="H15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H12" i="26"/>
  <c r="T34" i="16"/>
  <c r="P21" i="14"/>
  <c r="T15" i="14"/>
  <c r="H12" i="14"/>
  <c r="P24" i="13"/>
  <c r="T34" i="11"/>
  <c r="T33" i="11"/>
  <c r="T29" i="11"/>
  <c r="T25" i="11"/>
  <c r="B16" i="11"/>
  <c r="D15" i="11"/>
  <c r="T12" i="11"/>
  <c r="P34" i="16"/>
  <c r="B16" i="16"/>
  <c r="D24" i="14"/>
  <c r="B38" i="13"/>
  <c r="D34" i="13"/>
  <c r="H21" i="13"/>
  <c r="T24" i="11"/>
  <c r="T22" i="11"/>
  <c r="P12" i="11"/>
  <c r="T34" i="10"/>
  <c r="T33" i="10"/>
  <c r="T29" i="10"/>
  <c r="T25" i="10"/>
  <c r="B16" i="10"/>
  <c r="D15" i="10"/>
  <c r="T12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T21" i="19"/>
  <c r="P16" i="17"/>
  <c r="D21" i="14"/>
  <c r="H15" i="14"/>
  <c r="D24" i="13"/>
  <c r="P34" i="11"/>
  <c r="P33" i="11"/>
  <c r="P29" i="11"/>
  <c r="P25" i="11"/>
  <c r="T21" i="11"/>
  <c r="T24" i="10"/>
  <c r="T22" i="10"/>
  <c r="P12" i="10"/>
  <c r="P21" i="8"/>
  <c r="T15" i="8"/>
  <c r="P13" i="8"/>
  <c r="H12" i="8"/>
  <c r="P24" i="7"/>
  <c r="P22" i="7"/>
  <c r="T20" i="7"/>
  <c r="T16" i="7"/>
  <c r="T13" i="7"/>
  <c r="D15" i="22"/>
  <c r="H25" i="17"/>
  <c r="D15" i="16"/>
  <c r="B21" i="14"/>
  <c r="D21" i="13"/>
  <c r="H15" i="13"/>
  <c r="P24" i="11"/>
  <c r="P22" i="11"/>
  <c r="T20" i="11"/>
  <c r="T16" i="11"/>
  <c r="T13" i="11"/>
  <c r="P34" i="10"/>
  <c r="P33" i="10"/>
  <c r="P29" i="10"/>
  <c r="P25" i="10"/>
  <c r="T21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B25" i="17"/>
  <c r="H16" i="17"/>
  <c r="D33" i="16"/>
  <c r="T22" i="14"/>
  <c r="T33" i="13"/>
  <c r="T29" i="13"/>
  <c r="T25" i="13"/>
  <c r="D15" i="13"/>
  <c r="P21" i="11"/>
  <c r="T15" i="11"/>
  <c r="P13" i="11"/>
  <c r="H12" i="11"/>
  <c r="P24" i="10"/>
  <c r="P22" i="10"/>
  <c r="T20" i="10"/>
  <c r="T16" i="10"/>
  <c r="T13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T22" i="17"/>
  <c r="T29" i="16"/>
  <c r="P13" i="14"/>
  <c r="P22" i="13"/>
  <c r="T20" i="13"/>
  <c r="T16" i="13"/>
  <c r="T13" i="13"/>
  <c r="H34" i="11"/>
  <c r="H33" i="11"/>
  <c r="H29" i="11"/>
  <c r="H25" i="11"/>
  <c r="P15" i="11"/>
  <c r="D5" i="11"/>
  <c r="P20" i="10"/>
  <c r="P16" i="10"/>
  <c r="D12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P33" i="14"/>
  <c r="H22" i="11"/>
  <c r="H13" i="11"/>
  <c r="H29" i="10"/>
  <c r="B21" i="10"/>
  <c r="P34" i="8"/>
  <c r="T21" i="8"/>
  <c r="D22" i="5"/>
  <c r="B13" i="5"/>
  <c r="D34" i="4"/>
  <c r="D29" i="4"/>
  <c r="P29" i="16"/>
  <c r="B13" i="14"/>
  <c r="D12" i="11"/>
  <c r="P13" i="10"/>
  <c r="H34" i="7"/>
  <c r="P15" i="7"/>
  <c r="B39" i="5"/>
  <c r="T25" i="5"/>
  <c r="T12" i="5"/>
  <c r="D20" i="4"/>
  <c r="H20" i="14"/>
  <c r="T22" i="7"/>
  <c r="D15" i="5"/>
  <c r="B21" i="4"/>
  <c r="B21" i="16"/>
  <c r="P29" i="14"/>
  <c r="D4" i="11"/>
  <c r="D34" i="7"/>
  <c r="H21" i="7"/>
  <c r="P25" i="5"/>
  <c r="T21" i="5"/>
  <c r="T22" i="4"/>
  <c r="P20" i="11"/>
  <c r="D20" i="10"/>
  <c r="P33" i="8"/>
  <c r="P25" i="8"/>
  <c r="D4" i="5"/>
  <c r="H33" i="4"/>
  <c r="H13" i="8"/>
  <c r="H25" i="7"/>
  <c r="B25" i="5"/>
  <c r="H16" i="5"/>
  <c r="B38" i="4"/>
  <c r="D13" i="4"/>
  <c r="P12" i="16"/>
  <c r="P25" i="14"/>
  <c r="H25" i="10"/>
  <c r="H12" i="10"/>
  <c r="H33" i="7"/>
  <c r="D33" i="4"/>
  <c r="H12" i="16"/>
  <c r="B25" i="14"/>
  <c r="D33" i="13"/>
  <c r="D13" i="13"/>
  <c r="D5" i="10"/>
  <c r="B25" i="8"/>
  <c r="H20" i="8"/>
  <c r="B13" i="8"/>
  <c r="D33" i="7"/>
  <c r="D25" i="7"/>
  <c r="D13" i="7"/>
  <c r="T34" i="5"/>
  <c r="T29" i="5"/>
  <c r="B16" i="5"/>
  <c r="T33" i="17"/>
  <c r="B39" i="11"/>
  <c r="H34" i="10"/>
  <c r="T24" i="7"/>
  <c r="P12" i="7"/>
  <c r="P34" i="5"/>
  <c r="P29" i="5"/>
  <c r="P12" i="4"/>
  <c r="D22" i="14"/>
  <c r="D29" i="13"/>
  <c r="P16" i="11"/>
  <c r="B39" i="8"/>
  <c r="H24" i="8"/>
  <c r="D4" i="8"/>
  <c r="D5" i="7"/>
  <c r="H24" i="5"/>
  <c r="H25" i="4"/>
  <c r="D5" i="4"/>
  <c r="P22" i="17"/>
  <c r="D25" i="13"/>
  <c r="D16" i="10"/>
  <c r="P29" i="8"/>
  <c r="P15" i="4"/>
  <c r="H33" i="10"/>
  <c r="D24" i="8"/>
  <c r="B38" i="7"/>
  <c r="D24" i="5"/>
  <c r="H20" i="5"/>
  <c r="D25" i="4"/>
  <c r="H21" i="4"/>
  <c r="T33" i="5"/>
  <c r="D16" i="4"/>
  <c r="D15" i="17"/>
  <c r="T22" i="13"/>
  <c r="H24" i="11"/>
  <c r="P21" i="10"/>
  <c r="T15" i="10"/>
  <c r="H22" i="8"/>
  <c r="H29" i="7"/>
  <c r="P33" i="5"/>
  <c r="T24" i="4"/>
  <c r="T13" i="17"/>
  <c r="H16" i="14"/>
  <c r="P15" i="10"/>
  <c r="D22" i="8"/>
  <c r="H16" i="8"/>
  <c r="D29" i="7"/>
  <c r="H22" i="5"/>
  <c r="H13" i="5"/>
  <c r="H34" i="4"/>
  <c r="H29" i="4"/>
  <c r="N29" i="4" l="1"/>
  <c r="N34" i="4"/>
  <c r="N13" i="5"/>
  <c r="N22" i="5"/>
  <c r="L29" i="7"/>
  <c r="N16" i="8"/>
  <c r="L22" i="8"/>
  <c r="X15" i="10"/>
  <c r="N16" i="14"/>
  <c r="Z13" i="17"/>
  <c r="Z24" i="4"/>
  <c r="X33" i="5"/>
  <c r="N29" i="7"/>
  <c r="N22" i="8"/>
  <c r="Z15" i="10"/>
  <c r="X21" i="10"/>
  <c r="N24" i="11"/>
  <c r="Z22" i="13"/>
  <c r="L15" i="17"/>
  <c r="L16" i="4"/>
  <c r="Z33" i="5"/>
  <c r="N21" i="4"/>
  <c r="L25" i="4"/>
  <c r="N20" i="5"/>
  <c r="L24" i="5"/>
  <c r="L24" i="8"/>
  <c r="N33" i="10"/>
  <c r="X15" i="4"/>
  <c r="X29" i="8"/>
  <c r="L16" i="10"/>
  <c r="L25" i="13"/>
  <c r="X22" i="17"/>
  <c r="N25" i="4"/>
  <c r="N24" i="5"/>
  <c r="N24" i="8"/>
  <c r="X16" i="11"/>
  <c r="L29" i="13"/>
  <c r="L22" i="14"/>
  <c r="R24" i="4"/>
  <c r="R22" i="4"/>
  <c r="R21" i="4"/>
  <c r="R20" i="4"/>
  <c r="R18" i="4"/>
  <c r="R16" i="4"/>
  <c r="P18" i="4"/>
  <c r="R15" i="4"/>
  <c r="R33" i="4"/>
  <c r="R27" i="4"/>
  <c r="X12" i="4"/>
  <c r="R36" i="4"/>
  <c r="R31" i="4"/>
  <c r="R25" i="4"/>
  <c r="R34" i="4"/>
  <c r="R29" i="4"/>
  <c r="X29" i="5"/>
  <c r="X34" i="5"/>
  <c r="X12" i="7"/>
  <c r="R24" i="7"/>
  <c r="R22" i="7"/>
  <c r="R21" i="7"/>
  <c r="R20" i="7"/>
  <c r="R18" i="7"/>
  <c r="R16" i="7"/>
  <c r="P18" i="7"/>
  <c r="R15" i="7"/>
  <c r="R34" i="7"/>
  <c r="R27" i="7"/>
  <c r="R33" i="7"/>
  <c r="R25" i="7"/>
  <c r="R31" i="7"/>
  <c r="R29" i="7"/>
  <c r="R36" i="7"/>
  <c r="Z24" i="7"/>
  <c r="N34" i="10"/>
  <c r="Z33" i="17"/>
  <c r="Z29" i="5"/>
  <c r="Z34" i="5"/>
  <c r="L13" i="7"/>
  <c r="L25" i="7"/>
  <c r="L33" i="7"/>
  <c r="N20" i="8"/>
  <c r="L13" i="13"/>
  <c r="L33" i="13"/>
  <c r="J21" i="16"/>
  <c r="H18" i="16"/>
  <c r="J15" i="16"/>
  <c r="J18" i="16"/>
  <c r="J34" i="16"/>
  <c r="J29" i="16"/>
  <c r="J24" i="16"/>
  <c r="J20" i="16"/>
  <c r="J36" i="16"/>
  <c r="J31" i="16"/>
  <c r="J25" i="16"/>
  <c r="J22" i="16"/>
  <c r="J27" i="16"/>
  <c r="J16" i="16"/>
  <c r="J33" i="16"/>
  <c r="N12" i="16"/>
  <c r="L33" i="4"/>
  <c r="N33" i="7"/>
  <c r="J21" i="10"/>
  <c r="J20" i="10"/>
  <c r="J18" i="10"/>
  <c r="J16" i="10"/>
  <c r="H18" i="10"/>
  <c r="J15" i="10"/>
  <c r="N12" i="10"/>
  <c r="J36" i="10"/>
  <c r="J34" i="10"/>
  <c r="J33" i="10"/>
  <c r="J31" i="10"/>
  <c r="J29" i="10"/>
  <c r="J27" i="10"/>
  <c r="J25" i="10"/>
  <c r="J24" i="10"/>
  <c r="J22" i="10"/>
  <c r="N25" i="10"/>
  <c r="X25" i="14"/>
  <c r="R21" i="16"/>
  <c r="R20" i="16"/>
  <c r="R36" i="16"/>
  <c r="R31" i="16"/>
  <c r="R25" i="16"/>
  <c r="R15" i="16"/>
  <c r="R16" i="16"/>
  <c r="R33" i="16"/>
  <c r="R27" i="16"/>
  <c r="X12" i="16"/>
  <c r="R22" i="16"/>
  <c r="R34" i="16"/>
  <c r="R29" i="16"/>
  <c r="R18" i="16"/>
  <c r="P18" i="16"/>
  <c r="R24" i="16"/>
  <c r="L13" i="4"/>
  <c r="N16" i="5"/>
  <c r="N25" i="7"/>
  <c r="N13" i="8"/>
  <c r="N33" i="4"/>
  <c r="X25" i="8"/>
  <c r="X33" i="8"/>
  <c r="L20" i="10"/>
  <c r="X20" i="11"/>
  <c r="Z22" i="4"/>
  <c r="Z21" i="5"/>
  <c r="X25" i="5"/>
  <c r="N21" i="7"/>
  <c r="L34" i="7"/>
  <c r="X29" i="14"/>
  <c r="L15" i="5"/>
  <c r="Z22" i="7"/>
  <c r="N20" i="14"/>
  <c r="L20" i="4"/>
  <c r="T18" i="5"/>
  <c r="V15" i="5"/>
  <c r="Z12" i="5"/>
  <c r="V36" i="5"/>
  <c r="V34" i="5"/>
  <c r="V33" i="5"/>
  <c r="V31" i="5"/>
  <c r="V29" i="5"/>
  <c r="V27" i="5"/>
  <c r="V25" i="5"/>
  <c r="V21" i="5"/>
  <c r="V16" i="5"/>
  <c r="V24" i="5"/>
  <c r="V20" i="5"/>
  <c r="V22" i="5"/>
  <c r="V18" i="5"/>
  <c r="Z25" i="5"/>
  <c r="X15" i="7"/>
  <c r="N34" i="7"/>
  <c r="X13" i="10"/>
  <c r="F24" i="11"/>
  <c r="F22" i="11"/>
  <c r="F21" i="11"/>
  <c r="F20" i="11"/>
  <c r="F18" i="11"/>
  <c r="F16" i="11"/>
  <c r="D18" i="11"/>
  <c r="F15" i="11"/>
  <c r="L12" i="11"/>
  <c r="F33" i="11"/>
  <c r="F31" i="11"/>
  <c r="F29" i="11"/>
  <c r="F27" i="11"/>
  <c r="F36" i="11"/>
  <c r="F25" i="11"/>
  <c r="F34" i="11"/>
  <c r="X29" i="16"/>
  <c r="L29" i="4"/>
  <c r="L34" i="4"/>
  <c r="L22" i="5"/>
  <c r="Z21" i="8"/>
  <c r="X34" i="8"/>
  <c r="N29" i="10"/>
  <c r="N13" i="11"/>
  <c r="N22" i="11"/>
  <c r="X33" i="14"/>
  <c r="V20" i="4"/>
  <c r="V18" i="4"/>
  <c r="V16" i="4"/>
  <c r="T18" i="4"/>
  <c r="V15" i="4"/>
  <c r="Z12" i="4"/>
  <c r="V24" i="4"/>
  <c r="V22" i="4"/>
  <c r="V33" i="4"/>
  <c r="V27" i="4"/>
  <c r="V29" i="4"/>
  <c r="V36" i="4"/>
  <c r="V31" i="4"/>
  <c r="V25" i="4"/>
  <c r="V21" i="4"/>
  <c r="V34" i="4"/>
  <c r="L15" i="4"/>
  <c r="Z25" i="4"/>
  <c r="Z29" i="4"/>
  <c r="Z33" i="4"/>
  <c r="Z34" i="4"/>
  <c r="R21" i="5"/>
  <c r="R20" i="5"/>
  <c r="R18" i="5"/>
  <c r="R16" i="5"/>
  <c r="P18" i="5"/>
  <c r="R15" i="5"/>
  <c r="X12" i="5"/>
  <c r="R36" i="5"/>
  <c r="R34" i="5"/>
  <c r="R33" i="5"/>
  <c r="R31" i="5"/>
  <c r="R29" i="5"/>
  <c r="R27" i="5"/>
  <c r="R25" i="5"/>
  <c r="R24" i="5"/>
  <c r="R22" i="5"/>
  <c r="Z22" i="5"/>
  <c r="Z24" i="5"/>
  <c r="N13" i="7"/>
  <c r="N22" i="7"/>
  <c r="N24" i="7"/>
  <c r="L13" i="8"/>
  <c r="N21" i="8"/>
  <c r="L25" i="8"/>
  <c r="L29" i="8"/>
  <c r="L33" i="8"/>
  <c r="L34" i="8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L12" i="10"/>
  <c r="F15" i="10"/>
  <c r="D18" i="10"/>
  <c r="X16" i="10"/>
  <c r="X20" i="10"/>
  <c r="X15" i="11"/>
  <c r="N25" i="11"/>
  <c r="N29" i="11"/>
  <c r="N33" i="11"/>
  <c r="N34" i="11"/>
  <c r="Z13" i="13"/>
  <c r="Z16" i="13"/>
  <c r="Z20" i="13"/>
  <c r="X22" i="13"/>
  <c r="X13" i="14"/>
  <c r="Z29" i="16"/>
  <c r="Z22" i="17"/>
  <c r="N15" i="4"/>
  <c r="L21" i="4"/>
  <c r="L16" i="5"/>
  <c r="L20" i="5"/>
  <c r="F21" i="7"/>
  <c r="F20" i="7"/>
  <c r="F18" i="7"/>
  <c r="F16" i="7"/>
  <c r="D18" i="7"/>
  <c r="F15" i="7"/>
  <c r="L12" i="7"/>
  <c r="F36" i="7"/>
  <c r="F34" i="7"/>
  <c r="F33" i="7"/>
  <c r="F31" i="7"/>
  <c r="F29" i="7"/>
  <c r="F27" i="7"/>
  <c r="F25" i="7"/>
  <c r="F24" i="7"/>
  <c r="F22" i="7"/>
  <c r="X16" i="7"/>
  <c r="X20" i="7"/>
  <c r="X15" i="8"/>
  <c r="N25" i="8"/>
  <c r="N29" i="8"/>
  <c r="N33" i="8"/>
  <c r="N34" i="8"/>
  <c r="Z13" i="10"/>
  <c r="Z16" i="10"/>
  <c r="Z20" i="10"/>
  <c r="X22" i="10"/>
  <c r="X24" i="10"/>
  <c r="J20" i="11"/>
  <c r="J18" i="11"/>
  <c r="J16" i="11"/>
  <c r="H18" i="11"/>
  <c r="J15" i="11"/>
  <c r="N12" i="11"/>
  <c r="J24" i="11"/>
  <c r="J22" i="11"/>
  <c r="J31" i="11"/>
  <c r="J21" i="11"/>
  <c r="J29" i="11"/>
  <c r="J27" i="11"/>
  <c r="J36" i="11"/>
  <c r="J25" i="11"/>
  <c r="J34" i="11"/>
  <c r="J33" i="11"/>
  <c r="X13" i="11"/>
  <c r="Z15" i="11"/>
  <c r="X21" i="11"/>
  <c r="L15" i="13"/>
  <c r="Z25" i="13"/>
  <c r="Z29" i="13"/>
  <c r="Z33" i="13"/>
  <c r="Z22" i="14"/>
  <c r="L33" i="16"/>
  <c r="N16" i="17"/>
  <c r="N16" i="4"/>
  <c r="N20" i="4"/>
  <c r="L22" i="4"/>
  <c r="L24" i="4"/>
  <c r="N15" i="5"/>
  <c r="L21" i="5"/>
  <c r="H18" i="7"/>
  <c r="J15" i="7"/>
  <c r="N12" i="7"/>
  <c r="J36" i="7"/>
  <c r="J34" i="7"/>
  <c r="J33" i="7"/>
  <c r="J31" i="7"/>
  <c r="J29" i="7"/>
  <c r="J27" i="7"/>
  <c r="J25" i="7"/>
  <c r="J21" i="7"/>
  <c r="J20" i="7"/>
  <c r="J24" i="7"/>
  <c r="J18" i="7"/>
  <c r="J22" i="7"/>
  <c r="J16" i="7"/>
  <c r="X13" i="7"/>
  <c r="Z15" i="7"/>
  <c r="X21" i="7"/>
  <c r="F20" i="8"/>
  <c r="F18" i="8"/>
  <c r="F16" i="8"/>
  <c r="D18" i="8"/>
  <c r="F15" i="8"/>
  <c r="L12" i="8"/>
  <c r="F24" i="8"/>
  <c r="F22" i="8"/>
  <c r="F34" i="8"/>
  <c r="F27" i="8"/>
  <c r="F21" i="8"/>
  <c r="F25" i="8"/>
  <c r="F33" i="8"/>
  <c r="F31" i="8"/>
  <c r="F36" i="8"/>
  <c r="F29" i="8"/>
  <c r="X16" i="8"/>
  <c r="X20" i="8"/>
  <c r="Z21" i="10"/>
  <c r="X25" i="10"/>
  <c r="X29" i="10"/>
  <c r="X33" i="10"/>
  <c r="X34" i="10"/>
  <c r="Z13" i="11"/>
  <c r="Z16" i="11"/>
  <c r="Z20" i="11"/>
  <c r="X22" i="11"/>
  <c r="X24" i="11"/>
  <c r="N15" i="13"/>
  <c r="L21" i="13"/>
  <c r="L15" i="16"/>
  <c r="N25" i="17"/>
  <c r="L15" i="22"/>
  <c r="Z13" i="7"/>
  <c r="Z16" i="7"/>
  <c r="Z20" i="7"/>
  <c r="X22" i="7"/>
  <c r="X24" i="7"/>
  <c r="J36" i="8"/>
  <c r="J34" i="8"/>
  <c r="J33" i="8"/>
  <c r="J31" i="8"/>
  <c r="J29" i="8"/>
  <c r="J27" i="8"/>
  <c r="J25" i="8"/>
  <c r="J24" i="8"/>
  <c r="J22" i="8"/>
  <c r="J20" i="8"/>
  <c r="J18" i="8"/>
  <c r="J16" i="8"/>
  <c r="J21" i="8"/>
  <c r="J15" i="8"/>
  <c r="N12" i="8"/>
  <c r="H18" i="8"/>
  <c r="X13" i="8"/>
  <c r="Z15" i="8"/>
  <c r="X21" i="8"/>
  <c r="R36" i="10"/>
  <c r="R34" i="10"/>
  <c r="R33" i="10"/>
  <c r="R31" i="10"/>
  <c r="R29" i="10"/>
  <c r="R27" i="10"/>
  <c r="R25" i="10"/>
  <c r="R24" i="10"/>
  <c r="R22" i="10"/>
  <c r="R21" i="10"/>
  <c r="P18" i="10"/>
  <c r="R15" i="10"/>
  <c r="R20" i="10"/>
  <c r="X12" i="10"/>
  <c r="R18" i="10"/>
  <c r="R16" i="10"/>
  <c r="Z22" i="10"/>
  <c r="Z24" i="10"/>
  <c r="Z21" i="11"/>
  <c r="X25" i="11"/>
  <c r="X29" i="11"/>
  <c r="X33" i="11"/>
  <c r="X34" i="11"/>
  <c r="L24" i="13"/>
  <c r="N15" i="14"/>
  <c r="L21" i="14"/>
  <c r="X16" i="17"/>
  <c r="Z21" i="19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N21" i="13"/>
  <c r="L34" i="13"/>
  <c r="L24" i="14"/>
  <c r="X34" i="16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L15" i="11"/>
  <c r="Z25" i="11"/>
  <c r="Z29" i="11"/>
  <c r="Z33" i="11"/>
  <c r="Z34" i="11"/>
  <c r="X24" i="13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N12" i="14"/>
  <c r="H18" i="14"/>
  <c r="J15" i="14"/>
  <c r="Z15" i="14"/>
  <c r="X21" i="14"/>
  <c r="Z34" i="16"/>
  <c r="J36" i="26"/>
  <c r="J34" i="26"/>
  <c r="J33" i="26"/>
  <c r="J31" i="26"/>
  <c r="J29" i="26"/>
  <c r="J27" i="26"/>
  <c r="J25" i="26"/>
  <c r="H18" i="26"/>
  <c r="J15" i="26"/>
  <c r="J20" i="26"/>
  <c r="J24" i="26"/>
  <c r="J16" i="26"/>
  <c r="J21" i="26"/>
  <c r="N12" i="26"/>
  <c r="J18" i="26"/>
  <c r="J22" i="26"/>
  <c r="L12" i="4"/>
  <c r="F36" i="4"/>
  <c r="F34" i="4"/>
  <c r="F33" i="4"/>
  <c r="F31" i="4"/>
  <c r="F29" i="4"/>
  <c r="F27" i="4"/>
  <c r="F25" i="4"/>
  <c r="F21" i="4"/>
  <c r="F20" i="4"/>
  <c r="F18" i="4"/>
  <c r="F16" i="4"/>
  <c r="F24" i="4"/>
  <c r="F15" i="4"/>
  <c r="F22" i="4"/>
  <c r="D18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0" i="7"/>
  <c r="V18" i="7"/>
  <c r="V16" i="7"/>
  <c r="T18" i="7"/>
  <c r="V15" i="7"/>
  <c r="V21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1" i="8"/>
  <c r="R20" i="8"/>
  <c r="R18" i="8"/>
  <c r="R16" i="8"/>
  <c r="P18" i="8"/>
  <c r="R15" i="8"/>
  <c r="R22" i="8"/>
  <c r="R24" i="8"/>
  <c r="Z22" i="8"/>
  <c r="Z24" i="8"/>
  <c r="N15" i="10"/>
  <c r="L21" i="10"/>
  <c r="L16" i="11"/>
  <c r="L20" i="11"/>
  <c r="R20" i="13"/>
  <c r="R18" i="13"/>
  <c r="R16" i="13"/>
  <c r="P18" i="13"/>
  <c r="R15" i="13"/>
  <c r="X12" i="13"/>
  <c r="R24" i="13"/>
  <c r="R22" i="13"/>
  <c r="R34" i="13"/>
  <c r="R31" i="13"/>
  <c r="R27" i="13"/>
  <c r="R21" i="13"/>
  <c r="R36" i="13"/>
  <c r="R33" i="13"/>
  <c r="R29" i="13"/>
  <c r="R25" i="13"/>
  <c r="Z24" i="13"/>
  <c r="Z21" i="14"/>
  <c r="X34" i="14"/>
  <c r="N12" i="4"/>
  <c r="J36" i="4"/>
  <c r="J34" i="4"/>
  <c r="J33" i="4"/>
  <c r="J31" i="4"/>
  <c r="J29" i="4"/>
  <c r="J27" i="4"/>
  <c r="J25" i="4"/>
  <c r="J21" i="4"/>
  <c r="H18" i="4"/>
  <c r="J15" i="4"/>
  <c r="J20" i="4"/>
  <c r="J22" i="4"/>
  <c r="J18" i="4"/>
  <c r="J16" i="4"/>
  <c r="J24" i="4"/>
  <c r="X13" i="4"/>
  <c r="Z15" i="4"/>
  <c r="X21" i="4"/>
  <c r="L12" i="5"/>
  <c r="F24" i="5"/>
  <c r="F22" i="5"/>
  <c r="F20" i="5"/>
  <c r="F18" i="5"/>
  <c r="F16" i="5"/>
  <c r="D18" i="5"/>
  <c r="F15" i="5"/>
  <c r="F31" i="5"/>
  <c r="F25" i="5"/>
  <c r="F36" i="5"/>
  <c r="F21" i="5"/>
  <c r="F34" i="5"/>
  <c r="F29" i="5"/>
  <c r="F33" i="5"/>
  <c r="F27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T18" i="8"/>
  <c r="V15" i="8"/>
  <c r="V16" i="8"/>
  <c r="V20" i="8"/>
  <c r="V18" i="8"/>
  <c r="L15" i="8"/>
  <c r="Z25" i="8"/>
  <c r="Z29" i="8"/>
  <c r="Z33" i="8"/>
  <c r="Z34" i="8"/>
  <c r="N16" i="10"/>
  <c r="N20" i="10"/>
  <c r="L22" i="10"/>
  <c r="L24" i="10"/>
  <c r="N15" i="11"/>
  <c r="L21" i="11"/>
  <c r="V36" i="13"/>
  <c r="V34" i="13"/>
  <c r="V33" i="13"/>
  <c r="V31" i="13"/>
  <c r="V29" i="13"/>
  <c r="V27" i="13"/>
  <c r="V25" i="13"/>
  <c r="V20" i="13"/>
  <c r="V18" i="13"/>
  <c r="V16" i="13"/>
  <c r="Z12" i="13"/>
  <c r="V24" i="13"/>
  <c r="V21" i="13"/>
  <c r="T18" i="13"/>
  <c r="V15" i="13"/>
  <c r="V22" i="13"/>
  <c r="Z34" i="13"/>
  <c r="P18" i="14"/>
  <c r="R15" i="14"/>
  <c r="R21" i="14"/>
  <c r="X12" i="14"/>
  <c r="R34" i="14"/>
  <c r="R31" i="14"/>
  <c r="R27" i="14"/>
  <c r="R24" i="14"/>
  <c r="R18" i="14"/>
  <c r="R36" i="14"/>
  <c r="R33" i="14"/>
  <c r="R29" i="14"/>
  <c r="R25" i="14"/>
  <c r="R20" i="14"/>
  <c r="R16" i="14"/>
  <c r="R22" i="14"/>
  <c r="Z24" i="14"/>
  <c r="N20" i="20"/>
  <c r="Z13" i="4"/>
  <c r="Z16" i="4"/>
  <c r="Z20" i="4"/>
  <c r="X22" i="4"/>
  <c r="X24" i="4"/>
  <c r="J36" i="5"/>
  <c r="J34" i="5"/>
  <c r="J33" i="5"/>
  <c r="J31" i="5"/>
  <c r="J29" i="5"/>
  <c r="J27" i="5"/>
  <c r="J25" i="5"/>
  <c r="J24" i="5"/>
  <c r="J22" i="5"/>
  <c r="J20" i="5"/>
  <c r="J18" i="5"/>
  <c r="J16" i="5"/>
  <c r="H18" i="5"/>
  <c r="N12" i="5"/>
  <c r="J21" i="5"/>
  <c r="J15" i="5"/>
  <c r="X13" i="5"/>
  <c r="Z15" i="5"/>
  <c r="X21" i="5"/>
  <c r="N15" i="7"/>
  <c r="L21" i="7"/>
  <c r="L16" i="8"/>
  <c r="L20" i="8"/>
  <c r="L13" i="10"/>
  <c r="N21" i="10"/>
  <c r="L25" i="10"/>
  <c r="L29" i="10"/>
  <c r="L33" i="10"/>
  <c r="L34" i="10"/>
  <c r="N16" i="11"/>
  <c r="N20" i="11"/>
  <c r="L22" i="11"/>
  <c r="L24" i="11"/>
  <c r="L16" i="14"/>
  <c r="L20" i="14"/>
  <c r="Z21" i="20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3" i="10"/>
  <c r="N22" i="10"/>
  <c r="N24" i="10"/>
  <c r="L13" i="11"/>
  <c r="N21" i="11"/>
  <c r="L25" i="11"/>
  <c r="L29" i="11"/>
  <c r="L33" i="11"/>
  <c r="L34" i="11"/>
  <c r="N16" i="13"/>
  <c r="N20" i="13"/>
  <c r="L22" i="13"/>
  <c r="F24" i="17"/>
  <c r="F22" i="17"/>
  <c r="F20" i="17"/>
  <c r="F18" i="17"/>
  <c r="F16" i="17"/>
  <c r="D18" i="17"/>
  <c r="F15" i="17"/>
  <c r="F33" i="17"/>
  <c r="F27" i="17"/>
  <c r="F34" i="17"/>
  <c r="F29" i="17"/>
  <c r="L12" i="17"/>
  <c r="F36" i="17"/>
  <c r="F31" i="17"/>
  <c r="F25" i="17"/>
  <c r="F21" i="17"/>
  <c r="Z21" i="13"/>
  <c r="X25" i="13"/>
  <c r="X29" i="13"/>
  <c r="X33" i="13"/>
  <c r="X34" i="13"/>
  <c r="Z13" i="14"/>
  <c r="Z16" i="14"/>
  <c r="Z20" i="14"/>
  <c r="X22" i="14"/>
  <c r="X24" i="14"/>
  <c r="L16" i="16"/>
  <c r="Z24" i="16"/>
  <c r="N33" i="16"/>
  <c r="X33" i="17"/>
  <c r="Z16" i="23"/>
  <c r="L16" i="13"/>
  <c r="L20" i="13"/>
  <c r="V24" i="14"/>
  <c r="V22" i="14"/>
  <c r="T18" i="14"/>
  <c r="V15" i="14"/>
  <c r="Z12" i="14"/>
  <c r="V34" i="14"/>
  <c r="V31" i="14"/>
  <c r="V27" i="14"/>
  <c r="V21" i="14"/>
  <c r="V18" i="14"/>
  <c r="V36" i="14"/>
  <c r="V33" i="14"/>
  <c r="V29" i="14"/>
  <c r="V25" i="14"/>
  <c r="V20" i="14"/>
  <c r="V16" i="14"/>
  <c r="L15" i="14"/>
  <c r="Z25" i="14"/>
  <c r="Z29" i="14"/>
  <c r="Z33" i="14"/>
  <c r="Z34" i="14"/>
  <c r="T18" i="16"/>
  <c r="V15" i="16"/>
  <c r="V36" i="16"/>
  <c r="V31" i="16"/>
  <c r="V25" i="16"/>
  <c r="V21" i="16"/>
  <c r="V33" i="16"/>
  <c r="V27" i="16"/>
  <c r="V16" i="16"/>
  <c r="V22" i="16"/>
  <c r="Z12" i="16"/>
  <c r="V18" i="16"/>
  <c r="V34" i="16"/>
  <c r="V24" i="16"/>
  <c r="V29" i="16"/>
  <c r="V20" i="16"/>
  <c r="N15" i="16"/>
  <c r="N21" i="16"/>
  <c r="L25" i="16"/>
  <c r="X33" i="16"/>
  <c r="Z16" i="17"/>
  <c r="N20" i="17"/>
  <c r="L24" i="17"/>
  <c r="L24" i="20"/>
  <c r="Z24" i="23"/>
  <c r="X16" i="16"/>
  <c r="Z22" i="16"/>
  <c r="N25" i="16"/>
  <c r="Z21" i="17"/>
  <c r="N24" i="17"/>
  <c r="X25" i="17"/>
  <c r="F36" i="20"/>
  <c r="F34" i="20"/>
  <c r="F33" i="20"/>
  <c r="F31" i="20"/>
  <c r="F29" i="20"/>
  <c r="F27" i="20"/>
  <c r="F25" i="20"/>
  <c r="F21" i="20"/>
  <c r="F16" i="20"/>
  <c r="F22" i="20"/>
  <c r="F18" i="20"/>
  <c r="D18" i="20"/>
  <c r="F24" i="20"/>
  <c r="F20" i="20"/>
  <c r="L12" i="20"/>
  <c r="F15" i="20"/>
  <c r="Z33" i="16"/>
  <c r="X12" i="17"/>
  <c r="R20" i="17"/>
  <c r="R18" i="17"/>
  <c r="R16" i="17"/>
  <c r="P18" i="17"/>
  <c r="R34" i="17"/>
  <c r="R29" i="17"/>
  <c r="R24" i="17"/>
  <c r="R15" i="17"/>
  <c r="R36" i="17"/>
  <c r="R31" i="17"/>
  <c r="R25" i="17"/>
  <c r="R21" i="17"/>
  <c r="R22" i="17"/>
  <c r="R27" i="17"/>
  <c r="R33" i="17"/>
  <c r="X15" i="17"/>
  <c r="N29" i="17"/>
  <c r="N34" i="17"/>
  <c r="V36" i="19"/>
  <c r="V34" i="19"/>
  <c r="V33" i="19"/>
  <c r="V31" i="19"/>
  <c r="V29" i="19"/>
  <c r="V27" i="19"/>
  <c r="V25" i="19"/>
  <c r="V24" i="19"/>
  <c r="V15" i="19"/>
  <c r="V16" i="19"/>
  <c r="V18" i="19"/>
  <c r="T18" i="19"/>
  <c r="Z12" i="19"/>
  <c r="V21" i="19"/>
  <c r="V22" i="19"/>
  <c r="V20" i="19"/>
  <c r="L24" i="19"/>
  <c r="X25" i="20"/>
  <c r="Z25" i="22"/>
  <c r="X20" i="28"/>
  <c r="L13" i="16"/>
  <c r="X15" i="16"/>
  <c r="L20" i="16"/>
  <c r="X21" i="16"/>
  <c r="Z12" i="17"/>
  <c r="V36" i="17"/>
  <c r="V34" i="17"/>
  <c r="V33" i="17"/>
  <c r="V31" i="17"/>
  <c r="V29" i="17"/>
  <c r="V27" i="17"/>
  <c r="V25" i="17"/>
  <c r="V24" i="17"/>
  <c r="V20" i="17"/>
  <c r="V15" i="17"/>
  <c r="V21" i="17"/>
  <c r="V16" i="17"/>
  <c r="V18" i="17"/>
  <c r="T18" i="17"/>
  <c r="V22" i="17"/>
  <c r="X20" i="17"/>
  <c r="Z25" i="17"/>
  <c r="L15" i="19"/>
  <c r="N13" i="13"/>
  <c r="N22" i="13"/>
  <c r="N24" i="13"/>
  <c r="L13" i="14"/>
  <c r="N21" i="14"/>
  <c r="L25" i="14"/>
  <c r="L29" i="14"/>
  <c r="L33" i="14"/>
  <c r="L34" i="14"/>
  <c r="N13" i="16"/>
  <c r="Z21" i="16"/>
  <c r="X25" i="16"/>
  <c r="L29" i="16"/>
  <c r="L34" i="16"/>
  <c r="Z20" i="17"/>
  <c r="L22" i="17"/>
  <c r="X24" i="17"/>
  <c r="X15" i="13"/>
  <c r="N25" i="13"/>
  <c r="N29" i="13"/>
  <c r="N33" i="13"/>
  <c r="N34" i="13"/>
  <c r="N13" i="14"/>
  <c r="N22" i="14"/>
  <c r="N24" i="14"/>
  <c r="Z15" i="16"/>
  <c r="N29" i="16"/>
  <c r="N34" i="16"/>
  <c r="N13" i="17"/>
  <c r="N22" i="17"/>
  <c r="X29" i="17"/>
  <c r="X34" i="17"/>
  <c r="N16" i="19"/>
  <c r="X16" i="20"/>
  <c r="X33" i="22"/>
  <c r="F36" i="13"/>
  <c r="F34" i="13"/>
  <c r="F33" i="13"/>
  <c r="F31" i="13"/>
  <c r="F29" i="13"/>
  <c r="F27" i="13"/>
  <c r="F25" i="13"/>
  <c r="D18" i="13"/>
  <c r="F15" i="13"/>
  <c r="F20" i="13"/>
  <c r="F16" i="13"/>
  <c r="L12" i="13"/>
  <c r="F24" i="13"/>
  <c r="F21" i="13"/>
  <c r="F18" i="13"/>
  <c r="F22" i="13"/>
  <c r="X16" i="13"/>
  <c r="X20" i="13"/>
  <c r="X15" i="14"/>
  <c r="N25" i="14"/>
  <c r="N29" i="14"/>
  <c r="N33" i="14"/>
  <c r="N34" i="14"/>
  <c r="X20" i="16"/>
  <c r="Z25" i="16"/>
  <c r="Z24" i="17"/>
  <c r="N33" i="17"/>
  <c r="J36" i="13"/>
  <c r="J34" i="13"/>
  <c r="J33" i="13"/>
  <c r="J31" i="13"/>
  <c r="J29" i="13"/>
  <c r="J27" i="13"/>
  <c r="J25" i="13"/>
  <c r="J24" i="13"/>
  <c r="J22" i="13"/>
  <c r="J21" i="13"/>
  <c r="N12" i="13"/>
  <c r="J18" i="13"/>
  <c r="H18" i="13"/>
  <c r="J15" i="13"/>
  <c r="J20" i="13"/>
  <c r="J16" i="13"/>
  <c r="X13" i="13"/>
  <c r="Z15" i="13"/>
  <c r="X21" i="13"/>
  <c r="F36" i="14"/>
  <c r="F34" i="14"/>
  <c r="F33" i="14"/>
  <c r="F31" i="14"/>
  <c r="F29" i="14"/>
  <c r="F27" i="14"/>
  <c r="F25" i="14"/>
  <c r="F24" i="14"/>
  <c r="F22" i="14"/>
  <c r="L12" i="14"/>
  <c r="F20" i="14"/>
  <c r="F16" i="14"/>
  <c r="F21" i="14"/>
  <c r="F18" i="14"/>
  <c r="D18" i="14"/>
  <c r="F15" i="14"/>
  <c r="X16" i="14"/>
  <c r="X20" i="14"/>
  <c r="F36" i="16"/>
  <c r="F34" i="16"/>
  <c r="F33" i="16"/>
  <c r="F31" i="16"/>
  <c r="F29" i="16"/>
  <c r="F27" i="16"/>
  <c r="F25" i="16"/>
  <c r="F21" i="16"/>
  <c r="F20" i="16"/>
  <c r="F18" i="16"/>
  <c r="F16" i="16"/>
  <c r="D18" i="16"/>
  <c r="F24" i="16"/>
  <c r="L12" i="16"/>
  <c r="F15" i="16"/>
  <c r="F22" i="16"/>
  <c r="X13" i="16"/>
  <c r="Z29" i="17"/>
  <c r="Z34" i="17"/>
  <c r="L20" i="20"/>
  <c r="P18" i="19"/>
  <c r="R15" i="19"/>
  <c r="X12" i="19"/>
  <c r="R21" i="19"/>
  <c r="R34" i="19"/>
  <c r="R29" i="19"/>
  <c r="R22" i="19"/>
  <c r="R24" i="19"/>
  <c r="R36" i="19"/>
  <c r="R31" i="19"/>
  <c r="R25" i="19"/>
  <c r="R16" i="19"/>
  <c r="R27" i="19"/>
  <c r="R20" i="19"/>
  <c r="R33" i="19"/>
  <c r="R18" i="19"/>
  <c r="N15" i="19"/>
  <c r="Z20" i="19"/>
  <c r="L25" i="19"/>
  <c r="X33" i="19"/>
  <c r="N15" i="20"/>
  <c r="Z16" i="20"/>
  <c r="N15" i="22"/>
  <c r="L33" i="22"/>
  <c r="N16" i="23"/>
  <c r="N16" i="25"/>
  <c r="L22" i="25"/>
  <c r="L29" i="25"/>
  <c r="Z13" i="29"/>
  <c r="Z25" i="32"/>
  <c r="Z13" i="16"/>
  <c r="Z16" i="16"/>
  <c r="Z20" i="16"/>
  <c r="X22" i="16"/>
  <c r="X24" i="16"/>
  <c r="J20" i="17"/>
  <c r="J18" i="17"/>
  <c r="J16" i="17"/>
  <c r="J33" i="17"/>
  <c r="J27" i="17"/>
  <c r="J22" i="17"/>
  <c r="H18" i="17"/>
  <c r="J34" i="17"/>
  <c r="J29" i="17"/>
  <c r="J24" i="17"/>
  <c r="N12" i="17"/>
  <c r="J15" i="17"/>
  <c r="J21" i="17"/>
  <c r="J31" i="17"/>
  <c r="J36" i="17"/>
  <c r="J25" i="17"/>
  <c r="X13" i="17"/>
  <c r="Z15" i="17"/>
  <c r="X21" i="17"/>
  <c r="N25" i="19"/>
  <c r="Z33" i="19"/>
  <c r="R20" i="20"/>
  <c r="R18" i="20"/>
  <c r="R16" i="20"/>
  <c r="R33" i="20"/>
  <c r="R27" i="20"/>
  <c r="R22" i="20"/>
  <c r="P18" i="20"/>
  <c r="R34" i="20"/>
  <c r="R29" i="20"/>
  <c r="R24" i="20"/>
  <c r="R15" i="20"/>
  <c r="X12" i="20"/>
  <c r="R36" i="20"/>
  <c r="R31" i="20"/>
  <c r="R25" i="20"/>
  <c r="R21" i="20"/>
  <c r="L29" i="20"/>
  <c r="L34" i="20"/>
  <c r="Z22" i="22"/>
  <c r="Z21" i="23"/>
  <c r="X25" i="23"/>
  <c r="L25" i="26"/>
  <c r="L22" i="19"/>
  <c r="N24" i="19"/>
  <c r="X20" i="20"/>
  <c r="Z33" i="22"/>
  <c r="R20" i="23"/>
  <c r="R18" i="23"/>
  <c r="R16" i="23"/>
  <c r="P18" i="23"/>
  <c r="R15" i="23"/>
  <c r="X12" i="23"/>
  <c r="R24" i="23"/>
  <c r="R33" i="23"/>
  <c r="R27" i="23"/>
  <c r="R22" i="23"/>
  <c r="R36" i="23"/>
  <c r="R31" i="23"/>
  <c r="R25" i="23"/>
  <c r="R34" i="23"/>
  <c r="R29" i="23"/>
  <c r="R21" i="23"/>
  <c r="L24" i="25"/>
  <c r="X15" i="26"/>
  <c r="N34" i="34"/>
  <c r="L13" i="19"/>
  <c r="X15" i="19"/>
  <c r="Z16" i="19"/>
  <c r="L21" i="19"/>
  <c r="X25" i="19"/>
  <c r="Z20" i="20"/>
  <c r="X24" i="20"/>
  <c r="R21" i="22"/>
  <c r="R20" i="22"/>
  <c r="R18" i="22"/>
  <c r="R16" i="22"/>
  <c r="P18" i="22"/>
  <c r="R15" i="22"/>
  <c r="X12" i="22"/>
  <c r="R36" i="22"/>
  <c r="R31" i="22"/>
  <c r="R25" i="22"/>
  <c r="R34" i="22"/>
  <c r="R29" i="22"/>
  <c r="R24" i="22"/>
  <c r="R33" i="22"/>
  <c r="R27" i="22"/>
  <c r="R22" i="22"/>
  <c r="L29" i="22"/>
  <c r="L34" i="22"/>
  <c r="L22" i="23"/>
  <c r="L20" i="25"/>
  <c r="N33" i="25"/>
  <c r="N29" i="28"/>
  <c r="N13" i="35"/>
  <c r="L15" i="40"/>
  <c r="N13" i="19"/>
  <c r="Z15" i="19"/>
  <c r="N22" i="19"/>
  <c r="L29" i="19"/>
  <c r="L34" i="19"/>
  <c r="L22" i="20"/>
  <c r="X29" i="20"/>
  <c r="X34" i="20"/>
  <c r="T18" i="22"/>
  <c r="V15" i="22"/>
  <c r="V36" i="22"/>
  <c r="V34" i="22"/>
  <c r="V33" i="22"/>
  <c r="V31" i="22"/>
  <c r="V29" i="22"/>
  <c r="V27" i="22"/>
  <c r="V25" i="22"/>
  <c r="V21" i="22"/>
  <c r="V16" i="22"/>
  <c r="V24" i="22"/>
  <c r="Z12" i="22"/>
  <c r="V20" i="22"/>
  <c r="V22" i="22"/>
  <c r="V18" i="22"/>
  <c r="X29" i="22"/>
  <c r="X34" i="22"/>
  <c r="Z13" i="23"/>
  <c r="X22" i="23"/>
  <c r="L24" i="29"/>
  <c r="N21" i="19"/>
  <c r="X24" i="19"/>
  <c r="Z25" i="19"/>
  <c r="L13" i="20"/>
  <c r="Z24" i="20"/>
  <c r="L33" i="20"/>
  <c r="N16" i="22"/>
  <c r="Z24" i="22"/>
  <c r="X33" i="23"/>
  <c r="N20" i="25"/>
  <c r="X29" i="28"/>
  <c r="N24" i="29"/>
  <c r="L21" i="16"/>
  <c r="L16" i="17"/>
  <c r="L20" i="17"/>
  <c r="X13" i="19"/>
  <c r="N20" i="19"/>
  <c r="L16" i="20"/>
  <c r="Z29" i="22"/>
  <c r="Z34" i="22"/>
  <c r="Z22" i="23"/>
  <c r="X34" i="25"/>
  <c r="X15" i="28"/>
  <c r="N34" i="28"/>
  <c r="N29" i="29"/>
  <c r="N16" i="16"/>
  <c r="N20" i="16"/>
  <c r="L22" i="16"/>
  <c r="L24" i="16"/>
  <c r="N15" i="17"/>
  <c r="L21" i="17"/>
  <c r="Z13" i="19"/>
  <c r="X22" i="19"/>
  <c r="Z24" i="19"/>
  <c r="X29" i="19"/>
  <c r="X34" i="19"/>
  <c r="Z13" i="20"/>
  <c r="L21" i="20"/>
  <c r="X22" i="20"/>
  <c r="L13" i="22"/>
  <c r="N21" i="22"/>
  <c r="L25" i="22"/>
  <c r="N20" i="23"/>
  <c r="L24" i="23"/>
  <c r="N15" i="25"/>
  <c r="L21" i="25"/>
  <c r="Z20" i="26"/>
  <c r="J36" i="19"/>
  <c r="J34" i="19"/>
  <c r="J33" i="19"/>
  <c r="J31" i="19"/>
  <c r="J29" i="19"/>
  <c r="J27" i="19"/>
  <c r="J25" i="19"/>
  <c r="J18" i="19"/>
  <c r="H18" i="19"/>
  <c r="J20" i="19"/>
  <c r="J21" i="19"/>
  <c r="J22" i="19"/>
  <c r="J24" i="19"/>
  <c r="J16" i="19"/>
  <c r="J15" i="19"/>
  <c r="N12" i="19"/>
  <c r="X21" i="19"/>
  <c r="L33" i="19"/>
  <c r="N16" i="20"/>
  <c r="X33" i="20"/>
  <c r="Z21" i="22"/>
  <c r="X25" i="22"/>
  <c r="Z20" i="23"/>
  <c r="X24" i="23"/>
  <c r="X34" i="28"/>
  <c r="N22" i="16"/>
  <c r="N24" i="16"/>
  <c r="L13" i="17"/>
  <c r="N21" i="17"/>
  <c r="L25" i="17"/>
  <c r="L29" i="17"/>
  <c r="L33" i="17"/>
  <c r="L34" i="17"/>
  <c r="Z22" i="19"/>
  <c r="Z29" i="19"/>
  <c r="Z34" i="19"/>
  <c r="N21" i="20"/>
  <c r="Z22" i="20"/>
  <c r="L25" i="20"/>
  <c r="X29" i="23"/>
  <c r="X34" i="23"/>
  <c r="L16" i="25"/>
  <c r="N22" i="26"/>
  <c r="N13" i="29"/>
  <c r="R24" i="32"/>
  <c r="R22" i="32"/>
  <c r="R21" i="32"/>
  <c r="R20" i="32"/>
  <c r="R18" i="32"/>
  <c r="R16" i="32"/>
  <c r="P18" i="32"/>
  <c r="R15" i="32"/>
  <c r="X12" i="32"/>
  <c r="R25" i="32"/>
  <c r="R29" i="32"/>
  <c r="R33" i="32"/>
  <c r="R36" i="32"/>
  <c r="R27" i="32"/>
  <c r="R34" i="32"/>
  <c r="R31" i="32"/>
  <c r="L16" i="19"/>
  <c r="L20" i="19"/>
  <c r="V24" i="20"/>
  <c r="V22" i="20"/>
  <c r="V18" i="20"/>
  <c r="T18" i="20"/>
  <c r="V34" i="20"/>
  <c r="V29" i="20"/>
  <c r="V20" i="20"/>
  <c r="V15" i="20"/>
  <c r="Z12" i="20"/>
  <c r="V36" i="20"/>
  <c r="V31" i="20"/>
  <c r="V25" i="20"/>
  <c r="V21" i="20"/>
  <c r="V33" i="20"/>
  <c r="V16" i="20"/>
  <c r="V27" i="20"/>
  <c r="L15" i="20"/>
  <c r="Z25" i="20"/>
  <c r="Z29" i="20"/>
  <c r="Z33" i="20"/>
  <c r="Z34" i="20"/>
  <c r="L16" i="22"/>
  <c r="L20" i="22"/>
  <c r="Z12" i="23"/>
  <c r="V36" i="23"/>
  <c r="V34" i="23"/>
  <c r="V33" i="23"/>
  <c r="V31" i="23"/>
  <c r="V29" i="23"/>
  <c r="V27" i="23"/>
  <c r="V25" i="23"/>
  <c r="V24" i="23"/>
  <c r="V22" i="23"/>
  <c r="V20" i="23"/>
  <c r="V15" i="23"/>
  <c r="V18" i="23"/>
  <c r="T18" i="23"/>
  <c r="V21" i="23"/>
  <c r="V16" i="23"/>
  <c r="L15" i="23"/>
  <c r="Z25" i="23"/>
  <c r="Z29" i="23"/>
  <c r="Z33" i="23"/>
  <c r="Z34" i="23"/>
  <c r="L13" i="25"/>
  <c r="N21" i="25"/>
  <c r="L25" i="25"/>
  <c r="Z15" i="26"/>
  <c r="L21" i="26"/>
  <c r="X22" i="26"/>
  <c r="N25" i="26"/>
  <c r="L29" i="26"/>
  <c r="L33" i="26"/>
  <c r="N21" i="28"/>
  <c r="L25" i="28"/>
  <c r="N20" i="29"/>
  <c r="N24" i="31"/>
  <c r="V20" i="32"/>
  <c r="V18" i="32"/>
  <c r="V16" i="32"/>
  <c r="T18" i="32"/>
  <c r="V15" i="32"/>
  <c r="Z12" i="32"/>
  <c r="V36" i="32"/>
  <c r="V34" i="32"/>
  <c r="V33" i="32"/>
  <c r="V31" i="32"/>
  <c r="V29" i="32"/>
  <c r="V27" i="32"/>
  <c r="V25" i="32"/>
  <c r="V21" i="32"/>
  <c r="V24" i="32"/>
  <c r="V22" i="32"/>
  <c r="N15" i="34"/>
  <c r="L21" i="40"/>
  <c r="L21" i="22"/>
  <c r="L16" i="23"/>
  <c r="L20" i="23"/>
  <c r="N13" i="25"/>
  <c r="N22" i="25"/>
  <c r="N24" i="25"/>
  <c r="N29" i="25"/>
  <c r="X33" i="25"/>
  <c r="N21" i="26"/>
  <c r="N25" i="28"/>
  <c r="X25" i="31"/>
  <c r="X15" i="34"/>
  <c r="N20" i="22"/>
  <c r="L22" i="22"/>
  <c r="L24" i="22"/>
  <c r="N15" i="23"/>
  <c r="L21" i="23"/>
  <c r="X15" i="25"/>
  <c r="N25" i="25"/>
  <c r="L13" i="26"/>
  <c r="N29" i="26"/>
  <c r="F21" i="28"/>
  <c r="F20" i="28"/>
  <c r="F18" i="28"/>
  <c r="F16" i="28"/>
  <c r="D18" i="28"/>
  <c r="F15" i="28"/>
  <c r="L12" i="28"/>
  <c r="F36" i="28"/>
  <c r="F34" i="28"/>
  <c r="F33" i="28"/>
  <c r="F31" i="28"/>
  <c r="F29" i="28"/>
  <c r="F27" i="28"/>
  <c r="F25" i="28"/>
  <c r="F24" i="28"/>
  <c r="F22" i="28"/>
  <c r="X16" i="28"/>
  <c r="X15" i="29"/>
  <c r="L15" i="37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D18" i="43"/>
  <c r="F15" i="43"/>
  <c r="L12" i="43"/>
  <c r="F33" i="25"/>
  <c r="L12" i="25"/>
  <c r="F34" i="25"/>
  <c r="F27" i="25"/>
  <c r="F25" i="25"/>
  <c r="F36" i="25"/>
  <c r="F29" i="25"/>
  <c r="F24" i="25"/>
  <c r="F22" i="25"/>
  <c r="F21" i="25"/>
  <c r="F15" i="25"/>
  <c r="F20" i="25"/>
  <c r="F31" i="25"/>
  <c r="F18" i="25"/>
  <c r="D18" i="25"/>
  <c r="F16" i="25"/>
  <c r="X16" i="25"/>
  <c r="X20" i="25"/>
  <c r="N13" i="26"/>
  <c r="X25" i="26"/>
  <c r="Z21" i="28"/>
  <c r="X25" i="28"/>
  <c r="Z20" i="29"/>
  <c r="N25" i="29"/>
  <c r="N33" i="29"/>
  <c r="L21" i="34"/>
  <c r="N13" i="22"/>
  <c r="N22" i="22"/>
  <c r="N24" i="22"/>
  <c r="L13" i="23"/>
  <c r="N21" i="23"/>
  <c r="L25" i="23"/>
  <c r="L29" i="23"/>
  <c r="L33" i="23"/>
  <c r="L34" i="23"/>
  <c r="J34" i="25"/>
  <c r="N12" i="25"/>
  <c r="J27" i="25"/>
  <c r="J25" i="25"/>
  <c r="J36" i="25"/>
  <c r="J29" i="25"/>
  <c r="J24" i="25"/>
  <c r="J22" i="25"/>
  <c r="J31" i="25"/>
  <c r="J21" i="25"/>
  <c r="J20" i="25"/>
  <c r="J18" i="25"/>
  <c r="J16" i="25"/>
  <c r="J15" i="25"/>
  <c r="J33" i="25"/>
  <c r="H18" i="25"/>
  <c r="X13" i="25"/>
  <c r="Z15" i="25"/>
  <c r="X21" i="25"/>
  <c r="X21" i="26"/>
  <c r="N24" i="26"/>
  <c r="L13" i="28"/>
  <c r="L33" i="28"/>
  <c r="N16" i="29"/>
  <c r="X29" i="31"/>
  <c r="N29" i="19"/>
  <c r="N33" i="19"/>
  <c r="N34" i="19"/>
  <c r="N13" i="20"/>
  <c r="N22" i="20"/>
  <c r="N24" i="20"/>
  <c r="X15" i="22"/>
  <c r="N25" i="22"/>
  <c r="N29" i="22"/>
  <c r="N33" i="22"/>
  <c r="N34" i="22"/>
  <c r="N13" i="23"/>
  <c r="N22" i="23"/>
  <c r="N24" i="23"/>
  <c r="Z13" i="25"/>
  <c r="Z16" i="25"/>
  <c r="Z20" i="25"/>
  <c r="X22" i="25"/>
  <c r="X24" i="25"/>
  <c r="X29" i="25"/>
  <c r="N34" i="25"/>
  <c r="X13" i="26"/>
  <c r="X29" i="26"/>
  <c r="L34" i="26"/>
  <c r="N33" i="28"/>
  <c r="N25" i="34"/>
  <c r="D18" i="19"/>
  <c r="F15" i="19"/>
  <c r="F33" i="19"/>
  <c r="F27" i="19"/>
  <c r="F16" i="19"/>
  <c r="L12" i="19"/>
  <c r="F18" i="19"/>
  <c r="F34" i="19"/>
  <c r="F29" i="19"/>
  <c r="F20" i="19"/>
  <c r="F21" i="19"/>
  <c r="F22" i="19"/>
  <c r="F36" i="19"/>
  <c r="F31" i="19"/>
  <c r="F24" i="19"/>
  <c r="F25" i="19"/>
  <c r="X16" i="19"/>
  <c r="X20" i="19"/>
  <c r="X15" i="20"/>
  <c r="N25" i="20"/>
  <c r="N29" i="20"/>
  <c r="N33" i="20"/>
  <c r="N34" i="20"/>
  <c r="L12" i="22"/>
  <c r="F36" i="22"/>
  <c r="F34" i="22"/>
  <c r="F33" i="22"/>
  <c r="F31" i="22"/>
  <c r="F29" i="22"/>
  <c r="F27" i="22"/>
  <c r="F25" i="22"/>
  <c r="F21" i="22"/>
  <c r="F20" i="22"/>
  <c r="F18" i="22"/>
  <c r="F16" i="22"/>
  <c r="D18" i="22"/>
  <c r="F15" i="22"/>
  <c r="F24" i="22"/>
  <c r="F22" i="22"/>
  <c r="X16" i="22"/>
  <c r="X20" i="22"/>
  <c r="X15" i="23"/>
  <c r="N25" i="23"/>
  <c r="N29" i="23"/>
  <c r="N33" i="23"/>
  <c r="N34" i="23"/>
  <c r="Z21" i="25"/>
  <c r="X25" i="25"/>
  <c r="Z13" i="26"/>
  <c r="Z21" i="26"/>
  <c r="N34" i="29"/>
  <c r="L13" i="38"/>
  <c r="J36" i="22"/>
  <c r="J34" i="22"/>
  <c r="J33" i="22"/>
  <c r="J31" i="22"/>
  <c r="J29" i="22"/>
  <c r="J27" i="22"/>
  <c r="J25" i="22"/>
  <c r="J24" i="22"/>
  <c r="J22" i="22"/>
  <c r="J21" i="22"/>
  <c r="J16" i="22"/>
  <c r="J20" i="22"/>
  <c r="N12" i="22"/>
  <c r="J18" i="22"/>
  <c r="J15" i="22"/>
  <c r="H18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0" i="23"/>
  <c r="F18" i="23"/>
  <c r="F16" i="23"/>
  <c r="D18" i="23"/>
  <c r="F15" i="23"/>
  <c r="F21" i="23"/>
  <c r="L12" i="23"/>
  <c r="X16" i="23"/>
  <c r="X20" i="23"/>
  <c r="R27" i="25"/>
  <c r="R25" i="25"/>
  <c r="R29" i="25"/>
  <c r="R24" i="25"/>
  <c r="R22" i="25"/>
  <c r="R36" i="25"/>
  <c r="R31" i="25"/>
  <c r="R21" i="25"/>
  <c r="R20" i="25"/>
  <c r="R18" i="25"/>
  <c r="R16" i="25"/>
  <c r="P18" i="25"/>
  <c r="R15" i="25"/>
  <c r="R33" i="25"/>
  <c r="R34" i="25"/>
  <c r="X12" i="25"/>
  <c r="Z22" i="25"/>
  <c r="Z24" i="25"/>
  <c r="Z29" i="25"/>
  <c r="X24" i="26"/>
  <c r="X33" i="28"/>
  <c r="Z16" i="29"/>
  <c r="L22" i="29"/>
  <c r="J24" i="20"/>
  <c r="J22" i="20"/>
  <c r="J21" i="20"/>
  <c r="J16" i="20"/>
  <c r="J33" i="20"/>
  <c r="J27" i="20"/>
  <c r="J18" i="20"/>
  <c r="H18" i="20"/>
  <c r="J34" i="20"/>
  <c r="J29" i="20"/>
  <c r="J20" i="20"/>
  <c r="J31" i="20"/>
  <c r="J15" i="20"/>
  <c r="N12" i="20"/>
  <c r="J25" i="20"/>
  <c r="J36" i="20"/>
  <c r="X13" i="20"/>
  <c r="Z15" i="20"/>
  <c r="X21" i="20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J15" i="23"/>
  <c r="H18" i="23"/>
  <c r="N12" i="23"/>
  <c r="X13" i="23"/>
  <c r="Z15" i="23"/>
  <c r="X21" i="23"/>
  <c r="V36" i="25"/>
  <c r="V34" i="25"/>
  <c r="V33" i="25"/>
  <c r="V31" i="25"/>
  <c r="V29" i="25"/>
  <c r="V27" i="25"/>
  <c r="V24" i="25"/>
  <c r="V22" i="25"/>
  <c r="V21" i="25"/>
  <c r="V20" i="25"/>
  <c r="V18" i="25"/>
  <c r="V16" i="25"/>
  <c r="T18" i="25"/>
  <c r="V15" i="25"/>
  <c r="V25" i="25"/>
  <c r="Z12" i="25"/>
  <c r="L15" i="25"/>
  <c r="Z25" i="25"/>
  <c r="N15" i="26"/>
  <c r="Z16" i="26"/>
  <c r="L29" i="28"/>
  <c r="L34" i="28"/>
  <c r="N22" i="29"/>
  <c r="N34" i="31"/>
  <c r="N33" i="34"/>
  <c r="L33" i="25"/>
  <c r="L34" i="25"/>
  <c r="N16" i="26"/>
  <c r="N20" i="26"/>
  <c r="L22" i="26"/>
  <c r="L24" i="26"/>
  <c r="N13" i="28"/>
  <c r="N22" i="28"/>
  <c r="N24" i="28"/>
  <c r="L13" i="29"/>
  <c r="N21" i="29"/>
  <c r="L25" i="29"/>
  <c r="L29" i="29"/>
  <c r="L33" i="29"/>
  <c r="L34" i="29"/>
  <c r="L15" i="31"/>
  <c r="Z25" i="31"/>
  <c r="Z29" i="31"/>
  <c r="Z22" i="32"/>
  <c r="Z34" i="32"/>
  <c r="L15" i="35"/>
  <c r="Z29" i="35"/>
  <c r="Z34" i="37"/>
  <c r="L33" i="38"/>
  <c r="N15" i="40"/>
  <c r="N33" i="26"/>
  <c r="N34" i="26"/>
  <c r="H18" i="28"/>
  <c r="J15" i="28"/>
  <c r="J21" i="28"/>
  <c r="J20" i="28"/>
  <c r="J33" i="28"/>
  <c r="J27" i="28"/>
  <c r="J22" i="28"/>
  <c r="J18" i="28"/>
  <c r="N12" i="28"/>
  <c r="J36" i="28"/>
  <c r="J31" i="28"/>
  <c r="J25" i="28"/>
  <c r="J16" i="28"/>
  <c r="J34" i="28"/>
  <c r="J29" i="28"/>
  <c r="J24" i="28"/>
  <c r="X13" i="28"/>
  <c r="Z15" i="28"/>
  <c r="X21" i="28"/>
  <c r="F20" i="29"/>
  <c r="F18" i="29"/>
  <c r="F16" i="29"/>
  <c r="D18" i="29"/>
  <c r="F15" i="29"/>
  <c r="F24" i="29"/>
  <c r="F22" i="29"/>
  <c r="F36" i="29"/>
  <c r="F29" i="29"/>
  <c r="L12" i="29"/>
  <c r="F34" i="29"/>
  <c r="F27" i="29"/>
  <c r="F21" i="29"/>
  <c r="F33" i="29"/>
  <c r="F25" i="29"/>
  <c r="F31" i="29"/>
  <c r="X16" i="29"/>
  <c r="X20" i="29"/>
  <c r="X15" i="31"/>
  <c r="Z34" i="31"/>
  <c r="L13" i="32"/>
  <c r="N24" i="32"/>
  <c r="L33" i="32"/>
  <c r="L16" i="34"/>
  <c r="N13" i="38"/>
  <c r="Z25" i="40"/>
  <c r="X20" i="43"/>
  <c r="D18" i="26"/>
  <c r="F15" i="26"/>
  <c r="F21" i="26"/>
  <c r="F31" i="26"/>
  <c r="F22" i="26"/>
  <c r="F34" i="26"/>
  <c r="F27" i="26"/>
  <c r="F20" i="26"/>
  <c r="F24" i="26"/>
  <c r="F16" i="26"/>
  <c r="F33" i="26"/>
  <c r="F29" i="26"/>
  <c r="F18" i="26"/>
  <c r="F25" i="26"/>
  <c r="F36" i="26"/>
  <c r="L12" i="26"/>
  <c r="X16" i="26"/>
  <c r="X20" i="26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0" i="29"/>
  <c r="J18" i="29"/>
  <c r="J16" i="29"/>
  <c r="H18" i="29"/>
  <c r="J21" i="29"/>
  <c r="J24" i="29"/>
  <c r="J15" i="29"/>
  <c r="J22" i="29"/>
  <c r="X13" i="29"/>
  <c r="Z15" i="29"/>
  <c r="X21" i="29"/>
  <c r="L12" i="31"/>
  <c r="F24" i="31"/>
  <c r="F22" i="31"/>
  <c r="F21" i="31"/>
  <c r="F20" i="31"/>
  <c r="F18" i="31"/>
  <c r="F16" i="31"/>
  <c r="F29" i="31"/>
  <c r="F25" i="31"/>
  <c r="F33" i="31"/>
  <c r="F36" i="31"/>
  <c r="F34" i="31"/>
  <c r="F31" i="31"/>
  <c r="D18" i="31"/>
  <c r="F27" i="31"/>
  <c r="F15" i="31"/>
  <c r="N13" i="32"/>
  <c r="N21" i="32"/>
  <c r="L16" i="35"/>
  <c r="Z33" i="35"/>
  <c r="Z16" i="38"/>
  <c r="X22" i="29"/>
  <c r="X24" i="29"/>
  <c r="Z21" i="31"/>
  <c r="Z24" i="32"/>
  <c r="L29" i="32"/>
  <c r="N33" i="32"/>
  <c r="N29" i="34"/>
  <c r="Z33" i="40"/>
  <c r="X12" i="28"/>
  <c r="R36" i="28"/>
  <c r="R34" i="28"/>
  <c r="R33" i="28"/>
  <c r="R31" i="28"/>
  <c r="R29" i="28"/>
  <c r="R27" i="28"/>
  <c r="R25" i="28"/>
  <c r="R21" i="28"/>
  <c r="R20" i="28"/>
  <c r="R18" i="28"/>
  <c r="R16" i="28"/>
  <c r="R22" i="28"/>
  <c r="P18" i="28"/>
  <c r="R15" i="28"/>
  <c r="R24" i="28"/>
  <c r="Z22" i="28"/>
  <c r="Z24" i="28"/>
  <c r="Z21" i="29"/>
  <c r="X25" i="29"/>
  <c r="X29" i="29"/>
  <c r="X33" i="29"/>
  <c r="X34" i="29"/>
  <c r="V21" i="31"/>
  <c r="T18" i="31"/>
  <c r="V15" i="31"/>
  <c r="Z12" i="31"/>
  <c r="V36" i="31"/>
  <c r="V27" i="31"/>
  <c r="V31" i="31"/>
  <c r="V24" i="31"/>
  <c r="V18" i="31"/>
  <c r="V34" i="31"/>
  <c r="V22" i="31"/>
  <c r="V33" i="31"/>
  <c r="V20" i="31"/>
  <c r="V29" i="31"/>
  <c r="V16" i="31"/>
  <c r="V25" i="31"/>
  <c r="Z34" i="35"/>
  <c r="L21" i="38"/>
  <c r="X33" i="26"/>
  <c r="X34" i="26"/>
  <c r="Z12" i="28"/>
  <c r="V36" i="28"/>
  <c r="V34" i="28"/>
  <c r="V33" i="28"/>
  <c r="V31" i="28"/>
  <c r="V29" i="28"/>
  <c r="V27" i="28"/>
  <c r="V25" i="28"/>
  <c r="V24" i="28"/>
  <c r="V22" i="28"/>
  <c r="V21" i="28"/>
  <c r="T18" i="28"/>
  <c r="V15" i="28"/>
  <c r="V18" i="28"/>
  <c r="V16" i="28"/>
  <c r="V20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Z22" i="29"/>
  <c r="Z24" i="29"/>
  <c r="L16" i="31"/>
  <c r="L20" i="31"/>
  <c r="L15" i="32"/>
  <c r="L25" i="32"/>
  <c r="N29" i="32"/>
  <c r="Z33" i="32"/>
  <c r="N21" i="38"/>
  <c r="Z33" i="25"/>
  <c r="Z34" i="25"/>
  <c r="X12" i="26"/>
  <c r="R36" i="26"/>
  <c r="R34" i="26"/>
  <c r="R33" i="26"/>
  <c r="R31" i="26"/>
  <c r="R29" i="26"/>
  <c r="R27" i="26"/>
  <c r="R25" i="26"/>
  <c r="P18" i="26"/>
  <c r="R15" i="26"/>
  <c r="R24" i="26"/>
  <c r="R16" i="26"/>
  <c r="R21" i="26"/>
  <c r="R18" i="26"/>
  <c r="R22" i="26"/>
  <c r="R20" i="26"/>
  <c r="Z22" i="26"/>
  <c r="Z24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V15" i="29"/>
  <c r="T18" i="29"/>
  <c r="L15" i="29"/>
  <c r="Z25" i="29"/>
  <c r="Z29" i="29"/>
  <c r="Z33" i="29"/>
  <c r="Z34" i="29"/>
  <c r="N13" i="31"/>
  <c r="N22" i="31"/>
  <c r="N33" i="31"/>
  <c r="L34" i="32"/>
  <c r="Z25" i="35"/>
  <c r="N24" i="38"/>
  <c r="V36" i="26"/>
  <c r="V34" i="26"/>
  <c r="V33" i="26"/>
  <c r="V31" i="26"/>
  <c r="V29" i="26"/>
  <c r="V27" i="26"/>
  <c r="V25" i="26"/>
  <c r="V24" i="26"/>
  <c r="V22" i="26"/>
  <c r="V21" i="26"/>
  <c r="V18" i="26"/>
  <c r="T18" i="26"/>
  <c r="V15" i="26"/>
  <c r="Z12" i="26"/>
  <c r="V20" i="26"/>
  <c r="V16" i="26"/>
  <c r="L15" i="26"/>
  <c r="Z25" i="26"/>
  <c r="Z29" i="26"/>
  <c r="Z33" i="26"/>
  <c r="Z34" i="26"/>
  <c r="N15" i="28"/>
  <c r="L21" i="28"/>
  <c r="L16" i="29"/>
  <c r="L20" i="29"/>
  <c r="N25" i="31"/>
  <c r="N29" i="31"/>
  <c r="N25" i="32"/>
  <c r="Z29" i="32"/>
  <c r="L20" i="34"/>
  <c r="V21" i="35"/>
  <c r="V20" i="35"/>
  <c r="V18" i="35"/>
  <c r="V16" i="35"/>
  <c r="T18" i="35"/>
  <c r="V15" i="35"/>
  <c r="Z12" i="35"/>
  <c r="V36" i="35"/>
  <c r="V25" i="35"/>
  <c r="V34" i="35"/>
  <c r="V24" i="35"/>
  <c r="V33" i="35"/>
  <c r="V22" i="35"/>
  <c r="V31" i="35"/>
  <c r="V29" i="35"/>
  <c r="V27" i="35"/>
  <c r="X24" i="38"/>
  <c r="N22" i="41"/>
  <c r="L16" i="26"/>
  <c r="L20" i="26"/>
  <c r="N16" i="28"/>
  <c r="N20" i="28"/>
  <c r="L22" i="28"/>
  <c r="L24" i="28"/>
  <c r="N15" i="29"/>
  <c r="L21" i="29"/>
  <c r="X16" i="31"/>
  <c r="X20" i="31"/>
  <c r="Z33" i="31"/>
  <c r="X15" i="32"/>
  <c r="N22" i="32"/>
  <c r="N34" i="32"/>
  <c r="L20" i="35"/>
  <c r="N15" i="31"/>
  <c r="L21" i="31"/>
  <c r="L16" i="32"/>
  <c r="L20" i="32"/>
  <c r="N16" i="34"/>
  <c r="N20" i="34"/>
  <c r="L22" i="34"/>
  <c r="L24" i="34"/>
  <c r="N15" i="35"/>
  <c r="L21" i="35"/>
  <c r="L24" i="37"/>
  <c r="Z13" i="38"/>
  <c r="Z24" i="38"/>
  <c r="L29" i="38"/>
  <c r="Z15" i="40"/>
  <c r="X21" i="40"/>
  <c r="N25" i="47"/>
  <c r="N16" i="31"/>
  <c r="N20" i="31"/>
  <c r="L22" i="31"/>
  <c r="L24" i="31"/>
  <c r="N15" i="32"/>
  <c r="L21" i="32"/>
  <c r="L13" i="34"/>
  <c r="N21" i="34"/>
  <c r="L25" i="34"/>
  <c r="L29" i="34"/>
  <c r="L33" i="34"/>
  <c r="L34" i="34"/>
  <c r="N16" i="35"/>
  <c r="N20" i="35"/>
  <c r="L22" i="35"/>
  <c r="L24" i="35"/>
  <c r="N24" i="37"/>
  <c r="L13" i="31"/>
  <c r="N21" i="31"/>
  <c r="L25" i="31"/>
  <c r="L29" i="31"/>
  <c r="L33" i="31"/>
  <c r="L34" i="31"/>
  <c r="N16" i="32"/>
  <c r="N20" i="32"/>
  <c r="L22" i="32"/>
  <c r="L24" i="32"/>
  <c r="N13" i="34"/>
  <c r="N22" i="34"/>
  <c r="N24" i="34"/>
  <c r="L13" i="35"/>
  <c r="N21" i="35"/>
  <c r="L25" i="35"/>
  <c r="L29" i="35"/>
  <c r="L33" i="35"/>
  <c r="L34" i="35"/>
  <c r="X15" i="37"/>
  <c r="N15" i="38"/>
  <c r="L25" i="38"/>
  <c r="N22" i="35"/>
  <c r="N24" i="35"/>
  <c r="J36" i="37"/>
  <c r="J34" i="37"/>
  <c r="J33" i="37"/>
  <c r="J31" i="37"/>
  <c r="J29" i="37"/>
  <c r="J27" i="37"/>
  <c r="J25" i="37"/>
  <c r="J20" i="37"/>
  <c r="J18" i="37"/>
  <c r="J16" i="37"/>
  <c r="J22" i="37"/>
  <c r="N12" i="37"/>
  <c r="J24" i="37"/>
  <c r="J21" i="37"/>
  <c r="H18" i="37"/>
  <c r="J15" i="37"/>
  <c r="Z15" i="37"/>
  <c r="X21" i="37"/>
  <c r="N33" i="37"/>
  <c r="L34" i="38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D18" i="34"/>
  <c r="F16" i="34"/>
  <c r="F15" i="34"/>
  <c r="X16" i="34"/>
  <c r="X20" i="34"/>
  <c r="X15" i="35"/>
  <c r="N25" i="35"/>
  <c r="N29" i="35"/>
  <c r="N33" i="35"/>
  <c r="N34" i="35"/>
  <c r="Z21" i="37"/>
  <c r="X33" i="37"/>
  <c r="Z29" i="40"/>
  <c r="X25" i="41"/>
  <c r="X15" i="44"/>
  <c r="N12" i="34"/>
  <c r="J36" i="34"/>
  <c r="J34" i="34"/>
  <c r="J33" i="34"/>
  <c r="J31" i="34"/>
  <c r="J29" i="34"/>
  <c r="J27" i="34"/>
  <c r="J25" i="34"/>
  <c r="J21" i="34"/>
  <c r="J20" i="34"/>
  <c r="J18" i="34"/>
  <c r="J16" i="34"/>
  <c r="H18" i="34"/>
  <c r="J15" i="34"/>
  <c r="J24" i="34"/>
  <c r="J22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X16" i="35"/>
  <c r="X20" i="35"/>
  <c r="T18" i="37"/>
  <c r="V15" i="37"/>
  <c r="Z12" i="37"/>
  <c r="V36" i="37"/>
  <c r="V34" i="37"/>
  <c r="V33" i="37"/>
  <c r="V31" i="37"/>
  <c r="V29" i="37"/>
  <c r="V27" i="37"/>
  <c r="V25" i="37"/>
  <c r="V21" i="37"/>
  <c r="V24" i="37"/>
  <c r="V18" i="37"/>
  <c r="V22" i="37"/>
  <c r="V20" i="37"/>
  <c r="V16" i="37"/>
  <c r="N29" i="37"/>
  <c r="Z33" i="37"/>
  <c r="N22" i="38"/>
  <c r="Z25" i="41"/>
  <c r="X34" i="41"/>
  <c r="J20" i="31"/>
  <c r="J18" i="31"/>
  <c r="J16" i="31"/>
  <c r="H18" i="31"/>
  <c r="J15" i="31"/>
  <c r="J29" i="31"/>
  <c r="J25" i="31"/>
  <c r="J33" i="31"/>
  <c r="J22" i="31"/>
  <c r="J36" i="31"/>
  <c r="N12" i="31"/>
  <c r="J31" i="31"/>
  <c r="J27" i="31"/>
  <c r="J24" i="31"/>
  <c r="J34" i="31"/>
  <c r="J21" i="31"/>
  <c r="X13" i="31"/>
  <c r="Z15" i="31"/>
  <c r="X21" i="31"/>
  <c r="L12" i="32"/>
  <c r="F21" i="32"/>
  <c r="F20" i="32"/>
  <c r="F18" i="32"/>
  <c r="F16" i="32"/>
  <c r="D18" i="32"/>
  <c r="F15" i="32"/>
  <c r="F34" i="32"/>
  <c r="F22" i="32"/>
  <c r="F25" i="32"/>
  <c r="F29" i="32"/>
  <c r="F33" i="32"/>
  <c r="F36" i="32"/>
  <c r="F31" i="32"/>
  <c r="F24" i="32"/>
  <c r="F27" i="32"/>
  <c r="X16" i="32"/>
  <c r="X20" i="32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X13" i="35"/>
  <c r="Z15" i="35"/>
  <c r="X21" i="35"/>
  <c r="N16" i="37"/>
  <c r="N20" i="37"/>
  <c r="L22" i="37"/>
  <c r="X29" i="37"/>
  <c r="X22" i="38"/>
  <c r="N12" i="40"/>
  <c r="J34" i="40"/>
  <c r="J33" i="40"/>
  <c r="J31" i="40"/>
  <c r="J29" i="40"/>
  <c r="J27" i="40"/>
  <c r="J25" i="40"/>
  <c r="J24" i="40"/>
  <c r="J22" i="40"/>
  <c r="J36" i="40"/>
  <c r="J21" i="40"/>
  <c r="J20" i="40"/>
  <c r="J18" i="40"/>
  <c r="J16" i="40"/>
  <c r="H18" i="40"/>
  <c r="J15" i="40"/>
  <c r="V29" i="41"/>
  <c r="V18" i="41"/>
  <c r="Z12" i="41"/>
  <c r="V31" i="41"/>
  <c r="T18" i="41"/>
  <c r="V33" i="41"/>
  <c r="V21" i="41"/>
  <c r="V22" i="41"/>
  <c r="V34" i="41"/>
  <c r="V24" i="41"/>
  <c r="V36" i="41"/>
  <c r="V25" i="41"/>
  <c r="V27" i="41"/>
  <c r="V15" i="41"/>
  <c r="V20" i="41"/>
  <c r="V16" i="41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H18" i="32"/>
  <c r="J15" i="32"/>
  <c r="J18" i="32"/>
  <c r="J21" i="32"/>
  <c r="J24" i="32"/>
  <c r="J22" i="32"/>
  <c r="J20" i="32"/>
  <c r="J16" i="32"/>
  <c r="X13" i="32"/>
  <c r="Z15" i="32"/>
  <c r="X21" i="32"/>
  <c r="Z21" i="34"/>
  <c r="X25" i="34"/>
  <c r="X29" i="34"/>
  <c r="X33" i="34"/>
  <c r="X34" i="34"/>
  <c r="Z13" i="35"/>
  <c r="Z16" i="35"/>
  <c r="Z20" i="35"/>
  <c r="X22" i="35"/>
  <c r="X24" i="35"/>
  <c r="N13" i="37"/>
  <c r="N22" i="37"/>
  <c r="N25" i="37"/>
  <c r="Z29" i="37"/>
  <c r="Z22" i="38"/>
  <c r="V21" i="40"/>
  <c r="V36" i="40"/>
  <c r="V20" i="40"/>
  <c r="V18" i="40"/>
  <c r="V16" i="40"/>
  <c r="T18" i="40"/>
  <c r="V15" i="40"/>
  <c r="V33" i="40"/>
  <c r="V31" i="40"/>
  <c r="V29" i="40"/>
  <c r="V27" i="40"/>
  <c r="V25" i="40"/>
  <c r="Z12" i="40"/>
  <c r="V24" i="40"/>
  <c r="V22" i="40"/>
  <c r="V34" i="40"/>
  <c r="N13" i="41"/>
  <c r="L21" i="41"/>
  <c r="N33" i="44"/>
  <c r="X33" i="31"/>
  <c r="X34" i="31"/>
  <c r="Z13" i="32"/>
  <c r="Z16" i="32"/>
  <c r="Z20" i="32"/>
  <c r="X22" i="32"/>
  <c r="X24" i="32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X12" i="34"/>
  <c r="Z22" i="34"/>
  <c r="Z24" i="34"/>
  <c r="Z21" i="35"/>
  <c r="X25" i="35"/>
  <c r="X29" i="35"/>
  <c r="X33" i="35"/>
  <c r="X34" i="35"/>
  <c r="X25" i="37"/>
  <c r="N34" i="37"/>
  <c r="R20" i="38"/>
  <c r="R18" i="38"/>
  <c r="R16" i="38"/>
  <c r="P18" i="38"/>
  <c r="R15" i="38"/>
  <c r="X12" i="38"/>
  <c r="R24" i="38"/>
  <c r="R22" i="38"/>
  <c r="R31" i="38"/>
  <c r="R34" i="38"/>
  <c r="R25" i="38"/>
  <c r="R29" i="38"/>
  <c r="R33" i="38"/>
  <c r="R21" i="38"/>
  <c r="R27" i="38"/>
  <c r="R36" i="38"/>
  <c r="Z20" i="38"/>
  <c r="N34" i="44"/>
  <c r="R36" i="31"/>
  <c r="R34" i="31"/>
  <c r="R33" i="31"/>
  <c r="R31" i="31"/>
  <c r="R29" i="31"/>
  <c r="R27" i="31"/>
  <c r="R25" i="31"/>
  <c r="R21" i="31"/>
  <c r="R20" i="31"/>
  <c r="R18" i="31"/>
  <c r="R16" i="31"/>
  <c r="X12" i="31"/>
  <c r="R24" i="31"/>
  <c r="P18" i="31"/>
  <c r="R15" i="31"/>
  <c r="R22" i="31"/>
  <c r="Z22" i="31"/>
  <c r="Z24" i="31"/>
  <c r="Z21" i="32"/>
  <c r="X25" i="32"/>
  <c r="X29" i="32"/>
  <c r="X33" i="32"/>
  <c r="X34" i="32"/>
  <c r="V24" i="34"/>
  <c r="V22" i="34"/>
  <c r="V21" i="34"/>
  <c r="V20" i="34"/>
  <c r="V18" i="34"/>
  <c r="V16" i="34"/>
  <c r="T18" i="34"/>
  <c r="V15" i="34"/>
  <c r="Z12" i="34"/>
  <c r="V31" i="34"/>
  <c r="V36" i="34"/>
  <c r="V29" i="34"/>
  <c r="V34" i="34"/>
  <c r="V27" i="34"/>
  <c r="V33" i="34"/>
  <c r="V25" i="34"/>
  <c r="L15" i="34"/>
  <c r="Z25" i="34"/>
  <c r="Z29" i="34"/>
  <c r="Z33" i="34"/>
  <c r="Z34" i="34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X12" i="35"/>
  <c r="Z22" i="35"/>
  <c r="Z24" i="35"/>
  <c r="X13" i="37"/>
  <c r="Z25" i="37"/>
  <c r="X34" i="37"/>
  <c r="X13" i="40"/>
  <c r="N15" i="41"/>
  <c r="X29" i="41"/>
  <c r="R21" i="37"/>
  <c r="P18" i="37"/>
  <c r="R15" i="37"/>
  <c r="X12" i="37"/>
  <c r="R36" i="37"/>
  <c r="R34" i="37"/>
  <c r="R33" i="37"/>
  <c r="R31" i="37"/>
  <c r="R29" i="37"/>
  <c r="R27" i="37"/>
  <c r="R25" i="37"/>
  <c r="R20" i="37"/>
  <c r="R16" i="37"/>
  <c r="R24" i="37"/>
  <c r="R18" i="37"/>
  <c r="R22" i="37"/>
  <c r="Z22" i="37"/>
  <c r="Z24" i="37"/>
  <c r="Z21" i="38"/>
  <c r="X25" i="38"/>
  <c r="X29" i="38"/>
  <c r="X33" i="38"/>
  <c r="X34" i="38"/>
  <c r="L16" i="40"/>
  <c r="L20" i="40"/>
  <c r="L20" i="41"/>
  <c r="X24" i="41"/>
  <c r="N33" i="41"/>
  <c r="Z29" i="43"/>
  <c r="Z22" i="44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D18" i="46"/>
  <c r="F15" i="46"/>
  <c r="L12" i="46"/>
  <c r="L16" i="37"/>
  <c r="L20" i="37"/>
  <c r="V36" i="38"/>
  <c r="V34" i="38"/>
  <c r="V33" i="38"/>
  <c r="V31" i="38"/>
  <c r="V29" i="38"/>
  <c r="V27" i="38"/>
  <c r="V25" i="38"/>
  <c r="V24" i="38"/>
  <c r="V22" i="38"/>
  <c r="V20" i="38"/>
  <c r="V18" i="38"/>
  <c r="V16" i="38"/>
  <c r="Z12" i="38"/>
  <c r="V15" i="38"/>
  <c r="T18" i="38"/>
  <c r="V21" i="38"/>
  <c r="L15" i="38"/>
  <c r="Z25" i="38"/>
  <c r="Z29" i="38"/>
  <c r="Z33" i="38"/>
  <c r="Z34" i="38"/>
  <c r="N16" i="40"/>
  <c r="N20" i="40"/>
  <c r="L22" i="40"/>
  <c r="L24" i="40"/>
  <c r="Z13" i="41"/>
  <c r="N20" i="41"/>
  <c r="X22" i="41"/>
  <c r="Z24" i="41"/>
  <c r="Z12" i="43"/>
  <c r="V36" i="43"/>
  <c r="V34" i="43"/>
  <c r="V33" i="43"/>
  <c r="V31" i="43"/>
  <c r="V29" i="43"/>
  <c r="V27" i="43"/>
  <c r="V25" i="43"/>
  <c r="V21" i="43"/>
  <c r="V20" i="43"/>
  <c r="V18" i="43"/>
  <c r="V16" i="43"/>
  <c r="T18" i="43"/>
  <c r="V15" i="43"/>
  <c r="V24" i="43"/>
  <c r="V22" i="43"/>
  <c r="Z24" i="44"/>
  <c r="N15" i="37"/>
  <c r="L21" i="37"/>
  <c r="L16" i="38"/>
  <c r="L20" i="38"/>
  <c r="L13" i="40"/>
  <c r="N21" i="40"/>
  <c r="L25" i="40"/>
  <c r="L29" i="40"/>
  <c r="L33" i="40"/>
  <c r="L34" i="40"/>
  <c r="F24" i="41"/>
  <c r="F22" i="41"/>
  <c r="F34" i="41"/>
  <c r="F15" i="41"/>
  <c r="F27" i="41"/>
  <c r="F16" i="41"/>
  <c r="L12" i="41"/>
  <c r="F29" i="41"/>
  <c r="F18" i="41"/>
  <c r="D18" i="41"/>
  <c r="F21" i="41"/>
  <c r="F36" i="41"/>
  <c r="F20" i="41"/>
  <c r="F25" i="41"/>
  <c r="F33" i="41"/>
  <c r="F31" i="41"/>
  <c r="X33" i="41"/>
  <c r="Z34" i="41"/>
  <c r="N25" i="44"/>
  <c r="X16" i="46"/>
  <c r="N13" i="40"/>
  <c r="N22" i="40"/>
  <c r="N24" i="40"/>
  <c r="L16" i="41"/>
  <c r="Z22" i="41"/>
  <c r="N29" i="41"/>
  <c r="L15" i="43"/>
  <c r="Z33" i="43"/>
  <c r="L13" i="37"/>
  <c r="N21" i="37"/>
  <c r="L25" i="37"/>
  <c r="L29" i="37"/>
  <c r="L33" i="37"/>
  <c r="L34" i="37"/>
  <c r="N16" i="38"/>
  <c r="N20" i="38"/>
  <c r="L22" i="38"/>
  <c r="L24" i="38"/>
  <c r="X15" i="40"/>
  <c r="N25" i="40"/>
  <c r="N29" i="40"/>
  <c r="N33" i="40"/>
  <c r="N34" i="40"/>
  <c r="L15" i="41"/>
  <c r="X20" i="41"/>
  <c r="Z21" i="41"/>
  <c r="Z33" i="41"/>
  <c r="X20" i="46"/>
  <c r="X33" i="47"/>
  <c r="F36" i="40"/>
  <c r="L12" i="40"/>
  <c r="F34" i="40"/>
  <c r="F33" i="40"/>
  <c r="F31" i="40"/>
  <c r="F29" i="40"/>
  <c r="F27" i="40"/>
  <c r="F25" i="40"/>
  <c r="F24" i="40"/>
  <c r="F22" i="40"/>
  <c r="F21" i="40"/>
  <c r="D18" i="40"/>
  <c r="F15" i="40"/>
  <c r="F20" i="40"/>
  <c r="F18" i="40"/>
  <c r="F16" i="40"/>
  <c r="X16" i="40"/>
  <c r="X20" i="40"/>
  <c r="R20" i="41"/>
  <c r="R18" i="41"/>
  <c r="R16" i="41"/>
  <c r="R27" i="41"/>
  <c r="R29" i="41"/>
  <c r="X12" i="41"/>
  <c r="R31" i="41"/>
  <c r="R33" i="41"/>
  <c r="R21" i="41"/>
  <c r="R22" i="41"/>
  <c r="R34" i="41"/>
  <c r="R36" i="41"/>
  <c r="R25" i="41"/>
  <c r="P18" i="41"/>
  <c r="R24" i="41"/>
  <c r="R15" i="41"/>
  <c r="N16" i="41"/>
  <c r="Z20" i="41"/>
  <c r="Z34" i="43"/>
  <c r="X15" i="47"/>
  <c r="X16" i="43"/>
  <c r="N29" i="44"/>
  <c r="N15" i="49"/>
  <c r="L12" i="37"/>
  <c r="F24" i="37"/>
  <c r="F22" i="37"/>
  <c r="F20" i="37"/>
  <c r="F18" i="37"/>
  <c r="F16" i="37"/>
  <c r="D18" i="37"/>
  <c r="F15" i="37"/>
  <c r="F31" i="37"/>
  <c r="F34" i="37"/>
  <c r="F25" i="37"/>
  <c r="F29" i="37"/>
  <c r="F33" i="37"/>
  <c r="F36" i="37"/>
  <c r="F21" i="37"/>
  <c r="F27" i="37"/>
  <c r="X16" i="37"/>
  <c r="X20" i="37"/>
  <c r="X15" i="38"/>
  <c r="N25" i="38"/>
  <c r="N29" i="38"/>
  <c r="N33" i="38"/>
  <c r="N34" i="38"/>
  <c r="Z13" i="40"/>
  <c r="Z16" i="40"/>
  <c r="Z20" i="40"/>
  <c r="X22" i="40"/>
  <c r="X24" i="40"/>
  <c r="X34" i="40"/>
  <c r="L24" i="41"/>
  <c r="N25" i="41"/>
  <c r="Z25" i="43"/>
  <c r="X29" i="49"/>
  <c r="F21" i="38"/>
  <c r="D18" i="38"/>
  <c r="F15" i="38"/>
  <c r="F36" i="38"/>
  <c r="F24" i="38"/>
  <c r="F27" i="38"/>
  <c r="F16" i="38"/>
  <c r="L12" i="38"/>
  <c r="F31" i="38"/>
  <c r="F20" i="38"/>
  <c r="F34" i="38"/>
  <c r="F22" i="38"/>
  <c r="F25" i="38"/>
  <c r="F29" i="38"/>
  <c r="F18" i="38"/>
  <c r="F33" i="38"/>
  <c r="X16" i="38"/>
  <c r="X20" i="38"/>
  <c r="Z21" i="40"/>
  <c r="X25" i="40"/>
  <c r="X29" i="40"/>
  <c r="X33" i="40"/>
  <c r="X16" i="41"/>
  <c r="N24" i="41"/>
  <c r="Z29" i="41"/>
  <c r="X22" i="50"/>
  <c r="Z13" i="37"/>
  <c r="Z16" i="37"/>
  <c r="Z20" i="37"/>
  <c r="X22" i="37"/>
  <c r="X24" i="37"/>
  <c r="J36" i="38"/>
  <c r="J34" i="38"/>
  <c r="J33" i="38"/>
  <c r="J31" i="38"/>
  <c r="J29" i="38"/>
  <c r="J27" i="38"/>
  <c r="J25" i="38"/>
  <c r="J24" i="38"/>
  <c r="J22" i="38"/>
  <c r="H18" i="38"/>
  <c r="J15" i="38"/>
  <c r="N12" i="38"/>
  <c r="J16" i="38"/>
  <c r="J20" i="38"/>
  <c r="J18" i="38"/>
  <c r="J21" i="38"/>
  <c r="X13" i="38"/>
  <c r="Z15" i="38"/>
  <c r="X21" i="38"/>
  <c r="R33" i="40"/>
  <c r="R31" i="40"/>
  <c r="R29" i="40"/>
  <c r="R27" i="40"/>
  <c r="R25" i="40"/>
  <c r="R34" i="40"/>
  <c r="R24" i="40"/>
  <c r="R22" i="40"/>
  <c r="R21" i="40"/>
  <c r="P18" i="40"/>
  <c r="R15" i="40"/>
  <c r="X12" i="40"/>
  <c r="R20" i="40"/>
  <c r="R18" i="40"/>
  <c r="R36" i="40"/>
  <c r="R16" i="40"/>
  <c r="Z22" i="40"/>
  <c r="Z24" i="40"/>
  <c r="Z34" i="40"/>
  <c r="X15" i="41"/>
  <c r="Z16" i="41"/>
  <c r="L22" i="41"/>
  <c r="N34" i="41"/>
  <c r="X12" i="44"/>
  <c r="R24" i="44"/>
  <c r="R22" i="44"/>
  <c r="R21" i="44"/>
  <c r="R20" i="44"/>
  <c r="R18" i="44"/>
  <c r="R16" i="44"/>
  <c r="P18" i="44"/>
  <c r="R15" i="44"/>
  <c r="R31" i="44"/>
  <c r="R29" i="44"/>
  <c r="R27" i="44"/>
  <c r="R36" i="44"/>
  <c r="R25" i="44"/>
  <c r="R34" i="44"/>
  <c r="R33" i="44"/>
  <c r="J20" i="41"/>
  <c r="J18" i="41"/>
  <c r="J16" i="41"/>
  <c r="J24" i="41"/>
  <c r="J36" i="41"/>
  <c r="J25" i="41"/>
  <c r="J15" i="41"/>
  <c r="J29" i="41"/>
  <c r="N12" i="41"/>
  <c r="H18" i="41"/>
  <c r="J31" i="41"/>
  <c r="J22" i="41"/>
  <c r="J21" i="41"/>
  <c r="J27" i="41"/>
  <c r="J34" i="41"/>
  <c r="J33" i="41"/>
  <c r="X13" i="41"/>
  <c r="Z15" i="41"/>
  <c r="X21" i="41"/>
  <c r="J24" i="43"/>
  <c r="J22" i="43"/>
  <c r="J21" i="43"/>
  <c r="J20" i="43"/>
  <c r="J18" i="43"/>
  <c r="J16" i="43"/>
  <c r="H18" i="43"/>
  <c r="J15" i="43"/>
  <c r="N12" i="43"/>
  <c r="J27" i="43"/>
  <c r="J36" i="43"/>
  <c r="J25" i="43"/>
  <c r="J34" i="43"/>
  <c r="J33" i="43"/>
  <c r="J31" i="43"/>
  <c r="J29" i="43"/>
  <c r="X13" i="43"/>
  <c r="Z15" i="43"/>
  <c r="X21" i="43"/>
  <c r="F36" i="44"/>
  <c r="F34" i="44"/>
  <c r="F33" i="44"/>
  <c r="F31" i="44"/>
  <c r="F29" i="44"/>
  <c r="F27" i="44"/>
  <c r="F25" i="44"/>
  <c r="F24" i="44"/>
  <c r="F22" i="44"/>
  <c r="F21" i="44"/>
  <c r="F20" i="44"/>
  <c r="F18" i="44"/>
  <c r="F16" i="44"/>
  <c r="D18" i="44"/>
  <c r="F15" i="44"/>
  <c r="L12" i="44"/>
  <c r="X16" i="44"/>
  <c r="X20" i="44"/>
  <c r="J24" i="46"/>
  <c r="J22" i="46"/>
  <c r="J21" i="46"/>
  <c r="J20" i="46"/>
  <c r="J18" i="46"/>
  <c r="J16" i="46"/>
  <c r="H18" i="46"/>
  <c r="J15" i="46"/>
  <c r="N12" i="46"/>
  <c r="J27" i="46"/>
  <c r="J25" i="46"/>
  <c r="J36" i="46"/>
  <c r="J34" i="46"/>
  <c r="J31" i="46"/>
  <c r="J29" i="46"/>
  <c r="J33" i="46"/>
  <c r="X13" i="46"/>
  <c r="Z15" i="46"/>
  <c r="X21" i="46"/>
  <c r="F25" i="47"/>
  <c r="F27" i="47"/>
  <c r="F24" i="47"/>
  <c r="F22" i="47"/>
  <c r="F29" i="47"/>
  <c r="F21" i="47"/>
  <c r="F31" i="47"/>
  <c r="F20" i="47"/>
  <c r="F18" i="47"/>
  <c r="F16" i="47"/>
  <c r="F33" i="47"/>
  <c r="D18" i="47"/>
  <c r="F15" i="47"/>
  <c r="F34" i="47"/>
  <c r="F36" i="47"/>
  <c r="L12" i="47"/>
  <c r="X16" i="47"/>
  <c r="X20" i="47"/>
  <c r="Z34" i="47"/>
  <c r="X24" i="50"/>
  <c r="Z13" i="43"/>
  <c r="Z16" i="43"/>
  <c r="Z20" i="43"/>
  <c r="X22" i="43"/>
  <c r="X24" i="43"/>
  <c r="J21" i="44"/>
  <c r="J20" i="44"/>
  <c r="J18" i="44"/>
  <c r="J16" i="44"/>
  <c r="H18" i="44"/>
  <c r="J15" i="44"/>
  <c r="N12" i="44"/>
  <c r="J36" i="44"/>
  <c r="J34" i="44"/>
  <c r="J33" i="44"/>
  <c r="J31" i="44"/>
  <c r="J29" i="44"/>
  <c r="J27" i="44"/>
  <c r="J25" i="44"/>
  <c r="J24" i="44"/>
  <c r="J22" i="44"/>
  <c r="X13" i="44"/>
  <c r="Z15" i="44"/>
  <c r="X21" i="44"/>
  <c r="Z13" i="46"/>
  <c r="Z16" i="46"/>
  <c r="Z20" i="46"/>
  <c r="X22" i="46"/>
  <c r="X24" i="46"/>
  <c r="J29" i="47"/>
  <c r="J21" i="47"/>
  <c r="J31" i="47"/>
  <c r="J20" i="47"/>
  <c r="J18" i="47"/>
  <c r="J16" i="47"/>
  <c r="J33" i="47"/>
  <c r="H18" i="47"/>
  <c r="J15" i="47"/>
  <c r="J34" i="47"/>
  <c r="J36" i="47"/>
  <c r="N12" i="47"/>
  <c r="J25" i="47"/>
  <c r="J27" i="47"/>
  <c r="J24" i="47"/>
  <c r="J22" i="47"/>
  <c r="X13" i="47"/>
  <c r="Z15" i="47"/>
  <c r="X21" i="47"/>
  <c r="X29" i="47"/>
  <c r="Z33" i="47"/>
  <c r="X33" i="49"/>
  <c r="Z21" i="43"/>
  <c r="X25" i="43"/>
  <c r="X29" i="43"/>
  <c r="X33" i="43"/>
  <c r="X34" i="43"/>
  <c r="Z13" i="44"/>
  <c r="Z16" i="44"/>
  <c r="Z20" i="44"/>
  <c r="X22" i="44"/>
  <c r="X24" i="44"/>
  <c r="Z21" i="46"/>
  <c r="X25" i="46"/>
  <c r="X29" i="46"/>
  <c r="X33" i="46"/>
  <c r="X34" i="46"/>
  <c r="Z13" i="47"/>
  <c r="Z16" i="47"/>
  <c r="Z20" i="47"/>
  <c r="X22" i="47"/>
  <c r="X24" i="47"/>
  <c r="X34" i="49"/>
  <c r="N15" i="52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Z22" i="43"/>
  <c r="Z24" i="43"/>
  <c r="Z21" i="44"/>
  <c r="X25" i="44"/>
  <c r="X29" i="44"/>
  <c r="X33" i="44"/>
  <c r="X34" i="44"/>
  <c r="X12" i="46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Z22" i="46"/>
  <c r="Z24" i="46"/>
  <c r="Z21" i="47"/>
  <c r="X25" i="47"/>
  <c r="Z29" i="47"/>
  <c r="Z12" i="46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L15" i="46"/>
  <c r="Z25" i="46"/>
  <c r="Z29" i="46"/>
  <c r="Z33" i="46"/>
  <c r="Z34" i="46"/>
  <c r="R36" i="47"/>
  <c r="X12" i="47"/>
  <c r="R25" i="47"/>
  <c r="R27" i="47"/>
  <c r="R24" i="47"/>
  <c r="R22" i="47"/>
  <c r="R29" i="47"/>
  <c r="R21" i="47"/>
  <c r="R31" i="47"/>
  <c r="R20" i="47"/>
  <c r="R18" i="47"/>
  <c r="R16" i="47"/>
  <c r="R33" i="47"/>
  <c r="P18" i="47"/>
  <c r="R15" i="47"/>
  <c r="R34" i="47"/>
  <c r="Z22" i="47"/>
  <c r="Z24" i="47"/>
  <c r="L34" i="47"/>
  <c r="L16" i="43"/>
  <c r="L20" i="43"/>
  <c r="Z12" i="44"/>
  <c r="V36" i="44"/>
  <c r="V34" i="44"/>
  <c r="V33" i="44"/>
  <c r="V31" i="44"/>
  <c r="V29" i="44"/>
  <c r="V27" i="44"/>
  <c r="V25" i="44"/>
  <c r="V24" i="44"/>
  <c r="V22" i="44"/>
  <c r="V20" i="44"/>
  <c r="V18" i="44"/>
  <c r="V16" i="44"/>
  <c r="T18" i="44"/>
  <c r="V15" i="44"/>
  <c r="V21" i="44"/>
  <c r="L15" i="44"/>
  <c r="Z25" i="44"/>
  <c r="Z29" i="44"/>
  <c r="Z33" i="44"/>
  <c r="Z34" i="44"/>
  <c r="L16" i="46"/>
  <c r="L20" i="46"/>
  <c r="Z12" i="47"/>
  <c r="V25" i="47"/>
  <c r="V27" i="47"/>
  <c r="V24" i="47"/>
  <c r="V22" i="47"/>
  <c r="V29" i="47"/>
  <c r="V21" i="47"/>
  <c r="V31" i="47"/>
  <c r="V20" i="47"/>
  <c r="V18" i="47"/>
  <c r="V16" i="47"/>
  <c r="V33" i="47"/>
  <c r="T18" i="47"/>
  <c r="V15" i="47"/>
  <c r="V34" i="47"/>
  <c r="V36" i="47"/>
  <c r="L15" i="47"/>
  <c r="Z25" i="47"/>
  <c r="L33" i="47"/>
  <c r="Z13" i="50"/>
  <c r="N15" i="43"/>
  <c r="L21" i="43"/>
  <c r="L16" i="44"/>
  <c r="L20" i="44"/>
  <c r="N15" i="46"/>
  <c r="L21" i="46"/>
  <c r="L16" i="47"/>
  <c r="L20" i="47"/>
  <c r="N34" i="47"/>
  <c r="Z21" i="49"/>
  <c r="L21" i="52"/>
  <c r="N16" i="43"/>
  <c r="N20" i="43"/>
  <c r="L22" i="43"/>
  <c r="L24" i="43"/>
  <c r="N15" i="44"/>
  <c r="L21" i="44"/>
  <c r="N16" i="46"/>
  <c r="N20" i="46"/>
  <c r="L22" i="46"/>
  <c r="L24" i="46"/>
  <c r="N15" i="47"/>
  <c r="L21" i="47"/>
  <c r="L29" i="47"/>
  <c r="N33" i="47"/>
  <c r="Z16" i="50"/>
  <c r="L16" i="53"/>
  <c r="L13" i="41"/>
  <c r="N21" i="41"/>
  <c r="L25" i="41"/>
  <c r="L29" i="41"/>
  <c r="L33" i="41"/>
  <c r="L34" i="41"/>
  <c r="L13" i="43"/>
  <c r="N21" i="43"/>
  <c r="L25" i="43"/>
  <c r="L29" i="43"/>
  <c r="L33" i="43"/>
  <c r="L34" i="43"/>
  <c r="N16" i="44"/>
  <c r="N20" i="44"/>
  <c r="L22" i="44"/>
  <c r="L24" i="44"/>
  <c r="L13" i="46"/>
  <c r="N21" i="46"/>
  <c r="L25" i="46"/>
  <c r="L29" i="46"/>
  <c r="L33" i="46"/>
  <c r="L34" i="46"/>
  <c r="N16" i="47"/>
  <c r="N20" i="47"/>
  <c r="L22" i="47"/>
  <c r="L24" i="47"/>
  <c r="N13" i="43"/>
  <c r="N22" i="43"/>
  <c r="N24" i="43"/>
  <c r="L13" i="44"/>
  <c r="N21" i="44"/>
  <c r="L25" i="44"/>
  <c r="L29" i="44"/>
  <c r="L33" i="44"/>
  <c r="L34" i="44"/>
  <c r="N13" i="46"/>
  <c r="N22" i="46"/>
  <c r="N24" i="46"/>
  <c r="L13" i="47"/>
  <c r="N21" i="47"/>
  <c r="L25" i="47"/>
  <c r="N29" i="47"/>
  <c r="X25" i="49"/>
  <c r="Z20" i="50"/>
  <c r="L20" i="53"/>
  <c r="X15" i="43"/>
  <c r="N25" i="43"/>
  <c r="N29" i="43"/>
  <c r="N33" i="43"/>
  <c r="N34" i="43"/>
  <c r="N13" i="44"/>
  <c r="N22" i="44"/>
  <c r="N24" i="44"/>
  <c r="X15" i="46"/>
  <c r="N25" i="46"/>
  <c r="N29" i="46"/>
  <c r="N33" i="46"/>
  <c r="N34" i="46"/>
  <c r="N13" i="47"/>
  <c r="N22" i="47"/>
  <c r="N24" i="47"/>
  <c r="X34" i="47"/>
  <c r="R21" i="49"/>
  <c r="R20" i="49"/>
  <c r="R18" i="49"/>
  <c r="R16" i="49"/>
  <c r="P18" i="49"/>
  <c r="R15" i="49"/>
  <c r="X12" i="49"/>
  <c r="R36" i="49"/>
  <c r="R34" i="49"/>
  <c r="R33" i="49"/>
  <c r="R31" i="49"/>
  <c r="R29" i="49"/>
  <c r="R27" i="49"/>
  <c r="R25" i="49"/>
  <c r="R24" i="49"/>
  <c r="R22" i="49"/>
  <c r="Z22" i="49"/>
  <c r="Z24" i="49"/>
  <c r="Z21" i="50"/>
  <c r="X25" i="50"/>
  <c r="X29" i="50"/>
  <c r="X33" i="50"/>
  <c r="X34" i="50"/>
  <c r="N16" i="52"/>
  <c r="N20" i="52"/>
  <c r="L22" i="52"/>
  <c r="L24" i="52"/>
  <c r="N15" i="53"/>
  <c r="L21" i="53"/>
  <c r="T18" i="49"/>
  <c r="V15" i="49"/>
  <c r="V36" i="49"/>
  <c r="V34" i="49"/>
  <c r="V33" i="49"/>
  <c r="V31" i="49"/>
  <c r="V29" i="49"/>
  <c r="V27" i="49"/>
  <c r="V25" i="49"/>
  <c r="V24" i="49"/>
  <c r="V22" i="49"/>
  <c r="V21" i="49"/>
  <c r="Z12" i="49"/>
  <c r="V20" i="49"/>
  <c r="V18" i="49"/>
  <c r="V16" i="49"/>
  <c r="L15" i="49"/>
  <c r="Z25" i="49"/>
  <c r="Z29" i="49"/>
  <c r="Z33" i="49"/>
  <c r="Z34" i="49"/>
  <c r="R20" i="50"/>
  <c r="R18" i="50"/>
  <c r="R16" i="50"/>
  <c r="P18" i="50"/>
  <c r="R15" i="50"/>
  <c r="X12" i="50"/>
  <c r="R36" i="50"/>
  <c r="R34" i="50"/>
  <c r="R33" i="50"/>
  <c r="R31" i="50"/>
  <c r="R29" i="50"/>
  <c r="R27" i="50"/>
  <c r="R25" i="50"/>
  <c r="R24" i="50"/>
  <c r="R22" i="50"/>
  <c r="R21" i="50"/>
  <c r="Z22" i="50"/>
  <c r="Z24" i="50"/>
  <c r="L13" i="52"/>
  <c r="N21" i="52"/>
  <c r="L25" i="52"/>
  <c r="L29" i="52"/>
  <c r="L33" i="52"/>
  <c r="L34" i="52"/>
  <c r="N16" i="53"/>
  <c r="N20" i="53"/>
  <c r="L22" i="53"/>
  <c r="L24" i="53"/>
  <c r="L16" i="49"/>
  <c r="L20" i="49"/>
  <c r="Z12" i="50"/>
  <c r="V36" i="50"/>
  <c r="V34" i="50"/>
  <c r="V33" i="50"/>
  <c r="V31" i="50"/>
  <c r="V29" i="50"/>
  <c r="V27" i="50"/>
  <c r="V25" i="50"/>
  <c r="V24" i="50"/>
  <c r="V22" i="50"/>
  <c r="V21" i="50"/>
  <c r="V20" i="50"/>
  <c r="V18" i="50"/>
  <c r="V16" i="50"/>
  <c r="T18" i="50"/>
  <c r="V15" i="50"/>
  <c r="L15" i="50"/>
  <c r="Z25" i="50"/>
  <c r="Z29" i="50"/>
  <c r="Z33" i="50"/>
  <c r="Z34" i="50"/>
  <c r="N13" i="52"/>
  <c r="N22" i="52"/>
  <c r="N24" i="52"/>
  <c r="L13" i="53"/>
  <c r="N21" i="53"/>
  <c r="L25" i="53"/>
  <c r="L29" i="53"/>
  <c r="L33" i="53"/>
  <c r="L34" i="53"/>
  <c r="L21" i="49"/>
  <c r="L16" i="50"/>
  <c r="L20" i="50"/>
  <c r="X15" i="52"/>
  <c r="N25" i="52"/>
  <c r="N29" i="52"/>
  <c r="N33" i="52"/>
  <c r="N34" i="52"/>
  <c r="N13" i="53"/>
  <c r="N22" i="53"/>
  <c r="N24" i="53"/>
  <c r="N16" i="49"/>
  <c r="N20" i="49"/>
  <c r="L22" i="49"/>
  <c r="L24" i="49"/>
  <c r="N15" i="50"/>
  <c r="L21" i="50"/>
  <c r="D18" i="52"/>
  <c r="F15" i="52"/>
  <c r="L12" i="52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X16" i="52"/>
  <c r="X20" i="52"/>
  <c r="X15" i="53"/>
  <c r="N25" i="53"/>
  <c r="N29" i="53"/>
  <c r="N33" i="53"/>
  <c r="N34" i="53"/>
  <c r="L13" i="49"/>
  <c r="N21" i="49"/>
  <c r="L25" i="49"/>
  <c r="L29" i="49"/>
  <c r="L33" i="49"/>
  <c r="L34" i="49"/>
  <c r="N16" i="50"/>
  <c r="N20" i="50"/>
  <c r="L22" i="50"/>
  <c r="L24" i="50"/>
  <c r="N12" i="52"/>
  <c r="J36" i="52"/>
  <c r="J34" i="52"/>
  <c r="J33" i="52"/>
  <c r="J31" i="52"/>
  <c r="J29" i="52"/>
  <c r="J27" i="52"/>
  <c r="J25" i="52"/>
  <c r="J24" i="52"/>
  <c r="J22" i="52"/>
  <c r="J21" i="52"/>
  <c r="J20" i="52"/>
  <c r="J18" i="52"/>
  <c r="J16" i="52"/>
  <c r="H18" i="52"/>
  <c r="J15" i="52"/>
  <c r="X13" i="52"/>
  <c r="Z15" i="52"/>
  <c r="X21" i="52"/>
  <c r="L12" i="53"/>
  <c r="F36" i="53"/>
  <c r="F34" i="53"/>
  <c r="F33" i="53"/>
  <c r="F31" i="53"/>
  <c r="F29" i="53"/>
  <c r="F27" i="53"/>
  <c r="F25" i="53"/>
  <c r="F24" i="53"/>
  <c r="F22" i="53"/>
  <c r="F21" i="53"/>
  <c r="F20" i="53"/>
  <c r="F18" i="53"/>
  <c r="F16" i="53"/>
  <c r="D18" i="53"/>
  <c r="F15" i="53"/>
  <c r="X16" i="53"/>
  <c r="X20" i="53"/>
  <c r="N13" i="49"/>
  <c r="N22" i="49"/>
  <c r="N24" i="49"/>
  <c r="L13" i="50"/>
  <c r="N21" i="50"/>
  <c r="L25" i="50"/>
  <c r="L29" i="50"/>
  <c r="L33" i="50"/>
  <c r="L34" i="50"/>
  <c r="Z13" i="52"/>
  <c r="Z16" i="52"/>
  <c r="Z20" i="52"/>
  <c r="X22" i="52"/>
  <c r="X24" i="52"/>
  <c r="N12" i="53"/>
  <c r="J36" i="53"/>
  <c r="J34" i="53"/>
  <c r="J33" i="53"/>
  <c r="J31" i="53"/>
  <c r="J29" i="53"/>
  <c r="J27" i="53"/>
  <c r="J25" i="53"/>
  <c r="J24" i="53"/>
  <c r="J22" i="53"/>
  <c r="J21" i="53"/>
  <c r="J20" i="53"/>
  <c r="J18" i="53"/>
  <c r="J16" i="53"/>
  <c r="H18" i="53"/>
  <c r="J15" i="53"/>
  <c r="X13" i="53"/>
  <c r="Z15" i="53"/>
  <c r="X21" i="53"/>
  <c r="X15" i="49"/>
  <c r="N25" i="49"/>
  <c r="N29" i="49"/>
  <c r="N33" i="49"/>
  <c r="N34" i="49"/>
  <c r="N13" i="50"/>
  <c r="N22" i="50"/>
  <c r="N24" i="50"/>
  <c r="Z21" i="52"/>
  <c r="X25" i="52"/>
  <c r="X29" i="52"/>
  <c r="X33" i="52"/>
  <c r="X34" i="52"/>
  <c r="Z13" i="53"/>
  <c r="Z16" i="53"/>
  <c r="Z20" i="53"/>
  <c r="X22" i="53"/>
  <c r="X24" i="53"/>
  <c r="L12" i="49"/>
  <c r="F36" i="49"/>
  <c r="F34" i="49"/>
  <c r="F33" i="49"/>
  <c r="F31" i="49"/>
  <c r="F29" i="49"/>
  <c r="F27" i="49"/>
  <c r="F25" i="49"/>
  <c r="F24" i="49"/>
  <c r="F22" i="49"/>
  <c r="F21" i="49"/>
  <c r="F20" i="49"/>
  <c r="D18" i="49"/>
  <c r="F15" i="49"/>
  <c r="F18" i="49"/>
  <c r="F16" i="49"/>
  <c r="X16" i="49"/>
  <c r="X20" i="49"/>
  <c r="X15" i="50"/>
  <c r="N25" i="50"/>
  <c r="N29" i="50"/>
  <c r="N33" i="50"/>
  <c r="N34" i="50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Z22" i="52"/>
  <c r="Z24" i="52"/>
  <c r="Z21" i="53"/>
  <c r="X25" i="53"/>
  <c r="X29" i="53"/>
  <c r="X33" i="53"/>
  <c r="X34" i="53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N12" i="49"/>
  <c r="X13" i="49"/>
  <c r="Z15" i="49"/>
  <c r="X21" i="49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L12" i="50"/>
  <c r="X16" i="50"/>
  <c r="X20" i="50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Z12" i="52"/>
  <c r="L15" i="52"/>
  <c r="Z25" i="52"/>
  <c r="Z29" i="52"/>
  <c r="Z33" i="52"/>
  <c r="Z34" i="52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X12" i="53"/>
  <c r="Z22" i="53"/>
  <c r="Z24" i="53"/>
  <c r="Z13" i="49"/>
  <c r="Z16" i="49"/>
  <c r="Z20" i="49"/>
  <c r="X22" i="49"/>
  <c r="X24" i="49"/>
  <c r="J36" i="50"/>
  <c r="J34" i="50"/>
  <c r="J33" i="50"/>
  <c r="J31" i="50"/>
  <c r="J29" i="50"/>
  <c r="J27" i="50"/>
  <c r="J25" i="50"/>
  <c r="J24" i="50"/>
  <c r="J22" i="50"/>
  <c r="J21" i="50"/>
  <c r="J20" i="50"/>
  <c r="J18" i="50"/>
  <c r="J16" i="50"/>
  <c r="H18" i="50"/>
  <c r="J15" i="50"/>
  <c r="N12" i="50"/>
  <c r="X13" i="50"/>
  <c r="Z15" i="50"/>
  <c r="X21" i="50"/>
  <c r="L16" i="52"/>
  <c r="L20" i="52"/>
  <c r="V24" i="53"/>
  <c r="V22" i="53"/>
  <c r="V21" i="53"/>
  <c r="V20" i="53"/>
  <c r="V18" i="53"/>
  <c r="V16" i="53"/>
  <c r="T18" i="53"/>
  <c r="V15" i="53"/>
  <c r="Z12" i="53"/>
  <c r="V36" i="53"/>
  <c r="V34" i="53"/>
  <c r="V33" i="53"/>
  <c r="V31" i="53"/>
  <c r="V29" i="53"/>
  <c r="V27" i="53"/>
  <c r="V25" i="53"/>
  <c r="L15" i="53"/>
  <c r="Z25" i="53"/>
  <c r="Z29" i="53"/>
  <c r="Z33" i="53"/>
  <c r="Z34" i="5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R21" i="110"/>
  <c r="R20" i="110"/>
  <c r="R18" i="110"/>
  <c r="R16" i="110"/>
  <c r="P18" i="110"/>
  <c r="R15" i="110"/>
  <c r="X12" i="110"/>
  <c r="R36" i="110"/>
  <c r="R29" i="110"/>
  <c r="R22" i="110"/>
  <c r="R34" i="110"/>
  <c r="R27" i="110"/>
  <c r="R33" i="110"/>
  <c r="R25" i="110"/>
  <c r="R31" i="110"/>
  <c r="R24" i="110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Z24" i="110"/>
  <c r="X24" i="111"/>
  <c r="Z29" i="110"/>
  <c r="X29" i="111"/>
  <c r="T18" i="110"/>
  <c r="V15" i="110"/>
  <c r="Z12" i="110"/>
  <c r="V36" i="110"/>
  <c r="V34" i="110"/>
  <c r="V33" i="110"/>
  <c r="V31" i="110"/>
  <c r="V29" i="110"/>
  <c r="V27" i="110"/>
  <c r="V25" i="110"/>
  <c r="V16" i="110"/>
  <c r="V21" i="110"/>
  <c r="V20" i="110"/>
  <c r="V24" i="110"/>
  <c r="V22" i="110"/>
  <c r="V18" i="110"/>
  <c r="J21" i="112"/>
  <c r="J20" i="112"/>
  <c r="J18" i="112"/>
  <c r="J16" i="112"/>
  <c r="H18" i="112"/>
  <c r="J15" i="112"/>
  <c r="N12" i="112"/>
  <c r="J36" i="112"/>
  <c r="J29" i="112"/>
  <c r="J22" i="112"/>
  <c r="J34" i="112"/>
  <c r="J27" i="112"/>
  <c r="J33" i="112"/>
  <c r="J25" i="112"/>
  <c r="J31" i="112"/>
  <c r="J24" i="112"/>
  <c r="X25" i="110"/>
  <c r="X33" i="110"/>
  <c r="X13" i="111"/>
  <c r="N25" i="112"/>
  <c r="N33" i="112"/>
  <c r="Z13" i="111"/>
  <c r="Z20" i="111"/>
  <c r="X20" i="112"/>
  <c r="L15" i="110"/>
  <c r="Z25" i="110"/>
  <c r="Z33" i="110"/>
  <c r="X25" i="111"/>
  <c r="X33" i="111"/>
  <c r="X13" i="112"/>
  <c r="Z21" i="110"/>
  <c r="X34" i="110"/>
  <c r="Z15" i="111"/>
  <c r="X21" i="111"/>
  <c r="X15" i="112"/>
  <c r="N34" i="112"/>
  <c r="Z34" i="110"/>
  <c r="Z21" i="111"/>
  <c r="X34" i="111"/>
  <c r="Z15" i="112"/>
  <c r="X21" i="112"/>
  <c r="X29" i="110"/>
  <c r="N29" i="112"/>
  <c r="Z22" i="110"/>
  <c r="Z16" i="111"/>
  <c r="X22" i="111"/>
  <c r="X16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16" i="111"/>
  <c r="R21" i="111"/>
  <c r="R20" i="111"/>
  <c r="R24" i="111"/>
  <c r="R22" i="111"/>
  <c r="R18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15" i="111"/>
  <c r="V20" i="111"/>
  <c r="V18" i="111"/>
  <c r="T18" i="111"/>
  <c r="V16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15" i="112"/>
  <c r="R20" i="112"/>
  <c r="R18" i="112"/>
  <c r="P18" i="112"/>
  <c r="R16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R218" i="3"/>
  <c r="R209" i="3"/>
  <c r="R208" i="3"/>
  <c r="R176" i="3"/>
  <c r="R169" i="3"/>
  <c r="R168" i="3"/>
  <c r="R120" i="3"/>
  <c r="R116" i="3"/>
  <c r="R219" i="3"/>
  <c r="R187" i="3"/>
  <c r="R159" i="3"/>
  <c r="R143" i="3"/>
  <c r="R107" i="3"/>
  <c r="R103" i="3"/>
  <c r="R99" i="3"/>
  <c r="R95" i="3"/>
  <c r="R91" i="3"/>
  <c r="R87" i="3"/>
  <c r="R83" i="3"/>
  <c r="R79" i="3"/>
  <c r="R220" i="3"/>
  <c r="R210" i="3"/>
  <c r="R202" i="3"/>
  <c r="R198" i="3"/>
  <c r="R194" i="3"/>
  <c r="R183" i="3"/>
  <c r="R182" i="3"/>
  <c r="R171" i="3"/>
  <c r="R170" i="3"/>
  <c r="R151" i="3"/>
  <c r="R150" i="3"/>
  <c r="R135" i="3"/>
  <c r="R134" i="3"/>
  <c r="R130" i="3"/>
  <c r="R126" i="3"/>
  <c r="R221" i="3"/>
  <c r="R178" i="3"/>
  <c r="R177" i="3"/>
  <c r="R121" i="3"/>
  <c r="R117" i="3"/>
  <c r="R223" i="3"/>
  <c r="R211" i="3"/>
  <c r="R204" i="3"/>
  <c r="R203" i="3"/>
  <c r="R199" i="3"/>
  <c r="R195" i="3"/>
  <c r="R179" i="3"/>
  <c r="R205" i="3"/>
  <c r="R185" i="3"/>
  <c r="R146" i="3"/>
  <c r="R145" i="3"/>
  <c r="R105" i="3"/>
  <c r="R213" i="3"/>
  <c r="R212" i="3"/>
  <c r="R200" i="3"/>
  <c r="R196" i="3"/>
  <c r="R180" i="3"/>
  <c r="R165" i="3"/>
  <c r="R164" i="3"/>
  <c r="R156" i="3"/>
  <c r="R132" i="3"/>
  <c r="R128" i="3"/>
  <c r="R232" i="3"/>
  <c r="R231" i="3"/>
  <c r="R214" i="3"/>
  <c r="R207" i="3"/>
  <c r="R206" i="3"/>
  <c r="R186" i="3"/>
  <c r="R167" i="3"/>
  <c r="R166" i="3"/>
  <c r="R191" i="3"/>
  <c r="R160" i="3"/>
  <c r="R141" i="3"/>
  <c r="R110" i="3"/>
  <c r="R85" i="3"/>
  <c r="R174" i="3"/>
  <c r="R137" i="3"/>
  <c r="P110" i="3"/>
  <c r="R88" i="3"/>
  <c r="R82" i="3"/>
  <c r="R100" i="3"/>
  <c r="R181" i="3"/>
  <c r="R106" i="3"/>
  <c r="R101" i="3"/>
  <c r="R193" i="3"/>
  <c r="R148" i="3"/>
  <c r="R155" i="3"/>
  <c r="R139" i="3"/>
  <c r="R124" i="3"/>
  <c r="R102" i="3"/>
  <c r="R80" i="3"/>
  <c r="R197" i="3"/>
  <c r="R172" i="3"/>
  <c r="R163" i="3"/>
  <c r="R153" i="3"/>
  <c r="R122" i="3"/>
  <c r="R97" i="3"/>
  <c r="R94" i="3"/>
  <c r="R192" i="3"/>
  <c r="R190" i="3"/>
  <c r="R161" i="3"/>
  <c r="R144" i="3"/>
  <c r="R118" i="3"/>
  <c r="R86" i="3"/>
  <c r="R104" i="3"/>
  <c r="R184" i="3"/>
  <c r="R157" i="3"/>
  <c r="R114" i="3"/>
  <c r="R112" i="3"/>
  <c r="R89" i="3"/>
  <c r="R149" i="3"/>
  <c r="R142" i="3"/>
  <c r="R227" i="3"/>
  <c r="R201" i="3"/>
  <c r="R188" i="3"/>
  <c r="R140" i="3"/>
  <c r="R92" i="3"/>
  <c r="R136" i="3"/>
  <c r="R217" i="3"/>
  <c r="R173" i="3"/>
  <c r="R147" i="3"/>
  <c r="R138" i="3"/>
  <c r="R133" i="3"/>
  <c r="R131" i="3"/>
  <c r="R108" i="3"/>
  <c r="R154" i="3"/>
  <c r="R84" i="3"/>
  <c r="R222" i="3"/>
  <c r="R129" i="3"/>
  <c r="R127" i="3"/>
  <c r="R125" i="3"/>
  <c r="R98" i="3"/>
  <c r="R81" i="3"/>
  <c r="R78" i="3"/>
  <c r="X12" i="3"/>
  <c r="R175" i="3"/>
  <c r="R189" i="3"/>
  <c r="R162" i="3"/>
  <c r="R158" i="3"/>
  <c r="R123" i="3"/>
  <c r="R119" i="3"/>
  <c r="R113" i="3"/>
  <c r="R93" i="3"/>
  <c r="R90" i="3"/>
  <c r="R152" i="3"/>
  <c r="R115" i="3"/>
  <c r="R96" i="3"/>
  <c r="T225" i="3"/>
  <c r="J78" i="3"/>
  <c r="J138" i="3"/>
  <c r="V145" i="3"/>
  <c r="J156" i="3"/>
  <c r="J171" i="3"/>
  <c r="J177" i="3"/>
  <c r="V185" i="3"/>
  <c r="Z204" i="3"/>
  <c r="V208" i="3"/>
  <c r="L32" i="9"/>
  <c r="R38" i="9"/>
  <c r="L92" i="9"/>
  <c r="P12" i="12"/>
  <c r="X13" i="12"/>
  <c r="Z13" i="12" s="1"/>
  <c r="Z118" i="12"/>
  <c r="N142" i="12"/>
  <c r="Z146" i="12"/>
  <c r="R99" i="9"/>
  <c r="R83" i="9"/>
  <c r="R71" i="9"/>
  <c r="R56" i="9"/>
  <c r="R55" i="9"/>
  <c r="R39" i="9"/>
  <c r="R35" i="9"/>
  <c r="R101" i="9"/>
  <c r="R66" i="9"/>
  <c r="R47" i="9"/>
  <c r="R46" i="9"/>
  <c r="R30" i="9"/>
  <c r="R26" i="9"/>
  <c r="R22" i="9"/>
  <c r="X12" i="9"/>
  <c r="R90" i="9"/>
  <c r="R89" i="9"/>
  <c r="R78" i="9"/>
  <c r="R77" i="9"/>
  <c r="R58" i="9"/>
  <c r="R57" i="9"/>
  <c r="R84" i="9"/>
  <c r="R72" i="9"/>
  <c r="R49" i="9"/>
  <c r="R48" i="9"/>
  <c r="R40" i="9"/>
  <c r="R36" i="9"/>
  <c r="R108" i="9"/>
  <c r="R105" i="9"/>
  <c r="R50" i="9"/>
  <c r="R93" i="9"/>
  <c r="R85" i="9"/>
  <c r="R73" i="9"/>
  <c r="R62" i="9"/>
  <c r="R61" i="9"/>
  <c r="R41" i="9"/>
  <c r="R37" i="9"/>
  <c r="R33" i="9"/>
  <c r="R81" i="9"/>
  <c r="R80" i="9"/>
  <c r="R68" i="9"/>
  <c r="R28" i="9"/>
  <c r="R24" i="9"/>
  <c r="R63" i="9"/>
  <c r="R52" i="9"/>
  <c r="R51" i="9"/>
  <c r="R20" i="9"/>
  <c r="R97" i="9"/>
  <c r="R96" i="9"/>
  <c r="R70" i="9"/>
  <c r="R69" i="9"/>
  <c r="R54" i="9"/>
  <c r="R53" i="9"/>
  <c r="R29" i="9"/>
  <c r="R25" i="9"/>
  <c r="R21" i="9"/>
  <c r="P17" i="9"/>
  <c r="R42" i="9"/>
  <c r="N92" i="9"/>
  <c r="H192" i="12"/>
  <c r="J80" i="3"/>
  <c r="V84" i="3"/>
  <c r="V87" i="3"/>
  <c r="J89" i="3"/>
  <c r="J100" i="3"/>
  <c r="V101" i="3"/>
  <c r="J103" i="3"/>
  <c r="V106" i="3"/>
  <c r="V158" i="3"/>
  <c r="L161" i="3"/>
  <c r="N161" i="3" s="1"/>
  <c r="V166" i="3"/>
  <c r="X169" i="3"/>
  <c r="Z183" i="3"/>
  <c r="V214" i="3"/>
  <c r="V225" i="3"/>
  <c r="X231" i="3"/>
  <c r="Z231" i="3" s="1"/>
  <c r="N52" i="9"/>
  <c r="F106" i="12"/>
  <c r="Z116" i="12"/>
  <c r="N123" i="12"/>
  <c r="N136" i="12"/>
  <c r="X140" i="12"/>
  <c r="Z144" i="12"/>
  <c r="F154" i="12"/>
  <c r="R34" i="9"/>
  <c r="R59" i="9"/>
  <c r="R65" i="9"/>
  <c r="V81" i="3"/>
  <c r="J83" i="3"/>
  <c r="V98" i="3"/>
  <c r="J112" i="3"/>
  <c r="J114" i="3"/>
  <c r="J118" i="3"/>
  <c r="V127" i="3"/>
  <c r="N142" i="3"/>
  <c r="J190" i="3"/>
  <c r="P22" i="6"/>
  <c r="R17" i="9"/>
  <c r="R32" i="9"/>
  <c r="R44" i="9"/>
  <c r="R86" i="9"/>
  <c r="R92" i="9"/>
  <c r="Z140" i="12"/>
  <c r="Z12" i="3"/>
  <c r="V78" i="3"/>
  <c r="V95" i="3"/>
  <c r="J97" i="3"/>
  <c r="J105" i="3"/>
  <c r="X112" i="3"/>
  <c r="J122" i="3"/>
  <c r="V131" i="3"/>
  <c r="J135" i="3"/>
  <c r="V138" i="3"/>
  <c r="J151" i="3"/>
  <c r="J159" i="3"/>
  <c r="N163" i="3"/>
  <c r="V168" i="3"/>
  <c r="Z173" i="3"/>
  <c r="V179" i="3"/>
  <c r="V203" i="3"/>
  <c r="N207" i="3"/>
  <c r="V31" i="6"/>
  <c r="V29" i="6"/>
  <c r="V28" i="6"/>
  <c r="V26" i="6"/>
  <c r="V24" i="6"/>
  <c r="Z12" i="6"/>
  <c r="X12" i="6"/>
  <c r="T16" i="6"/>
  <c r="N70" i="9"/>
  <c r="R74" i="9"/>
  <c r="R88" i="9"/>
  <c r="Z90" i="9"/>
  <c r="Z92" i="9"/>
  <c r="F92" i="12"/>
  <c r="N130" i="12"/>
  <c r="X142" i="12"/>
  <c r="Z142" i="12" s="1"/>
  <c r="P12" i="15"/>
  <c r="X19" i="15"/>
  <c r="X112" i="15"/>
  <c r="Z112" i="15" s="1"/>
  <c r="D101" i="9"/>
  <c r="N22" i="6"/>
  <c r="H26" i="6"/>
  <c r="L60" i="9"/>
  <c r="X70" i="9"/>
  <c r="R98" i="9"/>
  <c r="N128" i="12"/>
  <c r="J146" i="3"/>
  <c r="N60" i="9"/>
  <c r="Z70" i="9"/>
  <c r="R76" i="9"/>
  <c r="R82" i="9"/>
  <c r="F175" i="12"/>
  <c r="F174" i="12"/>
  <c r="F159" i="12"/>
  <c r="F182" i="12"/>
  <c r="F184" i="12"/>
  <c r="F183" i="12"/>
  <c r="F189" i="12"/>
  <c r="F180" i="12"/>
  <c r="F179" i="12"/>
  <c r="F172" i="12"/>
  <c r="F168" i="12"/>
  <c r="F152" i="12"/>
  <c r="F181" i="12"/>
  <c r="F166" i="12"/>
  <c r="F137" i="12"/>
  <c r="F136" i="12"/>
  <c r="F129" i="12"/>
  <c r="F128" i="12"/>
  <c r="F97" i="12"/>
  <c r="F93" i="12"/>
  <c r="F178" i="12"/>
  <c r="F169" i="12"/>
  <c r="F148" i="12"/>
  <c r="F120" i="12"/>
  <c r="F112" i="12"/>
  <c r="F111" i="12"/>
  <c r="F84" i="12"/>
  <c r="F80" i="12"/>
  <c r="F76" i="12"/>
  <c r="F72" i="12"/>
  <c r="F68" i="12"/>
  <c r="F64" i="12"/>
  <c r="F155" i="12"/>
  <c r="F139" i="12"/>
  <c r="F138" i="12"/>
  <c r="F131" i="12"/>
  <c r="F130" i="12"/>
  <c r="F107" i="12"/>
  <c r="F103" i="12"/>
  <c r="F163" i="12"/>
  <c r="F122" i="12"/>
  <c r="F121" i="12"/>
  <c r="F114" i="12"/>
  <c r="F113" i="12"/>
  <c r="F98" i="12"/>
  <c r="F94" i="12"/>
  <c r="F90" i="12"/>
  <c r="F89" i="12"/>
  <c r="F176" i="12"/>
  <c r="F167" i="12"/>
  <c r="F156" i="12"/>
  <c r="F141" i="12"/>
  <c r="F140" i="12"/>
  <c r="F88" i="12"/>
  <c r="F81" i="12"/>
  <c r="F77" i="12"/>
  <c r="F73" i="12"/>
  <c r="F69" i="12"/>
  <c r="F65" i="12"/>
  <c r="F170" i="12"/>
  <c r="F149" i="12"/>
  <c r="F132" i="12"/>
  <c r="F124" i="12"/>
  <c r="F123" i="12"/>
  <c r="F108" i="12"/>
  <c r="F104" i="12"/>
  <c r="D86" i="12"/>
  <c r="F187" i="12"/>
  <c r="F173" i="12"/>
  <c r="F164" i="12"/>
  <c r="F143" i="12"/>
  <c r="F142" i="12"/>
  <c r="F115" i="12"/>
  <c r="F99" i="12"/>
  <c r="F95" i="12"/>
  <c r="F91" i="12"/>
  <c r="F160" i="12"/>
  <c r="F153" i="12"/>
  <c r="F134" i="12"/>
  <c r="F133" i="12"/>
  <c r="F82" i="12"/>
  <c r="F78" i="12"/>
  <c r="F74" i="12"/>
  <c r="F70" i="12"/>
  <c r="F66" i="12"/>
  <c r="F62" i="12"/>
  <c r="F61" i="12"/>
  <c r="L12" i="12"/>
  <c r="N12" i="12" s="1"/>
  <c r="F165" i="12"/>
  <c r="F157" i="12"/>
  <c r="F150" i="12"/>
  <c r="F145" i="12"/>
  <c r="F144" i="12"/>
  <c r="F125" i="12"/>
  <c r="F117" i="12"/>
  <c r="F116" i="12"/>
  <c r="F109" i="12"/>
  <c r="F105" i="12"/>
  <c r="F101" i="12"/>
  <c r="F100" i="12"/>
  <c r="F194" i="12"/>
  <c r="F161" i="12"/>
  <c r="F151" i="12"/>
  <c r="F147" i="12"/>
  <c r="F146" i="12"/>
  <c r="F135" i="12"/>
  <c r="F127" i="12"/>
  <c r="F126" i="12"/>
  <c r="F119" i="12"/>
  <c r="F118" i="12"/>
  <c r="F83" i="12"/>
  <c r="F79" i="12"/>
  <c r="F75" i="12"/>
  <c r="F71" i="12"/>
  <c r="F67" i="12"/>
  <c r="F63" i="12"/>
  <c r="T192" i="12"/>
  <c r="N161" i="12"/>
  <c r="N174" i="12"/>
  <c r="L174" i="12"/>
  <c r="V219" i="3"/>
  <c r="V187" i="3"/>
  <c r="V183" i="3"/>
  <c r="V171" i="3"/>
  <c r="V159" i="3"/>
  <c r="V151" i="3"/>
  <c r="V143" i="3"/>
  <c r="V135" i="3"/>
  <c r="V107" i="3"/>
  <c r="V103" i="3"/>
  <c r="V99" i="3"/>
  <c r="V220" i="3"/>
  <c r="V210" i="3"/>
  <c r="V202" i="3"/>
  <c r="V198" i="3"/>
  <c r="V194" i="3"/>
  <c r="V182" i="3"/>
  <c r="V178" i="3"/>
  <c r="V170" i="3"/>
  <c r="V150" i="3"/>
  <c r="V134" i="3"/>
  <c r="V130" i="3"/>
  <c r="V126" i="3"/>
  <c r="V221" i="3"/>
  <c r="V189" i="3"/>
  <c r="V177" i="3"/>
  <c r="V173" i="3"/>
  <c r="V161" i="3"/>
  <c r="V153" i="3"/>
  <c r="V137" i="3"/>
  <c r="V121" i="3"/>
  <c r="V117" i="3"/>
  <c r="V113" i="3"/>
  <c r="V222" i="3"/>
  <c r="V204" i="3"/>
  <c r="V188" i="3"/>
  <c r="V184" i="3"/>
  <c r="V172" i="3"/>
  <c r="V160" i="3"/>
  <c r="V152" i="3"/>
  <c r="V144" i="3"/>
  <c r="V136" i="3"/>
  <c r="V112" i="3"/>
  <c r="V110" i="3"/>
  <c r="V108" i="3"/>
  <c r="V104" i="3"/>
  <c r="V100" i="3"/>
  <c r="V96" i="3"/>
  <c r="V92" i="3"/>
  <c r="V88" i="3"/>
  <c r="V190" i="3"/>
  <c r="V174" i="3"/>
  <c r="V162" i="3"/>
  <c r="V154" i="3"/>
  <c r="V212" i="3"/>
  <c r="V200" i="3"/>
  <c r="V196" i="3"/>
  <c r="V192" i="3"/>
  <c r="V180" i="3"/>
  <c r="V164" i="3"/>
  <c r="V156" i="3"/>
  <c r="V148" i="3"/>
  <c r="V140" i="3"/>
  <c r="V132" i="3"/>
  <c r="V128" i="3"/>
  <c r="V124" i="3"/>
  <c r="V232" i="3"/>
  <c r="V231" i="3"/>
  <c r="V227" i="3"/>
  <c r="V207" i="3"/>
  <c r="V191" i="3"/>
  <c r="V175" i="3"/>
  <c r="V167" i="3"/>
  <c r="V147" i="3"/>
  <c r="V139" i="3"/>
  <c r="V123" i="3"/>
  <c r="V119" i="3"/>
  <c r="V115" i="3"/>
  <c r="V217" i="3"/>
  <c r="V209" i="3"/>
  <c r="V201" i="3"/>
  <c r="V197" i="3"/>
  <c r="V193" i="3"/>
  <c r="V181" i="3"/>
  <c r="V169" i="3"/>
  <c r="V157" i="3"/>
  <c r="V149" i="3"/>
  <c r="V141" i="3"/>
  <c r="V133" i="3"/>
  <c r="V129" i="3"/>
  <c r="V125" i="3"/>
  <c r="Z112" i="3"/>
  <c r="V116" i="3"/>
  <c r="J126" i="3"/>
  <c r="J130" i="3"/>
  <c r="L155" i="3"/>
  <c r="N155" i="3" s="1"/>
  <c r="J174" i="3"/>
  <c r="V186" i="3"/>
  <c r="V199" i="3"/>
  <c r="N216" i="3"/>
  <c r="P216" i="3"/>
  <c r="X216" i="3" s="1"/>
  <c r="Z216" i="3" s="1"/>
  <c r="X221" i="3"/>
  <c r="J223" i="3"/>
  <c r="J85" i="3"/>
  <c r="V105" i="3"/>
  <c r="J107" i="3"/>
  <c r="H110" i="3"/>
  <c r="V114" i="3"/>
  <c r="V118" i="3"/>
  <c r="V120" i="3"/>
  <c r="J128" i="3"/>
  <c r="J132" i="3"/>
  <c r="V142" i="3"/>
  <c r="Z161" i="3"/>
  <c r="J180" i="3"/>
  <c r="J209" i="3"/>
  <c r="N232" i="3"/>
  <c r="V16" i="6"/>
  <c r="N45" i="9"/>
  <c r="Z54" i="9"/>
  <c r="L62" i="9"/>
  <c r="N62" i="9" s="1"/>
  <c r="R64" i="9"/>
  <c r="Z96" i="9"/>
  <c r="F102" i="12"/>
  <c r="N126" i="12"/>
  <c r="Z183" i="12"/>
  <c r="V147" i="15"/>
  <c r="V86" i="3"/>
  <c r="D12" i="3"/>
  <c r="J79" i="3"/>
  <c r="V94" i="3"/>
  <c r="J96" i="3"/>
  <c r="V97" i="3"/>
  <c r="J99" i="3"/>
  <c r="J104" i="3"/>
  <c r="J110" i="3"/>
  <c r="L113" i="3"/>
  <c r="N113" i="3" s="1"/>
  <c r="V122" i="3"/>
  <c r="J134" i="3"/>
  <c r="Z135" i="3"/>
  <c r="Z153" i="3"/>
  <c r="Z163" i="3"/>
  <c r="N167" i="3"/>
  <c r="V176" i="3"/>
  <c r="L189" i="3"/>
  <c r="N189" i="3" s="1"/>
  <c r="V211" i="3"/>
  <c r="X232" i="3"/>
  <c r="Z232" i="3" s="1"/>
  <c r="R15" i="9"/>
  <c r="R31" i="9"/>
  <c r="R60" i="9"/>
  <c r="R91" i="9"/>
  <c r="R103" i="9"/>
  <c r="F177" i="12"/>
  <c r="F188" i="12"/>
  <c r="F190" i="12"/>
  <c r="V90" i="3"/>
  <c r="V93" i="3"/>
  <c r="Z113" i="3"/>
  <c r="Z189" i="3"/>
  <c r="N231" i="3"/>
  <c r="N32" i="9"/>
  <c r="R94" i="9"/>
  <c r="V89" i="3"/>
  <c r="J227" i="3"/>
  <c r="J213" i="3"/>
  <c r="J191" i="3"/>
  <c r="J175" i="3"/>
  <c r="J165" i="3"/>
  <c r="J147" i="3"/>
  <c r="J139" i="3"/>
  <c r="J123" i="3"/>
  <c r="J119" i="3"/>
  <c r="J115" i="3"/>
  <c r="J214" i="3"/>
  <c r="J206" i="3"/>
  <c r="J192" i="3"/>
  <c r="J186" i="3"/>
  <c r="J166" i="3"/>
  <c r="J148" i="3"/>
  <c r="J140" i="3"/>
  <c r="J124" i="3"/>
  <c r="J106" i="3"/>
  <c r="J102" i="3"/>
  <c r="J98" i="3"/>
  <c r="J94" i="3"/>
  <c r="J90" i="3"/>
  <c r="J86" i="3"/>
  <c r="J82" i="3"/>
  <c r="J232" i="3"/>
  <c r="J231" i="3"/>
  <c r="J207" i="3"/>
  <c r="J201" i="3"/>
  <c r="J197" i="3"/>
  <c r="J193" i="3"/>
  <c r="J181" i="3"/>
  <c r="J167" i="3"/>
  <c r="J157" i="3"/>
  <c r="J149" i="3"/>
  <c r="J141" i="3"/>
  <c r="J133" i="3"/>
  <c r="J129" i="3"/>
  <c r="J125" i="3"/>
  <c r="J217" i="3"/>
  <c r="J216" i="3"/>
  <c r="J208" i="3"/>
  <c r="J176" i="3"/>
  <c r="J168" i="3"/>
  <c r="J158" i="3"/>
  <c r="J142" i="3"/>
  <c r="J120" i="3"/>
  <c r="J116" i="3"/>
  <c r="J219" i="3"/>
  <c r="J210" i="3"/>
  <c r="J202" i="3"/>
  <c r="J198" i="3"/>
  <c r="J194" i="3"/>
  <c r="J182" i="3"/>
  <c r="J170" i="3"/>
  <c r="J150" i="3"/>
  <c r="J221" i="3"/>
  <c r="J188" i="3"/>
  <c r="J184" i="3"/>
  <c r="J178" i="3"/>
  <c r="J172" i="3"/>
  <c r="J160" i="3"/>
  <c r="J152" i="3"/>
  <c r="J144" i="3"/>
  <c r="J136" i="3"/>
  <c r="J108" i="3"/>
  <c r="J222" i="3"/>
  <c r="J211" i="3"/>
  <c r="J203" i="3"/>
  <c r="J199" i="3"/>
  <c r="J195" i="3"/>
  <c r="J189" i="3"/>
  <c r="J179" i="3"/>
  <c r="J173" i="3"/>
  <c r="J161" i="3"/>
  <c r="J153" i="3"/>
  <c r="J137" i="3"/>
  <c r="J131" i="3"/>
  <c r="J127" i="3"/>
  <c r="J113" i="3"/>
  <c r="J205" i="3"/>
  <c r="J185" i="3"/>
  <c r="J163" i="3"/>
  <c r="J155" i="3"/>
  <c r="J145" i="3"/>
  <c r="L78" i="3"/>
  <c r="N78" i="3" s="1"/>
  <c r="V91" i="3"/>
  <c r="J93" i="3"/>
  <c r="V102" i="3"/>
  <c r="J162" i="3"/>
  <c r="V163" i="3"/>
  <c r="V165" i="3"/>
  <c r="J200" i="3"/>
  <c r="Z209" i="3"/>
  <c r="V213" i="3"/>
  <c r="V216" i="3"/>
  <c r="J220" i="3"/>
  <c r="V223" i="3"/>
  <c r="R19" i="9"/>
  <c r="R43" i="9"/>
  <c r="R45" i="9"/>
  <c r="L97" i="9"/>
  <c r="N97" i="9" s="1"/>
  <c r="D96" i="9"/>
  <c r="L96" i="9" s="1"/>
  <c r="N96" i="9" s="1"/>
  <c r="V80" i="3"/>
  <c r="V83" i="3"/>
  <c r="V79" i="3"/>
  <c r="V82" i="3"/>
  <c r="J84" i="3"/>
  <c r="J101" i="3"/>
  <c r="J117" i="3"/>
  <c r="Z137" i="3"/>
  <c r="J143" i="3"/>
  <c r="Z146" i="3"/>
  <c r="J154" i="3"/>
  <c r="V155" i="3"/>
  <c r="N158" i="3"/>
  <c r="J187" i="3"/>
  <c r="V195" i="3"/>
  <c r="J204" i="3"/>
  <c r="V206" i="3"/>
  <c r="X209" i="3"/>
  <c r="V218" i="3"/>
  <c r="R23" i="9"/>
  <c r="R27" i="9"/>
  <c r="X56" i="9"/>
  <c r="Z56" i="9" s="1"/>
  <c r="L65" i="9"/>
  <c r="N65" i="9" s="1"/>
  <c r="R67" i="9"/>
  <c r="R79" i="9"/>
  <c r="Z88" i="12"/>
  <c r="N118" i="12"/>
  <c r="N146" i="12"/>
  <c r="F162" i="12"/>
  <c r="J24" i="9"/>
  <c r="J28" i="9"/>
  <c r="F32" i="9"/>
  <c r="F33" i="9"/>
  <c r="F37" i="9"/>
  <c r="F41" i="9"/>
  <c r="V44" i="9"/>
  <c r="V56" i="9"/>
  <c r="F60" i="9"/>
  <c r="F61" i="9"/>
  <c r="J62" i="9"/>
  <c r="V64" i="9"/>
  <c r="J68" i="9"/>
  <c r="F73" i="9"/>
  <c r="V76" i="9"/>
  <c r="J80" i="9"/>
  <c r="F85" i="9"/>
  <c r="V88" i="9"/>
  <c r="F92" i="9"/>
  <c r="F93" i="9"/>
  <c r="V98" i="9"/>
  <c r="V90" i="12"/>
  <c r="V94" i="12"/>
  <c r="V98" i="12"/>
  <c r="J102" i="12"/>
  <c r="J106" i="12"/>
  <c r="J110" i="12"/>
  <c r="V114" i="12"/>
  <c r="V122" i="12"/>
  <c r="J128" i="12"/>
  <c r="J136" i="12"/>
  <c r="V142" i="12"/>
  <c r="V152" i="12"/>
  <c r="J158" i="12"/>
  <c r="J162" i="12"/>
  <c r="J62" i="15"/>
  <c r="T188" i="15"/>
  <c r="J95" i="15"/>
  <c r="J150" i="15"/>
  <c r="J156" i="15"/>
  <c r="J180" i="15"/>
  <c r="T17" i="9"/>
  <c r="F23" i="9"/>
  <c r="F27" i="9"/>
  <c r="F31" i="9"/>
  <c r="J32" i="9"/>
  <c r="V34" i="9"/>
  <c r="V38" i="9"/>
  <c r="V42" i="9"/>
  <c r="J50" i="9"/>
  <c r="V54" i="9"/>
  <c r="F58" i="9"/>
  <c r="F59" i="9"/>
  <c r="J60" i="9"/>
  <c r="F67" i="9"/>
  <c r="V70" i="9"/>
  <c r="V74" i="9"/>
  <c r="F78" i="9"/>
  <c r="F79" i="9"/>
  <c r="V82" i="9"/>
  <c r="V86" i="9"/>
  <c r="F90" i="9"/>
  <c r="F91" i="9"/>
  <c r="J92" i="9"/>
  <c r="V94" i="9"/>
  <c r="V96" i="9"/>
  <c r="F103" i="9"/>
  <c r="J182" i="12"/>
  <c r="J170" i="12"/>
  <c r="J166" i="12"/>
  <c r="J154" i="12"/>
  <c r="J183" i="12"/>
  <c r="J184" i="12"/>
  <c r="J176" i="12"/>
  <c r="J177" i="12"/>
  <c r="J190" i="12"/>
  <c r="J163" i="12"/>
  <c r="J194" i="12"/>
  <c r="V64" i="12"/>
  <c r="V68" i="12"/>
  <c r="V72" i="12"/>
  <c r="V76" i="12"/>
  <c r="V80" i="12"/>
  <c r="V84" i="12"/>
  <c r="V86" i="12"/>
  <c r="V88" i="12"/>
  <c r="J92" i="12"/>
  <c r="J96" i="12"/>
  <c r="V112" i="12"/>
  <c r="J118" i="12"/>
  <c r="V120" i="12"/>
  <c r="J126" i="12"/>
  <c r="V140" i="12"/>
  <c r="J146" i="12"/>
  <c r="J161" i="12"/>
  <c r="V166" i="12"/>
  <c r="J168" i="12"/>
  <c r="J171" i="12"/>
  <c r="J174" i="12"/>
  <c r="D12" i="15"/>
  <c r="J90" i="15"/>
  <c r="L117" i="15"/>
  <c r="N117" i="15" s="1"/>
  <c r="N122" i="15"/>
  <c r="Z125" i="15"/>
  <c r="J162" i="15"/>
  <c r="J171" i="15"/>
  <c r="H208" i="18"/>
  <c r="J23" i="9"/>
  <c r="J27" i="9"/>
  <c r="J31" i="9"/>
  <c r="F36" i="9"/>
  <c r="F40" i="9"/>
  <c r="F47" i="9"/>
  <c r="F48" i="9"/>
  <c r="J49" i="9"/>
  <c r="J59" i="9"/>
  <c r="V63" i="9"/>
  <c r="J67" i="9"/>
  <c r="F72" i="9"/>
  <c r="V75" i="9"/>
  <c r="J79" i="9"/>
  <c r="F84" i="9"/>
  <c r="V87" i="9"/>
  <c r="J91" i="9"/>
  <c r="F101" i="9"/>
  <c r="J103" i="9"/>
  <c r="V89" i="12"/>
  <c r="V93" i="12"/>
  <c r="V97" i="12"/>
  <c r="J105" i="12"/>
  <c r="J109" i="12"/>
  <c r="V113" i="12"/>
  <c r="J117" i="12"/>
  <c r="V121" i="12"/>
  <c r="J125" i="12"/>
  <c r="V129" i="12"/>
  <c r="V137" i="12"/>
  <c r="J145" i="12"/>
  <c r="N150" i="12"/>
  <c r="V154" i="12"/>
  <c r="J157" i="12"/>
  <c r="J165" i="12"/>
  <c r="V182" i="12"/>
  <c r="L187" i="12"/>
  <c r="N187" i="12" s="1"/>
  <c r="D186" i="12"/>
  <c r="L186" i="12" s="1"/>
  <c r="V194" i="12"/>
  <c r="J66" i="15"/>
  <c r="J78" i="15"/>
  <c r="J115" i="15"/>
  <c r="J131" i="15"/>
  <c r="N160" i="15"/>
  <c r="D12" i="18"/>
  <c r="L14" i="18"/>
  <c r="D201" i="18"/>
  <c r="L201" i="18" s="1"/>
  <c r="L202" i="18"/>
  <c r="D16" i="6"/>
  <c r="J36" i="9"/>
  <c r="J40" i="9"/>
  <c r="J48" i="9"/>
  <c r="J58" i="9"/>
  <c r="J72" i="9"/>
  <c r="J78" i="9"/>
  <c r="J84" i="9"/>
  <c r="J90" i="9"/>
  <c r="V102" i="12"/>
  <c r="V106" i="12"/>
  <c r="V110" i="12"/>
  <c r="V130" i="12"/>
  <c r="V138" i="12"/>
  <c r="V151" i="12"/>
  <c r="V158" i="12"/>
  <c r="X190" i="12"/>
  <c r="P186" i="12"/>
  <c r="X186" i="12" s="1"/>
  <c r="Z186" i="12" s="1"/>
  <c r="J117" i="15"/>
  <c r="J126" i="15"/>
  <c r="X152" i="15"/>
  <c r="Z152" i="15" s="1"/>
  <c r="L12" i="9"/>
  <c r="F45" i="9"/>
  <c r="F46" i="9"/>
  <c r="J47" i="9"/>
  <c r="J57" i="9"/>
  <c r="F65" i="9"/>
  <c r="F66" i="9"/>
  <c r="J77" i="9"/>
  <c r="V85" i="9"/>
  <c r="J89" i="9"/>
  <c r="V93" i="9"/>
  <c r="F99" i="9"/>
  <c r="J101" i="9"/>
  <c r="J61" i="12"/>
  <c r="V63" i="12"/>
  <c r="V67" i="12"/>
  <c r="V71" i="12"/>
  <c r="V75" i="12"/>
  <c r="V79" i="12"/>
  <c r="V83" i="12"/>
  <c r="J91" i="12"/>
  <c r="J95" i="12"/>
  <c r="J99" i="12"/>
  <c r="V111" i="12"/>
  <c r="J115" i="12"/>
  <c r="V119" i="12"/>
  <c r="V127" i="12"/>
  <c r="J133" i="12"/>
  <c r="V135" i="12"/>
  <c r="J143" i="12"/>
  <c r="V147" i="12"/>
  <c r="J173" i="12"/>
  <c r="N179" i="12"/>
  <c r="J187" i="12"/>
  <c r="J73" i="15"/>
  <c r="N87" i="15"/>
  <c r="J94" i="15"/>
  <c r="J99" i="15"/>
  <c r="J110" i="15"/>
  <c r="Z120" i="15"/>
  <c r="J155" i="15"/>
  <c r="Z136" i="18"/>
  <c r="X136" i="18"/>
  <c r="V188" i="12"/>
  <c r="V178" i="12"/>
  <c r="V162" i="12"/>
  <c r="V189" i="12"/>
  <c r="V192" i="12"/>
  <c r="V190" i="12"/>
  <c r="V180" i="12"/>
  <c r="V183" i="12"/>
  <c r="V175" i="12"/>
  <c r="V159" i="12"/>
  <c r="V155" i="12"/>
  <c r="V186" i="12"/>
  <c r="V184" i="12"/>
  <c r="V176" i="12"/>
  <c r="V92" i="12"/>
  <c r="V96" i="12"/>
  <c r="V128" i="12"/>
  <c r="V136" i="12"/>
  <c r="V165" i="12"/>
  <c r="V168" i="12"/>
  <c r="V177" i="12"/>
  <c r="N171" i="18"/>
  <c r="R26" i="6"/>
  <c r="R28" i="6"/>
  <c r="R29" i="6"/>
  <c r="R31" i="6"/>
  <c r="F15" i="9"/>
  <c r="F17" i="9"/>
  <c r="F19" i="9"/>
  <c r="V27" i="9"/>
  <c r="V31" i="9"/>
  <c r="J35" i="9"/>
  <c r="J39" i="9"/>
  <c r="F43" i="9"/>
  <c r="F44" i="9"/>
  <c r="J45" i="9"/>
  <c r="J55" i="9"/>
  <c r="V59" i="9"/>
  <c r="F64" i="9"/>
  <c r="J65" i="9"/>
  <c r="V67" i="9"/>
  <c r="J71" i="9"/>
  <c r="F75" i="9"/>
  <c r="F76" i="9"/>
  <c r="V79" i="9"/>
  <c r="J83" i="9"/>
  <c r="F87" i="9"/>
  <c r="F88" i="9"/>
  <c r="V91" i="9"/>
  <c r="F97" i="9"/>
  <c r="J98" i="9"/>
  <c r="V103" i="9"/>
  <c r="V105" i="9"/>
  <c r="V108" i="9"/>
  <c r="N61" i="12"/>
  <c r="V101" i="12"/>
  <c r="V105" i="12"/>
  <c r="V109" i="12"/>
  <c r="V117" i="12"/>
  <c r="J123" i="12"/>
  <c r="V125" i="12"/>
  <c r="J141" i="12"/>
  <c r="V145" i="12"/>
  <c r="V153" i="12"/>
  <c r="J156" i="12"/>
  <c r="V157" i="12"/>
  <c r="V160" i="12"/>
  <c r="J167" i="12"/>
  <c r="J181" i="12"/>
  <c r="V187" i="12"/>
  <c r="J173" i="15"/>
  <c r="J167" i="15"/>
  <c r="J163" i="15"/>
  <c r="J157" i="15"/>
  <c r="J151" i="15"/>
  <c r="J137" i="15"/>
  <c r="J129" i="15"/>
  <c r="J119" i="15"/>
  <c r="J111" i="15"/>
  <c r="J83" i="15"/>
  <c r="J79" i="15"/>
  <c r="J75" i="15"/>
  <c r="J71" i="15"/>
  <c r="J67" i="15"/>
  <c r="J63" i="15"/>
  <c r="J183" i="15"/>
  <c r="J182" i="15"/>
  <c r="J174" i="15"/>
  <c r="J158" i="15"/>
  <c r="J152" i="15"/>
  <c r="J146" i="15"/>
  <c r="J138" i="15"/>
  <c r="J130" i="15"/>
  <c r="J120" i="15"/>
  <c r="J112" i="15"/>
  <c r="J106" i="15"/>
  <c r="J102" i="15"/>
  <c r="J88" i="15"/>
  <c r="J184" i="15"/>
  <c r="J175" i="15"/>
  <c r="J153" i="15"/>
  <c r="J147" i="15"/>
  <c r="J139" i="15"/>
  <c r="J121" i="15"/>
  <c r="J113" i="15"/>
  <c r="J97" i="15"/>
  <c r="J93" i="15"/>
  <c r="J89" i="15"/>
  <c r="J87" i="15"/>
  <c r="J185" i="15"/>
  <c r="J176" i="15"/>
  <c r="J168" i="15"/>
  <c r="J164" i="15"/>
  <c r="J148" i="15"/>
  <c r="J140" i="15"/>
  <c r="J122" i="15"/>
  <c r="H85" i="15"/>
  <c r="J85" i="15" s="1"/>
  <c r="J80" i="15"/>
  <c r="J76" i="15"/>
  <c r="J72" i="15"/>
  <c r="J68" i="15"/>
  <c r="J64" i="15"/>
  <c r="J186" i="15"/>
  <c r="J160" i="15"/>
  <c r="J154" i="15"/>
  <c r="J142" i="15"/>
  <c r="J132" i="15"/>
  <c r="J114" i="15"/>
  <c r="J177" i="15"/>
  <c r="J169" i="15"/>
  <c r="J165" i="15"/>
  <c r="J161" i="15"/>
  <c r="J149" i="15"/>
  <c r="J143" i="15"/>
  <c r="J133" i="15"/>
  <c r="J190" i="15"/>
  <c r="J170" i="15"/>
  <c r="J144" i="15"/>
  <c r="J124" i="15"/>
  <c r="J116" i="15"/>
  <c r="J108" i="15"/>
  <c r="J104" i="15"/>
  <c r="J100" i="15"/>
  <c r="J179" i="15"/>
  <c r="J145" i="15"/>
  <c r="J135" i="15"/>
  <c r="J127" i="15"/>
  <c r="J109" i="15"/>
  <c r="J105" i="15"/>
  <c r="J101" i="15"/>
  <c r="J70" i="15"/>
  <c r="J82" i="15"/>
  <c r="J128" i="15"/>
  <c r="N139" i="15"/>
  <c r="J62" i="21"/>
  <c r="R24" i="6"/>
  <c r="H17" i="9"/>
  <c r="L17" i="9" s="1"/>
  <c r="F20" i="9"/>
  <c r="F21" i="9"/>
  <c r="F25" i="9"/>
  <c r="F29" i="9"/>
  <c r="V32" i="9"/>
  <c r="V36" i="9"/>
  <c r="V40" i="9"/>
  <c r="J44" i="9"/>
  <c r="V48" i="9"/>
  <c r="F52" i="9"/>
  <c r="F53" i="9"/>
  <c r="J54" i="9"/>
  <c r="V60" i="9"/>
  <c r="J64" i="9"/>
  <c r="F69" i="9"/>
  <c r="J70" i="9"/>
  <c r="V72" i="9"/>
  <c r="J76" i="9"/>
  <c r="V84" i="9"/>
  <c r="J88" i="9"/>
  <c r="V92" i="9"/>
  <c r="J96" i="9"/>
  <c r="J97" i="9"/>
  <c r="V62" i="12"/>
  <c r="V66" i="12"/>
  <c r="V70" i="12"/>
  <c r="V74" i="12"/>
  <c r="V78" i="12"/>
  <c r="V82" i="12"/>
  <c r="J86" i="12"/>
  <c r="J88" i="12"/>
  <c r="J90" i="12"/>
  <c r="J94" i="12"/>
  <c r="J98" i="12"/>
  <c r="J114" i="12"/>
  <c r="V118" i="12"/>
  <c r="J122" i="12"/>
  <c r="V126" i="12"/>
  <c r="V134" i="12"/>
  <c r="J140" i="12"/>
  <c r="V146" i="12"/>
  <c r="J152" i="12"/>
  <c r="J159" i="12"/>
  <c r="V161" i="12"/>
  <c r="V173" i="12"/>
  <c r="V174" i="12"/>
  <c r="J65" i="15"/>
  <c r="V87" i="15"/>
  <c r="J91" i="15"/>
  <c r="J96" i="15"/>
  <c r="J103" i="15"/>
  <c r="J107" i="15"/>
  <c r="Z110" i="15"/>
  <c r="Z117" i="15"/>
  <c r="L125" i="15"/>
  <c r="N125" i="15" s="1"/>
  <c r="J134" i="15"/>
  <c r="X139" i="15"/>
  <c r="J141" i="15"/>
  <c r="J159" i="15"/>
  <c r="N170" i="15"/>
  <c r="L170" i="15"/>
  <c r="N175" i="15"/>
  <c r="X184" i="15"/>
  <c r="Z184" i="15" s="1"/>
  <c r="P12" i="18"/>
  <c r="Z56" i="21"/>
  <c r="V56" i="21"/>
  <c r="J15" i="9"/>
  <c r="J17" i="9"/>
  <c r="J19" i="9"/>
  <c r="J21" i="9"/>
  <c r="J25" i="9"/>
  <c r="J29" i="9"/>
  <c r="F34" i="9"/>
  <c r="F38" i="9"/>
  <c r="F42" i="9"/>
  <c r="J43" i="9"/>
  <c r="V49" i="9"/>
  <c r="J53" i="9"/>
  <c r="V57" i="9"/>
  <c r="J69" i="9"/>
  <c r="F74" i="9"/>
  <c r="J75" i="9"/>
  <c r="V77" i="9"/>
  <c r="F81" i="9"/>
  <c r="F82" i="9"/>
  <c r="F86" i="9"/>
  <c r="J87" i="9"/>
  <c r="V89" i="9"/>
  <c r="F94" i="9"/>
  <c r="J89" i="12"/>
  <c r="V91" i="12"/>
  <c r="V95" i="12"/>
  <c r="V99" i="12"/>
  <c r="J103" i="12"/>
  <c r="J107" i="12"/>
  <c r="J113" i="12"/>
  <c r="V115" i="12"/>
  <c r="J121" i="12"/>
  <c r="J131" i="12"/>
  <c r="J139" i="12"/>
  <c r="V143" i="12"/>
  <c r="V150" i="12"/>
  <c r="X161" i="12"/>
  <c r="Z161" i="12" s="1"/>
  <c r="V170" i="12"/>
  <c r="J172" i="12"/>
  <c r="X174" i="12"/>
  <c r="Z174" i="12" s="1"/>
  <c r="N186" i="12"/>
  <c r="J77" i="15"/>
  <c r="J98" i="15"/>
  <c r="J123" i="15"/>
  <c r="J136" i="15"/>
  <c r="Z139" i="15"/>
  <c r="J172" i="15"/>
  <c r="Z182" i="15"/>
  <c r="N156" i="18"/>
  <c r="Z12" i="9"/>
  <c r="J20" i="9"/>
  <c r="V22" i="9"/>
  <c r="V26" i="9"/>
  <c r="V30" i="9"/>
  <c r="J34" i="9"/>
  <c r="J38" i="9"/>
  <c r="J42" i="9"/>
  <c r="V46" i="9"/>
  <c r="F51" i="9"/>
  <c r="J52" i="9"/>
  <c r="V58" i="9"/>
  <c r="F62" i="9"/>
  <c r="V66" i="9"/>
  <c r="J74" i="9"/>
  <c r="V78" i="9"/>
  <c r="J82" i="9"/>
  <c r="J86" i="9"/>
  <c r="J64" i="12"/>
  <c r="J68" i="12"/>
  <c r="J72" i="12"/>
  <c r="J76" i="12"/>
  <c r="J80" i="12"/>
  <c r="J84" i="12"/>
  <c r="V100" i="12"/>
  <c r="V104" i="12"/>
  <c r="V108" i="12"/>
  <c r="J112" i="12"/>
  <c r="V116" i="12"/>
  <c r="J120" i="12"/>
  <c r="V124" i="12"/>
  <c r="J130" i="12"/>
  <c r="V132" i="12"/>
  <c r="J138" i="12"/>
  <c r="V144" i="12"/>
  <c r="J148" i="12"/>
  <c r="V149" i="12"/>
  <c r="J155" i="12"/>
  <c r="V156" i="12"/>
  <c r="Z164" i="12"/>
  <c r="V167" i="12"/>
  <c r="J169" i="12"/>
  <c r="J178" i="12"/>
  <c r="V179" i="12"/>
  <c r="V181" i="12"/>
  <c r="J186" i="12"/>
  <c r="J118" i="15"/>
  <c r="J125" i="15"/>
  <c r="V139" i="15"/>
  <c r="X147" i="15"/>
  <c r="Z147" i="15" s="1"/>
  <c r="J166" i="15"/>
  <c r="Z175" i="15"/>
  <c r="V89" i="15"/>
  <c r="V93" i="15"/>
  <c r="V97" i="15"/>
  <c r="V113" i="15"/>
  <c r="V121" i="15"/>
  <c r="V141" i="15"/>
  <c r="V153" i="15"/>
  <c r="V185" i="15"/>
  <c r="Z106" i="18"/>
  <c r="V108" i="18"/>
  <c r="V121" i="18"/>
  <c r="X194" i="18"/>
  <c r="Z194" i="18" s="1"/>
  <c r="Z18" i="24"/>
  <c r="T62" i="24"/>
  <c r="V88" i="15"/>
  <c r="V92" i="15"/>
  <c r="V96" i="15"/>
  <c r="V112" i="15"/>
  <c r="V120" i="15"/>
  <c r="V128" i="15"/>
  <c r="V136" i="15"/>
  <c r="V152" i="15"/>
  <c r="V156" i="15"/>
  <c r="V172" i="15"/>
  <c r="V180" i="15"/>
  <c r="V182" i="15"/>
  <c r="V198" i="18"/>
  <c r="V190" i="18"/>
  <c r="V174" i="18"/>
  <c r="V154" i="18"/>
  <c r="V146" i="18"/>
  <c r="V114" i="18"/>
  <c r="V110" i="18"/>
  <c r="V197" i="18"/>
  <c r="V185" i="18"/>
  <c r="V181" i="18"/>
  <c r="V169" i="18"/>
  <c r="V153" i="18"/>
  <c r="V145" i="18"/>
  <c r="V137" i="18"/>
  <c r="V129" i="18"/>
  <c r="V101" i="18"/>
  <c r="V97" i="18"/>
  <c r="V93" i="18"/>
  <c r="V89" i="18"/>
  <c r="V85" i="18"/>
  <c r="V81" i="18"/>
  <c r="V77" i="18"/>
  <c r="V210" i="18"/>
  <c r="V192" i="18"/>
  <c r="V176" i="18"/>
  <c r="V164" i="18"/>
  <c r="V156" i="18"/>
  <c r="V148" i="18"/>
  <c r="V128" i="18"/>
  <c r="V124" i="18"/>
  <c r="V120" i="18"/>
  <c r="V201" i="18"/>
  <c r="V199" i="18"/>
  <c r="V191" i="18"/>
  <c r="V175" i="18"/>
  <c r="V171" i="18"/>
  <c r="V155" i="18"/>
  <c r="V147" i="18"/>
  <c r="V139" i="18"/>
  <c r="V131" i="18"/>
  <c r="V115" i="18"/>
  <c r="V111" i="18"/>
  <c r="V107" i="18"/>
  <c r="V202" i="18"/>
  <c r="V194" i="18"/>
  <c r="V186" i="18"/>
  <c r="V182" i="18"/>
  <c r="V170" i="18"/>
  <c r="V166" i="18"/>
  <c r="V158" i="18"/>
  <c r="V138" i="18"/>
  <c r="V130" i="18"/>
  <c r="V106" i="18"/>
  <c r="V104" i="18"/>
  <c r="V102" i="18"/>
  <c r="V98" i="18"/>
  <c r="V94" i="18"/>
  <c r="V90" i="18"/>
  <c r="V86" i="18"/>
  <c r="V82" i="18"/>
  <c r="V78" i="18"/>
  <c r="V74" i="18"/>
  <c r="V203" i="18"/>
  <c r="V204" i="18"/>
  <c r="V172" i="18"/>
  <c r="V205" i="18"/>
  <c r="V195" i="18"/>
  <c r="V187" i="18"/>
  <c r="V183" i="18"/>
  <c r="V179" i="18"/>
  <c r="V167" i="18"/>
  <c r="V159" i="18"/>
  <c r="V151" i="18"/>
  <c r="V99" i="18"/>
  <c r="V95" i="18"/>
  <c r="V91" i="18"/>
  <c r="V87" i="18"/>
  <c r="V83" i="18"/>
  <c r="V79" i="18"/>
  <c r="V75" i="18"/>
  <c r="V206" i="18"/>
  <c r="V178" i="18"/>
  <c r="V162" i="18"/>
  <c r="V150" i="18"/>
  <c r="V142" i="18"/>
  <c r="V134" i="18"/>
  <c r="V126" i="18"/>
  <c r="V122" i="18"/>
  <c r="V118" i="18"/>
  <c r="V196" i="18"/>
  <c r="V188" i="18"/>
  <c r="V184" i="18"/>
  <c r="V180" i="18"/>
  <c r="V168" i="18"/>
  <c r="V152" i="18"/>
  <c r="V144" i="18"/>
  <c r="V136" i="18"/>
  <c r="V100" i="18"/>
  <c r="V96" i="18"/>
  <c r="V92" i="18"/>
  <c r="V88" i="18"/>
  <c r="V84" i="18"/>
  <c r="V133" i="18"/>
  <c r="V135" i="18"/>
  <c r="N144" i="18"/>
  <c r="L148" i="18"/>
  <c r="N148" i="18" s="1"/>
  <c r="V157" i="18"/>
  <c r="N176" i="18"/>
  <c r="N69" i="21"/>
  <c r="L69" i="21"/>
  <c r="J69" i="21"/>
  <c r="N107" i="18"/>
  <c r="F20" i="24"/>
  <c r="F18" i="24"/>
  <c r="F52" i="24"/>
  <c r="F51" i="24"/>
  <c r="F40" i="24"/>
  <c r="F36" i="24"/>
  <c r="F32" i="24"/>
  <c r="D18" i="24"/>
  <c r="F62" i="24"/>
  <c r="F60" i="24"/>
  <c r="F27" i="24"/>
  <c r="F23" i="24"/>
  <c r="F64" i="24"/>
  <c r="F42" i="24"/>
  <c r="F41" i="24"/>
  <c r="F53" i="24"/>
  <c r="F37" i="24"/>
  <c r="F33" i="24"/>
  <c r="F69" i="24"/>
  <c r="F66" i="24"/>
  <c r="F55" i="24"/>
  <c r="F54" i="24"/>
  <c r="F46" i="24"/>
  <c r="F45" i="24"/>
  <c r="F38" i="24"/>
  <c r="F34" i="24"/>
  <c r="F57" i="24"/>
  <c r="F56" i="24"/>
  <c r="F29" i="24"/>
  <c r="F25" i="24"/>
  <c r="F31" i="24"/>
  <c r="F24" i="24"/>
  <c r="F43" i="24"/>
  <c r="F22" i="24"/>
  <c r="L12" i="24"/>
  <c r="F49" i="24"/>
  <c r="F15" i="24"/>
  <c r="F30" i="24"/>
  <c r="F44" i="24"/>
  <c r="F16" i="24"/>
  <c r="F50" i="24"/>
  <c r="F47" i="24"/>
  <c r="F28" i="24"/>
  <c r="F58" i="24"/>
  <c r="F26" i="24"/>
  <c r="F21" i="24"/>
  <c r="N74" i="18"/>
  <c r="X118" i="18"/>
  <c r="Z118" i="18" s="1"/>
  <c r="Z144" i="18"/>
  <c r="L156" i="18"/>
  <c r="V100" i="15"/>
  <c r="V104" i="15"/>
  <c r="V108" i="15"/>
  <c r="V116" i="15"/>
  <c r="V124" i="15"/>
  <c r="X127" i="15"/>
  <c r="Z127" i="15" s="1"/>
  <c r="X135" i="15"/>
  <c r="Z135" i="15" s="1"/>
  <c r="L141" i="15"/>
  <c r="N141" i="15" s="1"/>
  <c r="V144" i="15"/>
  <c r="X179" i="15"/>
  <c r="Z179" i="15" s="1"/>
  <c r="V190" i="15"/>
  <c r="L74" i="18"/>
  <c r="L136" i="18"/>
  <c r="N201" i="18"/>
  <c r="T208" i="18"/>
  <c r="P81" i="21"/>
  <c r="Z67" i="21"/>
  <c r="V67" i="21"/>
  <c r="L13" i="15"/>
  <c r="N13" i="15" s="1"/>
  <c r="V61" i="15"/>
  <c r="V69" i="15"/>
  <c r="V73" i="15"/>
  <c r="V77" i="15"/>
  <c r="V81" i="15"/>
  <c r="V117" i="15"/>
  <c r="V125" i="15"/>
  <c r="V133" i="15"/>
  <c r="V149" i="15"/>
  <c r="V161" i="15"/>
  <c r="V165" i="15"/>
  <c r="V169" i="15"/>
  <c r="V177" i="15"/>
  <c r="Z107" i="18"/>
  <c r="V112" i="18"/>
  <c r="L158" i="18"/>
  <c r="N158" i="18" s="1"/>
  <c r="N166" i="18"/>
  <c r="L192" i="18"/>
  <c r="V90" i="15"/>
  <c r="V94" i="15"/>
  <c r="V98" i="15"/>
  <c r="V114" i="15"/>
  <c r="V142" i="15"/>
  <c r="V154" i="15"/>
  <c r="V170" i="15"/>
  <c r="L106" i="18"/>
  <c r="N106" i="18" s="1"/>
  <c r="N136" i="18"/>
  <c r="V143" i="18"/>
  <c r="X158" i="18"/>
  <c r="Z158" i="18" s="1"/>
  <c r="V189" i="18"/>
  <c r="Z201" i="18"/>
  <c r="X205" i="18"/>
  <c r="P201" i="18"/>
  <c r="X201" i="18" s="1"/>
  <c r="V99" i="15"/>
  <c r="V103" i="15"/>
  <c r="V107" i="15"/>
  <c r="V115" i="15"/>
  <c r="V123" i="15"/>
  <c r="V131" i="15"/>
  <c r="V143" i="15"/>
  <c r="Z74" i="18"/>
  <c r="X106" i="18"/>
  <c r="V132" i="18"/>
  <c r="X141" i="18"/>
  <c r="Z141" i="18" s="1"/>
  <c r="X166" i="18"/>
  <c r="Z166" i="18" s="1"/>
  <c r="V177" i="18"/>
  <c r="N194" i="18"/>
  <c r="N21" i="24"/>
  <c r="J104" i="18"/>
  <c r="J106" i="18"/>
  <c r="J108" i="18"/>
  <c r="J112" i="18"/>
  <c r="J116" i="18"/>
  <c r="J132" i="18"/>
  <c r="J140" i="18"/>
  <c r="J158" i="18"/>
  <c r="J166" i="18"/>
  <c r="J172" i="18"/>
  <c r="J194" i="18"/>
  <c r="J203" i="18"/>
  <c r="R62" i="21"/>
  <c r="R61" i="21"/>
  <c r="R41" i="21"/>
  <c r="R37" i="21"/>
  <c r="R33" i="21"/>
  <c r="R69" i="21"/>
  <c r="R68" i="21"/>
  <c r="R76" i="21"/>
  <c r="R75" i="21"/>
  <c r="R63" i="21"/>
  <c r="R52" i="21"/>
  <c r="R51" i="21"/>
  <c r="R70" i="21"/>
  <c r="R43" i="21"/>
  <c r="R42" i="21"/>
  <c r="R38" i="21"/>
  <c r="R34" i="21"/>
  <c r="R15" i="21"/>
  <c r="R77" i="21"/>
  <c r="R83" i="21"/>
  <c r="R65" i="21"/>
  <c r="R58" i="21"/>
  <c r="R57" i="21"/>
  <c r="R22" i="21"/>
  <c r="R17" i="21"/>
  <c r="R19" i="21"/>
  <c r="R24" i="21"/>
  <c r="R27" i="21"/>
  <c r="R56" i="21"/>
  <c r="R59" i="21"/>
  <c r="R67" i="21"/>
  <c r="Z83" i="27"/>
  <c r="J78" i="18"/>
  <c r="J82" i="18"/>
  <c r="J86" i="18"/>
  <c r="J90" i="18"/>
  <c r="J94" i="18"/>
  <c r="J98" i="18"/>
  <c r="J102" i="18"/>
  <c r="J130" i="18"/>
  <c r="J138" i="18"/>
  <c r="J148" i="18"/>
  <c r="J156" i="18"/>
  <c r="J170" i="18"/>
  <c r="L171" i="18"/>
  <c r="J176" i="18"/>
  <c r="J182" i="18"/>
  <c r="J186" i="18"/>
  <c r="X189" i="18"/>
  <c r="Z189" i="18" s="1"/>
  <c r="J192" i="18"/>
  <c r="X12" i="21"/>
  <c r="Z12" i="21" s="1"/>
  <c r="Z62" i="21"/>
  <c r="L64" i="30"/>
  <c r="N64" i="30" s="1"/>
  <c r="N20" i="33"/>
  <c r="H22" i="33"/>
  <c r="J20" i="33"/>
  <c r="J111" i="18"/>
  <c r="J115" i="18"/>
  <c r="J129" i="18"/>
  <c r="J147" i="18"/>
  <c r="J155" i="18"/>
  <c r="J175" i="18"/>
  <c r="J191" i="18"/>
  <c r="J199" i="18"/>
  <c r="R44" i="21"/>
  <c r="R55" i="21"/>
  <c r="V62" i="21"/>
  <c r="R72" i="21"/>
  <c r="R42" i="24"/>
  <c r="X92" i="27"/>
  <c r="J64" i="30"/>
  <c r="J198" i="18"/>
  <c r="R26" i="21"/>
  <c r="R48" i="21"/>
  <c r="R64" i="21"/>
  <c r="R66" i="21"/>
  <c r="X68" i="27"/>
  <c r="Z68" i="27" s="1"/>
  <c r="V64" i="33"/>
  <c r="V56" i="33"/>
  <c r="V48" i="33"/>
  <c r="V32" i="33"/>
  <c r="V28" i="33"/>
  <c r="V59" i="33"/>
  <c r="V47" i="33"/>
  <c r="V66" i="33"/>
  <c r="V58" i="33"/>
  <c r="V50" i="33"/>
  <c r="V42" i="33"/>
  <c r="V38" i="33"/>
  <c r="V65" i="33"/>
  <c r="V61" i="33"/>
  <c r="V49" i="33"/>
  <c r="V33" i="33"/>
  <c r="V29" i="33"/>
  <c r="V25" i="33"/>
  <c r="V69" i="33"/>
  <c r="V67" i="33"/>
  <c r="V51" i="33"/>
  <c r="V53" i="33"/>
  <c r="V44" i="33"/>
  <c r="V40" i="33"/>
  <c r="V36" i="33"/>
  <c r="V63" i="33"/>
  <c r="V55" i="33"/>
  <c r="V31" i="33"/>
  <c r="V27" i="33"/>
  <c r="V74" i="33"/>
  <c r="V37" i="33"/>
  <c r="V30" i="33"/>
  <c r="V26" i="33"/>
  <c r="V24" i="33"/>
  <c r="V20" i="33"/>
  <c r="V62" i="33"/>
  <c r="V60" i="33"/>
  <c r="V54" i="33"/>
  <c r="V52" i="33"/>
  <c r="V57" i="33"/>
  <c r="V46" i="33"/>
  <c r="V34" i="33"/>
  <c r="V35" i="33"/>
  <c r="V70" i="33"/>
  <c r="V39" i="33"/>
  <c r="V43" i="33"/>
  <c r="V41" i="33"/>
  <c r="T22" i="33"/>
  <c r="J110" i="18"/>
  <c r="J114" i="18"/>
  <c r="J136" i="18"/>
  <c r="J144" i="18"/>
  <c r="J174" i="18"/>
  <c r="J190" i="18"/>
  <c r="R74" i="21"/>
  <c r="N76" i="21"/>
  <c r="R16" i="24"/>
  <c r="L20" i="24"/>
  <c r="N20" i="24" s="1"/>
  <c r="N30" i="24"/>
  <c r="D12" i="27"/>
  <c r="L13" i="27"/>
  <c r="N13" i="27" s="1"/>
  <c r="Z108" i="30"/>
  <c r="D12" i="33"/>
  <c r="L13" i="33"/>
  <c r="N13" i="33" s="1"/>
  <c r="J119" i="18"/>
  <c r="J123" i="18"/>
  <c r="J127" i="18"/>
  <c r="J135" i="18"/>
  <c r="J143" i="18"/>
  <c r="J163" i="18"/>
  <c r="J189" i="18"/>
  <c r="R32" i="21"/>
  <c r="R40" i="21"/>
  <c r="L45" i="21"/>
  <c r="N45" i="21" s="1"/>
  <c r="J76" i="21"/>
  <c r="L79" i="21"/>
  <c r="R32" i="24"/>
  <c r="N49" i="24"/>
  <c r="R52" i="24"/>
  <c r="R64" i="24"/>
  <c r="N43" i="27"/>
  <c r="L146" i="30"/>
  <c r="N146" i="30" s="1"/>
  <c r="J76" i="18"/>
  <c r="J80" i="18"/>
  <c r="J84" i="18"/>
  <c r="J88" i="18"/>
  <c r="J92" i="18"/>
  <c r="J96" i="18"/>
  <c r="J100" i="18"/>
  <c r="J118" i="18"/>
  <c r="J134" i="18"/>
  <c r="J152" i="18"/>
  <c r="J162" i="18"/>
  <c r="J168" i="18"/>
  <c r="J180" i="18"/>
  <c r="J184" i="18"/>
  <c r="J188" i="18"/>
  <c r="J196" i="18"/>
  <c r="J208" i="18"/>
  <c r="D12" i="21"/>
  <c r="R25" i="21"/>
  <c r="R46" i="21"/>
  <c r="R47" i="21"/>
  <c r="R54" i="21"/>
  <c r="N56" i="21"/>
  <c r="L67" i="21"/>
  <c r="R81" i="21"/>
  <c r="Z20" i="24"/>
  <c r="J109" i="18"/>
  <c r="J113" i="18"/>
  <c r="J117" i="18"/>
  <c r="J133" i="18"/>
  <c r="J151" i="18"/>
  <c r="J161" i="18"/>
  <c r="J173" i="18"/>
  <c r="J179" i="18"/>
  <c r="J206" i="18"/>
  <c r="R21" i="21"/>
  <c r="R28" i="21"/>
  <c r="R31" i="21"/>
  <c r="Z47" i="21"/>
  <c r="R50" i="21"/>
  <c r="R60" i="21"/>
  <c r="L62" i="21"/>
  <c r="N62" i="21" s="1"/>
  <c r="R71" i="21"/>
  <c r="R69" i="24"/>
  <c r="R66" i="24"/>
  <c r="R54" i="24"/>
  <c r="R53" i="24"/>
  <c r="R37" i="24"/>
  <c r="R33" i="24"/>
  <c r="R45" i="24"/>
  <c r="R44" i="24"/>
  <c r="R28" i="24"/>
  <c r="R24" i="24"/>
  <c r="R56" i="24"/>
  <c r="R55" i="24"/>
  <c r="R47" i="24"/>
  <c r="R46" i="24"/>
  <c r="R38" i="24"/>
  <c r="R34" i="24"/>
  <c r="R15" i="24"/>
  <c r="R57" i="24"/>
  <c r="R30" i="24"/>
  <c r="R29" i="24"/>
  <c r="R25" i="24"/>
  <c r="R39" i="24"/>
  <c r="R35" i="24"/>
  <c r="R31" i="24"/>
  <c r="R20" i="24"/>
  <c r="R18" i="24"/>
  <c r="R58" i="24"/>
  <c r="R51" i="24"/>
  <c r="R50" i="24"/>
  <c r="R26" i="24"/>
  <c r="R22" i="24"/>
  <c r="P18" i="24"/>
  <c r="X12" i="24"/>
  <c r="R62" i="24"/>
  <c r="R60" i="24"/>
  <c r="R27" i="24"/>
  <c r="R36" i="24"/>
  <c r="V45" i="33"/>
  <c r="J122" i="18"/>
  <c r="J126" i="18"/>
  <c r="J142" i="18"/>
  <c r="J150" i="18"/>
  <c r="J160" i="18"/>
  <c r="J178" i="18"/>
  <c r="R16" i="21"/>
  <c r="R53" i="21"/>
  <c r="N67" i="21"/>
  <c r="H62" i="24"/>
  <c r="N18" i="24"/>
  <c r="R49" i="24"/>
  <c r="X76" i="27"/>
  <c r="Z89" i="27"/>
  <c r="X89" i="27"/>
  <c r="N94" i="30"/>
  <c r="L94" i="30"/>
  <c r="L114" i="30"/>
  <c r="N114" i="30" s="1"/>
  <c r="J16" i="21"/>
  <c r="T19" i="21"/>
  <c r="X19" i="21" s="1"/>
  <c r="V32" i="21"/>
  <c r="V36" i="21"/>
  <c r="V40" i="21"/>
  <c r="J44" i="21"/>
  <c r="V48" i="21"/>
  <c r="J54" i="21"/>
  <c r="V60" i="21"/>
  <c r="J64" i="21"/>
  <c r="V72" i="21"/>
  <c r="J16" i="24"/>
  <c r="J30" i="24"/>
  <c r="V32" i="24"/>
  <c r="V36" i="24"/>
  <c r="V40" i="24"/>
  <c r="J48" i="24"/>
  <c r="V52" i="24"/>
  <c r="X43" i="27"/>
  <c r="Z43" i="27" s="1"/>
  <c r="J47" i="27"/>
  <c r="J54" i="27"/>
  <c r="L74" i="27"/>
  <c r="N74" i="27" s="1"/>
  <c r="X80" i="27"/>
  <c r="Z80" i="27" s="1"/>
  <c r="Z85" i="27"/>
  <c r="Z75" i="30"/>
  <c r="N86" i="30"/>
  <c r="L92" i="30"/>
  <c r="N92" i="30" s="1"/>
  <c r="L112" i="30"/>
  <c r="Z122" i="30"/>
  <c r="Z57" i="33"/>
  <c r="Z70" i="27"/>
  <c r="X86" i="30"/>
  <c r="Z86" i="30" s="1"/>
  <c r="N104" i="30"/>
  <c r="N112" i="30"/>
  <c r="Z118" i="30"/>
  <c r="L24" i="33"/>
  <c r="N24" i="33" s="1"/>
  <c r="V43" i="27"/>
  <c r="N96" i="30"/>
  <c r="X106" i="30"/>
  <c r="J24" i="33"/>
  <c r="Z106" i="30"/>
  <c r="Z114" i="30"/>
  <c r="F99" i="42"/>
  <c r="F91" i="42"/>
  <c r="F87" i="42"/>
  <c r="F83" i="42"/>
  <c r="F71" i="42"/>
  <c r="F63" i="42"/>
  <c r="F62" i="42"/>
  <c r="F43" i="42"/>
  <c r="F39" i="42"/>
  <c r="F35" i="42"/>
  <c r="F30" i="42"/>
  <c r="F26" i="42"/>
  <c r="F101" i="42"/>
  <c r="F100" i="42"/>
  <c r="F93" i="42"/>
  <c r="F92" i="42"/>
  <c r="F77" i="42"/>
  <c r="F73" i="42"/>
  <c r="F72" i="42"/>
  <c r="F65" i="42"/>
  <c r="F64" i="42"/>
  <c r="F53" i="42"/>
  <c r="F45" i="42"/>
  <c r="F44" i="42"/>
  <c r="F88" i="42"/>
  <c r="F84" i="42"/>
  <c r="F40" i="42"/>
  <c r="F36" i="42"/>
  <c r="F104" i="42"/>
  <c r="F79" i="42"/>
  <c r="F78" i="42"/>
  <c r="F67" i="42"/>
  <c r="F66" i="42"/>
  <c r="F55" i="42"/>
  <c r="F54" i="42"/>
  <c r="F47" i="42"/>
  <c r="F105" i="42"/>
  <c r="F94" i="42"/>
  <c r="F74" i="42"/>
  <c r="F96" i="42"/>
  <c r="F95" i="42"/>
  <c r="F75" i="42"/>
  <c r="F59" i="42"/>
  <c r="F58" i="42"/>
  <c r="F51" i="42"/>
  <c r="F50" i="42"/>
  <c r="F22" i="42"/>
  <c r="F110" i="42"/>
  <c r="F98" i="42"/>
  <c r="F97" i="42"/>
  <c r="F90" i="42"/>
  <c r="F86" i="42"/>
  <c r="F82" i="42"/>
  <c r="F70" i="42"/>
  <c r="F69" i="42"/>
  <c r="F42" i="42"/>
  <c r="F38" i="42"/>
  <c r="F34" i="42"/>
  <c r="F33" i="42"/>
  <c r="F61" i="42"/>
  <c r="F60" i="42"/>
  <c r="F29" i="42"/>
  <c r="F25" i="42"/>
  <c r="F56" i="42"/>
  <c r="F37" i="42"/>
  <c r="L12" i="42"/>
  <c r="N12" i="42" s="1"/>
  <c r="F41" i="42"/>
  <c r="F17" i="42"/>
  <c r="F81" i="42"/>
  <c r="F31" i="42"/>
  <c r="F18" i="42"/>
  <c r="F46" i="42"/>
  <c r="F27" i="42"/>
  <c r="F23" i="42"/>
  <c r="F85" i="42"/>
  <c r="F57" i="42"/>
  <c r="F80" i="42"/>
  <c r="F32" i="42"/>
  <c r="F76" i="42"/>
  <c r="F68" i="42"/>
  <c r="F24" i="42"/>
  <c r="F89" i="42"/>
  <c r="F28" i="42"/>
  <c r="D20" i="42"/>
  <c r="F48" i="42"/>
  <c r="F52" i="42"/>
  <c r="F106" i="42"/>
  <c r="F49" i="42"/>
  <c r="P12" i="42"/>
  <c r="X14" i="42"/>
  <c r="L45" i="24"/>
  <c r="N45" i="24" s="1"/>
  <c r="X51" i="24"/>
  <c r="J66" i="24"/>
  <c r="J69" i="24"/>
  <c r="X88" i="30"/>
  <c r="Z88" i="30" s="1"/>
  <c r="Z92" i="30"/>
  <c r="Z98" i="30"/>
  <c r="V106" i="30"/>
  <c r="X108" i="30"/>
  <c r="Z112" i="30"/>
  <c r="L125" i="30"/>
  <c r="N125" i="30" s="1"/>
  <c r="J33" i="21"/>
  <c r="J37" i="21"/>
  <c r="J41" i="21"/>
  <c r="V45" i="21"/>
  <c r="V53" i="21"/>
  <c r="J61" i="21"/>
  <c r="J67" i="21"/>
  <c r="V77" i="21"/>
  <c r="V79" i="21"/>
  <c r="L13" i="24"/>
  <c r="J33" i="24"/>
  <c r="J37" i="24"/>
  <c r="J43" i="24"/>
  <c r="J53" i="24"/>
  <c r="P12" i="30"/>
  <c r="H19" i="21"/>
  <c r="J32" i="21"/>
  <c r="V34" i="21"/>
  <c r="V38" i="21"/>
  <c r="V42" i="21"/>
  <c r="J50" i="21"/>
  <c r="V54" i="21"/>
  <c r="J60" i="21"/>
  <c r="J66" i="21"/>
  <c r="V70" i="21"/>
  <c r="J74" i="21"/>
  <c r="V30" i="24"/>
  <c r="V34" i="24"/>
  <c r="V38" i="24"/>
  <c r="J42" i="24"/>
  <c r="J64" i="24"/>
  <c r="J96" i="27"/>
  <c r="J95" i="27"/>
  <c r="J87" i="27"/>
  <c r="J79" i="27"/>
  <c r="J67" i="27"/>
  <c r="J39" i="27"/>
  <c r="J35" i="27"/>
  <c r="J31" i="27"/>
  <c r="J97" i="27"/>
  <c r="J80" i="27"/>
  <c r="J68" i="27"/>
  <c r="J62" i="27"/>
  <c r="J58" i="27"/>
  <c r="J44" i="27"/>
  <c r="J98" i="27"/>
  <c r="J81" i="27"/>
  <c r="J69" i="27"/>
  <c r="J53" i="27"/>
  <c r="J49" i="27"/>
  <c r="J45" i="27"/>
  <c r="J43" i="27"/>
  <c r="J41" i="27"/>
  <c r="J88" i="27"/>
  <c r="J70" i="27"/>
  <c r="H41" i="27"/>
  <c r="J36" i="27"/>
  <c r="J32" i="27"/>
  <c r="J83" i="27"/>
  <c r="J73" i="27"/>
  <c r="J55" i="27"/>
  <c r="J37" i="27"/>
  <c r="J33" i="27"/>
  <c r="J29" i="27"/>
  <c r="J84" i="27"/>
  <c r="J74" i="27"/>
  <c r="J64" i="27"/>
  <c r="J60" i="27"/>
  <c r="J56" i="27"/>
  <c r="J93" i="27"/>
  <c r="J77" i="27"/>
  <c r="J65" i="27"/>
  <c r="J61" i="27"/>
  <c r="J57" i="27"/>
  <c r="J46" i="27"/>
  <c r="J71" i="27"/>
  <c r="J76" i="27"/>
  <c r="N65" i="30"/>
  <c r="L65" i="30"/>
  <c r="L24" i="39"/>
  <c r="N24" i="39" s="1"/>
  <c r="J73" i="21"/>
  <c r="P12" i="27"/>
  <c r="X14" i="27"/>
  <c r="T100" i="27"/>
  <c r="N101" i="30"/>
  <c r="L101" i="30"/>
  <c r="N25" i="33"/>
  <c r="J22" i="21"/>
  <c r="J36" i="21"/>
  <c r="J40" i="21"/>
  <c r="J48" i="21"/>
  <c r="V52" i="21"/>
  <c r="J58" i="21"/>
  <c r="V68" i="21"/>
  <c r="J32" i="24"/>
  <c r="J36" i="24"/>
  <c r="J40" i="24"/>
  <c r="J52" i="24"/>
  <c r="J60" i="24"/>
  <c r="V41" i="27"/>
  <c r="Z66" i="27"/>
  <c r="L70" i="27"/>
  <c r="N70" i="27" s="1"/>
  <c r="N85" i="27"/>
  <c r="L89" i="27"/>
  <c r="N89" i="27" s="1"/>
  <c r="P95" i="27"/>
  <c r="X95" i="27" s="1"/>
  <c r="Z95" i="27" s="1"/>
  <c r="H150" i="30"/>
  <c r="N142" i="30"/>
  <c r="L142" i="30"/>
  <c r="L20" i="33"/>
  <c r="V45" i="27"/>
  <c r="V49" i="27"/>
  <c r="V53" i="27"/>
  <c r="V69" i="27"/>
  <c r="V81" i="27"/>
  <c r="V89" i="27"/>
  <c r="V68" i="30"/>
  <c r="V72" i="30"/>
  <c r="J76" i="30"/>
  <c r="J80" i="30"/>
  <c r="J84" i="30"/>
  <c r="V88" i="30"/>
  <c r="J94" i="30"/>
  <c r="V108" i="30"/>
  <c r="J114" i="30"/>
  <c r="V116" i="30"/>
  <c r="J120" i="30"/>
  <c r="V128" i="30"/>
  <c r="V132" i="30"/>
  <c r="X25" i="33"/>
  <c r="Z25" i="33" s="1"/>
  <c r="N52" i="33"/>
  <c r="Z61" i="33"/>
  <c r="V112" i="36"/>
  <c r="V110" i="36"/>
  <c r="V102" i="36"/>
  <c r="V86" i="36"/>
  <c r="V82" i="36"/>
  <c r="V114" i="36"/>
  <c r="V104" i="36"/>
  <c r="V88" i="36"/>
  <c r="V76" i="36"/>
  <c r="V68" i="36"/>
  <c r="V105" i="36"/>
  <c r="V77" i="36"/>
  <c r="V69" i="36"/>
  <c r="V119" i="36"/>
  <c r="V107" i="36"/>
  <c r="V99" i="36"/>
  <c r="V95" i="36"/>
  <c r="V91" i="36"/>
  <c r="V79" i="36"/>
  <c r="V71" i="36"/>
  <c r="V74" i="36"/>
  <c r="V62" i="36"/>
  <c r="V108" i="36"/>
  <c r="V100" i="36"/>
  <c r="V96" i="36"/>
  <c r="V92" i="36"/>
  <c r="V80" i="36"/>
  <c r="V64" i="36"/>
  <c r="V94" i="36"/>
  <c r="V49" i="36"/>
  <c r="V45" i="36"/>
  <c r="V41" i="36"/>
  <c r="V98" i="36"/>
  <c r="V85" i="36"/>
  <c r="V63" i="36"/>
  <c r="V52" i="36"/>
  <c r="V36" i="36"/>
  <c r="V32" i="36"/>
  <c r="V28" i="36"/>
  <c r="V113" i="36"/>
  <c r="V83" i="36"/>
  <c r="V70" i="36"/>
  <c r="V59" i="36"/>
  <c r="V51" i="36"/>
  <c r="V27" i="36"/>
  <c r="V23" i="36"/>
  <c r="V101" i="36"/>
  <c r="V73" i="36"/>
  <c r="V54" i="36"/>
  <c r="V46" i="36"/>
  <c r="V42" i="36"/>
  <c r="T25" i="36"/>
  <c r="V25" i="36" s="1"/>
  <c r="V60" i="36"/>
  <c r="V53" i="36"/>
  <c r="V37" i="36"/>
  <c r="V33" i="36"/>
  <c r="V29" i="36"/>
  <c r="V89" i="36"/>
  <c r="V67" i="36"/>
  <c r="V56" i="36"/>
  <c r="V20" i="36"/>
  <c r="V106" i="36"/>
  <c r="V103" i="36"/>
  <c r="V55" i="36"/>
  <c r="V47" i="36"/>
  <c r="V43" i="36"/>
  <c r="V39" i="36"/>
  <c r="V93" i="36"/>
  <c r="V38" i="36"/>
  <c r="V34" i="36"/>
  <c r="V30" i="36"/>
  <c r="V109" i="36"/>
  <c r="V97" i="36"/>
  <c r="V84" i="36"/>
  <c r="V65" i="36"/>
  <c r="V57" i="36"/>
  <c r="V21" i="36"/>
  <c r="V115" i="36"/>
  <c r="V87" i="36"/>
  <c r="V72" i="36"/>
  <c r="V61" i="36"/>
  <c r="V48" i="36"/>
  <c r="V44" i="36"/>
  <c r="V40" i="36"/>
  <c r="Z12" i="36"/>
  <c r="R44" i="36"/>
  <c r="Z50" i="36"/>
  <c r="V44" i="27"/>
  <c r="V48" i="27"/>
  <c r="V52" i="27"/>
  <c r="V68" i="27"/>
  <c r="V80" i="27"/>
  <c r="V96" i="27"/>
  <c r="D12" i="30"/>
  <c r="J65" i="30"/>
  <c r="V67" i="30"/>
  <c r="V71" i="30"/>
  <c r="J79" i="30"/>
  <c r="J83" i="30"/>
  <c r="J91" i="30"/>
  <c r="V95" i="30"/>
  <c r="J101" i="30"/>
  <c r="V103" i="30"/>
  <c r="J111" i="30"/>
  <c r="V115" i="30"/>
  <c r="J119" i="30"/>
  <c r="V127" i="30"/>
  <c r="V131" i="30"/>
  <c r="V57" i="27"/>
  <c r="V61" i="27"/>
  <c r="V65" i="27"/>
  <c r="V77" i="27"/>
  <c r="V93" i="27"/>
  <c r="V95" i="27"/>
  <c r="J146" i="30"/>
  <c r="J145" i="30"/>
  <c r="J147" i="30"/>
  <c r="J136" i="30"/>
  <c r="J48" i="30"/>
  <c r="J52" i="30"/>
  <c r="J56" i="30"/>
  <c r="J60" i="30"/>
  <c r="V76" i="30"/>
  <c r="V80" i="30"/>
  <c r="V84" i="30"/>
  <c r="J90" i="30"/>
  <c r="V96" i="30"/>
  <c r="J100" i="30"/>
  <c r="V104" i="30"/>
  <c r="J110" i="30"/>
  <c r="J118" i="30"/>
  <c r="V120" i="30"/>
  <c r="J124" i="30"/>
  <c r="J134" i="30"/>
  <c r="L137" i="30"/>
  <c r="V139" i="30"/>
  <c r="J141" i="30"/>
  <c r="X20" i="33"/>
  <c r="X24" i="33"/>
  <c r="Z50" i="33"/>
  <c r="T109" i="39"/>
  <c r="J89" i="30"/>
  <c r="V93" i="30"/>
  <c r="J109" i="30"/>
  <c r="V113" i="30"/>
  <c r="J117" i="30"/>
  <c r="J129" i="30"/>
  <c r="J133" i="30"/>
  <c r="V135" i="30"/>
  <c r="V138" i="30"/>
  <c r="R75" i="36"/>
  <c r="R113" i="36"/>
  <c r="R112" i="36"/>
  <c r="R97" i="36"/>
  <c r="R93" i="36"/>
  <c r="R66" i="36"/>
  <c r="R65" i="36"/>
  <c r="R98" i="36"/>
  <c r="R94" i="36"/>
  <c r="R90" i="36"/>
  <c r="R84" i="36"/>
  <c r="R119" i="36"/>
  <c r="R107" i="36"/>
  <c r="R99" i="36"/>
  <c r="R95" i="36"/>
  <c r="R91" i="36"/>
  <c r="R79" i="36"/>
  <c r="R72" i="36"/>
  <c r="R71" i="36"/>
  <c r="R60" i="36"/>
  <c r="R85" i="36"/>
  <c r="R74" i="36"/>
  <c r="R73" i="36"/>
  <c r="R62" i="36"/>
  <c r="R61" i="36"/>
  <c r="R58" i="36"/>
  <c r="R22" i="36"/>
  <c r="R100" i="36"/>
  <c r="R92" i="36"/>
  <c r="R81" i="36"/>
  <c r="R78" i="36"/>
  <c r="R69" i="36"/>
  <c r="R50" i="36"/>
  <c r="R49" i="36"/>
  <c r="R45" i="36"/>
  <c r="R41" i="36"/>
  <c r="R96" i="36"/>
  <c r="R63" i="36"/>
  <c r="R36" i="36"/>
  <c r="R32" i="36"/>
  <c r="R88" i="36"/>
  <c r="R83" i="36"/>
  <c r="R76" i="36"/>
  <c r="R64" i="36"/>
  <c r="R59" i="36"/>
  <c r="R52" i="36"/>
  <c r="R51" i="36"/>
  <c r="R28" i="36"/>
  <c r="R23" i="36"/>
  <c r="R110" i="36"/>
  <c r="R105" i="36"/>
  <c r="R70" i="36"/>
  <c r="R46" i="36"/>
  <c r="R42" i="36"/>
  <c r="R27" i="36"/>
  <c r="R25" i="36"/>
  <c r="R101" i="36"/>
  <c r="R54" i="36"/>
  <c r="R53" i="36"/>
  <c r="R37" i="36"/>
  <c r="R33" i="36"/>
  <c r="R29" i="36"/>
  <c r="P25" i="36"/>
  <c r="R67" i="36"/>
  <c r="R114" i="36"/>
  <c r="R108" i="36"/>
  <c r="R103" i="36"/>
  <c r="R89" i="36"/>
  <c r="R86" i="36"/>
  <c r="R82" i="36"/>
  <c r="R56" i="36"/>
  <c r="R55" i="36"/>
  <c r="R47" i="36"/>
  <c r="R43" i="36"/>
  <c r="R20" i="36"/>
  <c r="R106" i="36"/>
  <c r="R39" i="36"/>
  <c r="R38" i="36"/>
  <c r="R34" i="36"/>
  <c r="R30" i="36"/>
  <c r="R77" i="36"/>
  <c r="R68" i="36"/>
  <c r="R57" i="36"/>
  <c r="R21" i="36"/>
  <c r="R87" i="36"/>
  <c r="X15" i="30"/>
  <c r="V102" i="30"/>
  <c r="J108" i="30"/>
  <c r="V114" i="30"/>
  <c r="V126" i="30"/>
  <c r="V130" i="30"/>
  <c r="J148" i="30"/>
  <c r="Z24" i="33"/>
  <c r="Z69" i="33"/>
  <c r="X66" i="36"/>
  <c r="L114" i="36"/>
  <c r="V56" i="27"/>
  <c r="V60" i="27"/>
  <c r="V64" i="27"/>
  <c r="V76" i="27"/>
  <c r="V84" i="27"/>
  <c r="V92" i="27"/>
  <c r="D95" i="27"/>
  <c r="L95" i="27" s="1"/>
  <c r="N95" i="27" s="1"/>
  <c r="J51" i="30"/>
  <c r="J55" i="30"/>
  <c r="J59" i="30"/>
  <c r="T62" i="30"/>
  <c r="V75" i="30"/>
  <c r="V79" i="30"/>
  <c r="V83" i="30"/>
  <c r="J87" i="30"/>
  <c r="L88" i="30"/>
  <c r="N88" i="30" s="1"/>
  <c r="V91" i="30"/>
  <c r="X94" i="30"/>
  <c r="J99" i="30"/>
  <c r="J107" i="30"/>
  <c r="L108" i="30"/>
  <c r="N108" i="30" s="1"/>
  <c r="V111" i="30"/>
  <c r="X114" i="30"/>
  <c r="V119" i="30"/>
  <c r="J123" i="30"/>
  <c r="J137" i="30"/>
  <c r="Z66" i="33"/>
  <c r="Z66" i="36"/>
  <c r="N106" i="36"/>
  <c r="V29" i="27"/>
  <c r="V33" i="27"/>
  <c r="V37" i="27"/>
  <c r="V73" i="27"/>
  <c r="V85" i="27"/>
  <c r="V141" i="30"/>
  <c r="V145" i="30"/>
  <c r="V143" i="30"/>
  <c r="V146" i="30"/>
  <c r="V152" i="30"/>
  <c r="V140" i="30"/>
  <c r="V48" i="30"/>
  <c r="V52" i="30"/>
  <c r="V56" i="30"/>
  <c r="V60" i="30"/>
  <c r="V62" i="30"/>
  <c r="V64" i="30"/>
  <c r="J68" i="30"/>
  <c r="J72" i="30"/>
  <c r="J86" i="30"/>
  <c r="V92" i="30"/>
  <c r="J98" i="30"/>
  <c r="V100" i="30"/>
  <c r="J106" i="30"/>
  <c r="V112" i="30"/>
  <c r="J116" i="30"/>
  <c r="J122" i="30"/>
  <c r="V124" i="30"/>
  <c r="J128" i="30"/>
  <c r="J132" i="30"/>
  <c r="X137" i="30"/>
  <c r="J140" i="30"/>
  <c r="P145" i="30"/>
  <c r="X145" i="30" s="1"/>
  <c r="Z145" i="30" s="1"/>
  <c r="J152" i="30"/>
  <c r="N57" i="33"/>
  <c r="J57" i="33"/>
  <c r="L61" i="33"/>
  <c r="D12" i="36"/>
  <c r="L16" i="36"/>
  <c r="N16" i="36" s="1"/>
  <c r="R35" i="36"/>
  <c r="X62" i="36"/>
  <c r="V66" i="36"/>
  <c r="R80" i="36"/>
  <c r="L106" i="36"/>
  <c r="F97" i="39"/>
  <c r="F96" i="39"/>
  <c r="F69" i="39"/>
  <c r="F33" i="39"/>
  <c r="F29" i="39"/>
  <c r="F25" i="39"/>
  <c r="F24" i="39"/>
  <c r="F76" i="39"/>
  <c r="F60" i="39"/>
  <c r="F59" i="39"/>
  <c r="F52" i="39"/>
  <c r="F51" i="39"/>
  <c r="F23" i="39"/>
  <c r="F111" i="39"/>
  <c r="F99" i="39"/>
  <c r="F98" i="39"/>
  <c r="F91" i="39"/>
  <c r="F87" i="39"/>
  <c r="F83" i="39"/>
  <c r="F71" i="39"/>
  <c r="F70" i="39"/>
  <c r="F43" i="39"/>
  <c r="F39" i="39"/>
  <c r="F35" i="39"/>
  <c r="F34" i="39"/>
  <c r="D21" i="39"/>
  <c r="F77" i="39"/>
  <c r="F53" i="39"/>
  <c r="F100" i="39"/>
  <c r="F92" i="39"/>
  <c r="F88" i="39"/>
  <c r="F84" i="39"/>
  <c r="F72" i="39"/>
  <c r="F64" i="39"/>
  <c r="F63" i="39"/>
  <c r="F44" i="39"/>
  <c r="F40" i="39"/>
  <c r="F36" i="39"/>
  <c r="F102" i="39"/>
  <c r="F101" i="39"/>
  <c r="F94" i="39"/>
  <c r="F93" i="39"/>
  <c r="F78" i="39"/>
  <c r="F74" i="39"/>
  <c r="F73" i="39"/>
  <c r="F66" i="39"/>
  <c r="F65" i="39"/>
  <c r="F54" i="39"/>
  <c r="F46" i="39"/>
  <c r="F45" i="39"/>
  <c r="F18" i="39"/>
  <c r="F17" i="39"/>
  <c r="F89" i="39"/>
  <c r="F85" i="39"/>
  <c r="F41" i="39"/>
  <c r="F37" i="39"/>
  <c r="F106" i="39"/>
  <c r="F104" i="39"/>
  <c r="F95" i="39"/>
  <c r="F75" i="39"/>
  <c r="F19" i="39"/>
  <c r="F82" i="39"/>
  <c r="F50" i="39"/>
  <c r="F80" i="39"/>
  <c r="F58" i="39"/>
  <c r="F55" i="39"/>
  <c r="F48" i="39"/>
  <c r="F105" i="39"/>
  <c r="F86" i="39"/>
  <c r="F67" i="39"/>
  <c r="F90" i="39"/>
  <c r="F31" i="39"/>
  <c r="L12" i="39"/>
  <c r="F56" i="39"/>
  <c r="F27" i="39"/>
  <c r="F68" i="39"/>
  <c r="F61" i="39"/>
  <c r="F81" i="39"/>
  <c r="F49" i="39"/>
  <c r="F79" i="39"/>
  <c r="F57" i="39"/>
  <c r="F32" i="39"/>
  <c r="V46" i="27"/>
  <c r="V50" i="27"/>
  <c r="V54" i="27"/>
  <c r="V74" i="27"/>
  <c r="V82" i="27"/>
  <c r="V90" i="27"/>
  <c r="V102" i="27"/>
  <c r="V65" i="30"/>
  <c r="V69" i="30"/>
  <c r="V73" i="30"/>
  <c r="J77" i="30"/>
  <c r="J81" i="30"/>
  <c r="J85" i="30"/>
  <c r="V89" i="30"/>
  <c r="J97" i="30"/>
  <c r="V101" i="30"/>
  <c r="J105" i="30"/>
  <c r="V109" i="30"/>
  <c r="V117" i="30"/>
  <c r="J121" i="30"/>
  <c r="V125" i="30"/>
  <c r="V129" i="30"/>
  <c r="V133" i="30"/>
  <c r="Z134" i="30"/>
  <c r="L25" i="33"/>
  <c r="N54" i="36"/>
  <c r="N56" i="36"/>
  <c r="Z62" i="36"/>
  <c r="V55" i="27"/>
  <c r="V59" i="27"/>
  <c r="V63" i="27"/>
  <c r="V71" i="27"/>
  <c r="J50" i="30"/>
  <c r="J54" i="30"/>
  <c r="J58" i="30"/>
  <c r="V78" i="30"/>
  <c r="V82" i="30"/>
  <c r="V90" i="30"/>
  <c r="J96" i="30"/>
  <c r="J104" i="30"/>
  <c r="V110" i="30"/>
  <c r="V118" i="30"/>
  <c r="V134" i="30"/>
  <c r="V148" i="30"/>
  <c r="P12" i="33"/>
  <c r="Z35" i="33"/>
  <c r="Z46" i="33"/>
  <c r="N61" i="33"/>
  <c r="R31" i="36"/>
  <c r="X44" i="42"/>
  <c r="Z44" i="42" s="1"/>
  <c r="J25" i="33"/>
  <c r="J39" i="33"/>
  <c r="J43" i="33"/>
  <c r="J51" i="33"/>
  <c r="J61" i="33"/>
  <c r="J67" i="33"/>
  <c r="H25" i="36"/>
  <c r="J54" i="36"/>
  <c r="N60" i="36"/>
  <c r="J71" i="36"/>
  <c r="J82" i="36"/>
  <c r="J86" i="36"/>
  <c r="J95" i="36"/>
  <c r="J99" i="36"/>
  <c r="Z104" i="36"/>
  <c r="N34" i="39"/>
  <c r="V106" i="42"/>
  <c r="V94" i="42"/>
  <c r="V74" i="42"/>
  <c r="V58" i="42"/>
  <c r="V50" i="42"/>
  <c r="V22" i="42"/>
  <c r="V18" i="42"/>
  <c r="V97" i="42"/>
  <c r="V89" i="42"/>
  <c r="V85" i="42"/>
  <c r="V81" i="42"/>
  <c r="V69" i="42"/>
  <c r="V57" i="42"/>
  <c r="V49" i="42"/>
  <c r="V41" i="42"/>
  <c r="V37" i="42"/>
  <c r="V33" i="42"/>
  <c r="V96" i="42"/>
  <c r="V68" i="42"/>
  <c r="V60" i="42"/>
  <c r="V32" i="42"/>
  <c r="V28" i="42"/>
  <c r="V24" i="42"/>
  <c r="V75" i="42"/>
  <c r="V59" i="42"/>
  <c r="V51" i="42"/>
  <c r="V110" i="42"/>
  <c r="V98" i="42"/>
  <c r="V90" i="42"/>
  <c r="V86" i="42"/>
  <c r="V82" i="42"/>
  <c r="V70" i="42"/>
  <c r="V62" i="42"/>
  <c r="V61" i="42"/>
  <c r="V29" i="42"/>
  <c r="V25" i="42"/>
  <c r="V99" i="42"/>
  <c r="V91" i="42"/>
  <c r="V87" i="42"/>
  <c r="V83" i="42"/>
  <c r="V78" i="42"/>
  <c r="V66" i="42"/>
  <c r="V54" i="42"/>
  <c r="V46" i="42"/>
  <c r="V30" i="42"/>
  <c r="V26" i="42"/>
  <c r="V103" i="42"/>
  <c r="V101" i="42"/>
  <c r="V93" i="42"/>
  <c r="V77" i="42"/>
  <c r="V73" i="42"/>
  <c r="V65" i="42"/>
  <c r="V53" i="42"/>
  <c r="V45" i="42"/>
  <c r="V104" i="42"/>
  <c r="V88" i="42"/>
  <c r="V84" i="42"/>
  <c r="V80" i="42"/>
  <c r="V56" i="42"/>
  <c r="V48" i="42"/>
  <c r="V40" i="42"/>
  <c r="V36" i="42"/>
  <c r="V52" i="42"/>
  <c r="V31" i="42"/>
  <c r="V23" i="42"/>
  <c r="V100" i="42"/>
  <c r="V79" i="42"/>
  <c r="V72" i="42"/>
  <c r="V27" i="42"/>
  <c r="V67" i="42"/>
  <c r="V63" i="42"/>
  <c r="V44" i="42"/>
  <c r="V105" i="42"/>
  <c r="V34" i="42"/>
  <c r="V55" i="42"/>
  <c r="V38" i="42"/>
  <c r="T20" i="42"/>
  <c r="V20" i="42" s="1"/>
  <c r="V76" i="42"/>
  <c r="V64" i="42"/>
  <c r="V42" i="42"/>
  <c r="V17" i="42"/>
  <c r="V47" i="42"/>
  <c r="V71" i="42"/>
  <c r="V35" i="42"/>
  <c r="J50" i="33"/>
  <c r="J60" i="33"/>
  <c r="J66" i="33"/>
  <c r="J25" i="36"/>
  <c r="J27" i="36"/>
  <c r="J29" i="36"/>
  <c r="J33" i="36"/>
  <c r="J37" i="36"/>
  <c r="J53" i="36"/>
  <c r="J60" i="36"/>
  <c r="J91" i="36"/>
  <c r="J101" i="36"/>
  <c r="D104" i="39"/>
  <c r="L104" i="39" s="1"/>
  <c r="J29" i="33"/>
  <c r="J33" i="33"/>
  <c r="J49" i="33"/>
  <c r="J59" i="33"/>
  <c r="J65" i="33"/>
  <c r="J28" i="36"/>
  <c r="J42" i="36"/>
  <c r="J46" i="36"/>
  <c r="J52" i="36"/>
  <c r="J79" i="36"/>
  <c r="J105" i="36"/>
  <c r="J110" i="36"/>
  <c r="J50" i="36"/>
  <c r="J113" i="36"/>
  <c r="Z57" i="39"/>
  <c r="L50" i="42"/>
  <c r="N50" i="42" s="1"/>
  <c r="J50" i="42"/>
  <c r="X20" i="36"/>
  <c r="Z20" i="36" s="1"/>
  <c r="L50" i="36"/>
  <c r="N50" i="36" s="1"/>
  <c r="X56" i="36"/>
  <c r="Z56" i="36" s="1"/>
  <c r="J81" i="36"/>
  <c r="X104" i="39"/>
  <c r="J37" i="33"/>
  <c r="J41" i="33"/>
  <c r="J45" i="33"/>
  <c r="L46" i="33"/>
  <c r="N46" i="33" s="1"/>
  <c r="X52" i="33"/>
  <c r="Z52" i="33" s="1"/>
  <c r="J108" i="36"/>
  <c r="J100" i="36"/>
  <c r="J96" i="36"/>
  <c r="J92" i="36"/>
  <c r="J80" i="36"/>
  <c r="J74" i="36"/>
  <c r="J97" i="36"/>
  <c r="J93" i="36"/>
  <c r="J87" i="36"/>
  <c r="J65" i="36"/>
  <c r="J114" i="36"/>
  <c r="J103" i="36"/>
  <c r="J89" i="36"/>
  <c r="J83" i="36"/>
  <c r="J67" i="36"/>
  <c r="J115" i="36"/>
  <c r="J104" i="36"/>
  <c r="J98" i="36"/>
  <c r="J94" i="36"/>
  <c r="J90" i="36"/>
  <c r="J68" i="36"/>
  <c r="J106" i="36"/>
  <c r="J84" i="36"/>
  <c r="J78" i="36"/>
  <c r="J70" i="36"/>
  <c r="X13" i="36"/>
  <c r="Z13" i="36" s="1"/>
  <c r="J22" i="36"/>
  <c r="J58" i="36"/>
  <c r="J107" i="36"/>
  <c r="P12" i="39"/>
  <c r="Z49" i="39"/>
  <c r="J74" i="33"/>
  <c r="J31" i="36"/>
  <c r="J35" i="36"/>
  <c r="J62" i="36"/>
  <c r="Z64" i="36"/>
  <c r="J66" i="36"/>
  <c r="N72" i="36"/>
  <c r="L104" i="36"/>
  <c r="N104" i="36" s="1"/>
  <c r="Z23" i="39"/>
  <c r="V95" i="42"/>
  <c r="J55" i="33"/>
  <c r="J63" i="33"/>
  <c r="J40" i="36"/>
  <c r="J44" i="36"/>
  <c r="J48" i="36"/>
  <c r="J72" i="36"/>
  <c r="J75" i="36"/>
  <c r="J102" i="36"/>
  <c r="J109" i="36"/>
  <c r="J36" i="33"/>
  <c r="J40" i="33"/>
  <c r="J44" i="33"/>
  <c r="J54" i="33"/>
  <c r="J21" i="36"/>
  <c r="J39" i="36"/>
  <c r="J57" i="36"/>
  <c r="J61" i="36"/>
  <c r="J77" i="36"/>
  <c r="J112" i="36"/>
  <c r="J119" i="36"/>
  <c r="N12" i="39"/>
  <c r="J24" i="39"/>
  <c r="V26" i="39"/>
  <c r="V30" i="39"/>
  <c r="J38" i="39"/>
  <c r="J42" i="39"/>
  <c r="J50" i="39"/>
  <c r="J58" i="39"/>
  <c r="V62" i="39"/>
  <c r="J82" i="39"/>
  <c r="J86" i="39"/>
  <c r="J90" i="39"/>
  <c r="J96" i="39"/>
  <c r="J107" i="39"/>
  <c r="H20" i="42"/>
  <c r="N62" i="42"/>
  <c r="N64" i="42"/>
  <c r="D12" i="45"/>
  <c r="J28" i="39"/>
  <c r="J32" i="39"/>
  <c r="J48" i="39"/>
  <c r="V52" i="39"/>
  <c r="J56" i="39"/>
  <c r="V60" i="39"/>
  <c r="J68" i="39"/>
  <c r="V76" i="39"/>
  <c r="J80" i="39"/>
  <c r="J104" i="39"/>
  <c r="J105" i="39"/>
  <c r="Z56" i="42"/>
  <c r="R31" i="45"/>
  <c r="N56" i="45"/>
  <c r="N73" i="45"/>
  <c r="N19" i="48"/>
  <c r="V25" i="39"/>
  <c r="V29" i="39"/>
  <c r="V33" i="39"/>
  <c r="J37" i="39"/>
  <c r="J41" i="39"/>
  <c r="J47" i="39"/>
  <c r="J55" i="39"/>
  <c r="V61" i="39"/>
  <c r="J67" i="39"/>
  <c r="V69" i="39"/>
  <c r="J79" i="39"/>
  <c r="J85" i="39"/>
  <c r="J89" i="39"/>
  <c r="V97" i="39"/>
  <c r="Z62" i="42"/>
  <c r="X64" i="42"/>
  <c r="Z64" i="42" s="1"/>
  <c r="N80" i="42"/>
  <c r="D103" i="42"/>
  <c r="L103" i="42" s="1"/>
  <c r="X50" i="48"/>
  <c r="Z50" i="48" s="1"/>
  <c r="J78" i="39"/>
  <c r="V90" i="39"/>
  <c r="J94" i="39"/>
  <c r="V98" i="39"/>
  <c r="J102" i="39"/>
  <c r="L80" i="51"/>
  <c r="N80" i="51" s="1"/>
  <c r="J17" i="39"/>
  <c r="V19" i="39"/>
  <c r="V21" i="39"/>
  <c r="V23" i="39"/>
  <c r="J27" i="39"/>
  <c r="J31" i="39"/>
  <c r="J45" i="39"/>
  <c r="V51" i="39"/>
  <c r="V59" i="39"/>
  <c r="J65" i="39"/>
  <c r="J73" i="39"/>
  <c r="V75" i="39"/>
  <c r="J93" i="39"/>
  <c r="V95" i="39"/>
  <c r="J101" i="39"/>
  <c r="V107" i="39"/>
  <c r="V109" i="39"/>
  <c r="N72" i="42"/>
  <c r="Z80" i="42"/>
  <c r="N100" i="42"/>
  <c r="Z73" i="45"/>
  <c r="J64" i="39"/>
  <c r="J72" i="39"/>
  <c r="V80" i="39"/>
  <c r="J84" i="39"/>
  <c r="J88" i="39"/>
  <c r="J92" i="39"/>
  <c r="V96" i="39"/>
  <c r="J100" i="39"/>
  <c r="V106" i="39"/>
  <c r="N23" i="42"/>
  <c r="J23" i="42"/>
  <c r="V18" i="39"/>
  <c r="J26" i="39"/>
  <c r="J30" i="39"/>
  <c r="V46" i="39"/>
  <c r="V54" i="39"/>
  <c r="J62" i="39"/>
  <c r="V66" i="39"/>
  <c r="V74" i="39"/>
  <c r="V78" i="39"/>
  <c r="V94" i="39"/>
  <c r="V102" i="39"/>
  <c r="V104" i="39"/>
  <c r="N48" i="42"/>
  <c r="X72" i="42"/>
  <c r="Z72" i="42" s="1"/>
  <c r="R66" i="45"/>
  <c r="R18" i="45"/>
  <c r="R89" i="45"/>
  <c r="R81" i="45"/>
  <c r="R77" i="45"/>
  <c r="R58" i="45"/>
  <c r="R57" i="45"/>
  <c r="R46" i="45"/>
  <c r="R45" i="45"/>
  <c r="R41" i="45"/>
  <c r="R37" i="45"/>
  <c r="R91" i="45"/>
  <c r="R73" i="45"/>
  <c r="R72" i="45"/>
  <c r="R32" i="45"/>
  <c r="R28" i="45"/>
  <c r="R68" i="45"/>
  <c r="R67" i="45"/>
  <c r="R60" i="45"/>
  <c r="R59" i="45"/>
  <c r="R48" i="45"/>
  <c r="R47" i="45"/>
  <c r="R24" i="45"/>
  <c r="R19" i="45"/>
  <c r="R83" i="45"/>
  <c r="R82" i="45"/>
  <c r="R78" i="45"/>
  <c r="R74" i="45"/>
  <c r="R42" i="45"/>
  <c r="R38" i="45"/>
  <c r="R23" i="45"/>
  <c r="X12" i="45"/>
  <c r="R95" i="45"/>
  <c r="R69" i="45"/>
  <c r="R62" i="45"/>
  <c r="R61" i="45"/>
  <c r="R50" i="45"/>
  <c r="R49" i="45"/>
  <c r="R33" i="45"/>
  <c r="R29" i="45"/>
  <c r="R25" i="45"/>
  <c r="P21" i="45"/>
  <c r="R21" i="45" s="1"/>
  <c r="R84" i="45"/>
  <c r="R79" i="45"/>
  <c r="R75" i="45"/>
  <c r="R64" i="45"/>
  <c r="R63" i="45"/>
  <c r="R52" i="45"/>
  <c r="R51" i="45"/>
  <c r="R43" i="45"/>
  <c r="R39" i="45"/>
  <c r="R70" i="45"/>
  <c r="R35" i="45"/>
  <c r="R34" i="45"/>
  <c r="R30" i="45"/>
  <c r="R26" i="45"/>
  <c r="R86" i="45"/>
  <c r="R85" i="45"/>
  <c r="R65" i="45"/>
  <c r="R54" i="45"/>
  <c r="R53" i="45"/>
  <c r="R80" i="45"/>
  <c r="R76" i="45"/>
  <c r="R44" i="45"/>
  <c r="R40" i="45"/>
  <c r="R36" i="45"/>
  <c r="R17" i="45"/>
  <c r="N24" i="45"/>
  <c r="J61" i="39"/>
  <c r="J71" i="39"/>
  <c r="V79" i="39"/>
  <c r="J83" i="39"/>
  <c r="J87" i="39"/>
  <c r="J91" i="39"/>
  <c r="J99" i="39"/>
  <c r="J111" i="39"/>
  <c r="H21" i="39"/>
  <c r="J34" i="39"/>
  <c r="V36" i="39"/>
  <c r="V40" i="39"/>
  <c r="V44" i="39"/>
  <c r="J52" i="39"/>
  <c r="J60" i="39"/>
  <c r="V64" i="39"/>
  <c r="J70" i="39"/>
  <c r="V72" i="39"/>
  <c r="J76" i="39"/>
  <c r="V84" i="39"/>
  <c r="V88" i="39"/>
  <c r="V92" i="39"/>
  <c r="X48" i="42"/>
  <c r="Z48" i="42" s="1"/>
  <c r="Z50" i="42"/>
  <c r="N58" i="42"/>
  <c r="L58" i="42"/>
  <c r="Z92" i="42"/>
  <c r="N95" i="42"/>
  <c r="L95" i="42"/>
  <c r="R55" i="45"/>
  <c r="R87" i="45"/>
  <c r="X23" i="42"/>
  <c r="Z23" i="42" s="1"/>
  <c r="J52" i="42"/>
  <c r="J62" i="42"/>
  <c r="J76" i="42"/>
  <c r="X95" i="42"/>
  <c r="V27" i="45"/>
  <c r="V31" i="45"/>
  <c r="J39" i="45"/>
  <c r="J43" i="45"/>
  <c r="X46" i="45"/>
  <c r="Z46" i="45" s="1"/>
  <c r="J51" i="45"/>
  <c r="V55" i="45"/>
  <c r="J63" i="45"/>
  <c r="V71" i="45"/>
  <c r="J75" i="45"/>
  <c r="J79" i="45"/>
  <c r="V87" i="45"/>
  <c r="J97" i="45"/>
  <c r="J100" i="45"/>
  <c r="J21" i="48"/>
  <c r="R26" i="48"/>
  <c r="F34" i="48"/>
  <c r="J53" i="48"/>
  <c r="F61" i="48"/>
  <c r="N89" i="51"/>
  <c r="D31" i="55"/>
  <c r="J29" i="42"/>
  <c r="J61" i="42"/>
  <c r="H21" i="45"/>
  <c r="V36" i="45"/>
  <c r="V40" i="45"/>
  <c r="V44" i="45"/>
  <c r="J50" i="45"/>
  <c r="V56" i="45"/>
  <c r="J62" i="45"/>
  <c r="V76" i="45"/>
  <c r="V80" i="45"/>
  <c r="J84" i="45"/>
  <c r="V88" i="45"/>
  <c r="V15" i="48"/>
  <c r="F23" i="48"/>
  <c r="R28" i="48"/>
  <c r="F32" i="48"/>
  <c r="F38" i="48"/>
  <c r="V45" i="48"/>
  <c r="D12" i="51"/>
  <c r="Z80" i="51"/>
  <c r="Z82" i="51"/>
  <c r="J34" i="42"/>
  <c r="J38" i="42"/>
  <c r="J42" i="42"/>
  <c r="J60" i="42"/>
  <c r="J70" i="42"/>
  <c r="J82" i="42"/>
  <c r="J86" i="42"/>
  <c r="J90" i="42"/>
  <c r="J98" i="42"/>
  <c r="J110" i="42"/>
  <c r="V17" i="45"/>
  <c r="J21" i="45"/>
  <c r="J23" i="45"/>
  <c r="J25" i="45"/>
  <c r="J29" i="45"/>
  <c r="J33" i="45"/>
  <c r="J49" i="45"/>
  <c r="V53" i="45"/>
  <c r="J61" i="45"/>
  <c r="V65" i="45"/>
  <c r="J69" i="45"/>
  <c r="J83" i="45"/>
  <c r="V85" i="45"/>
  <c r="J95" i="45"/>
  <c r="L19" i="48"/>
  <c r="F20" i="48"/>
  <c r="J23" i="48"/>
  <c r="R30" i="48"/>
  <c r="V40" i="48"/>
  <c r="L44" i="48"/>
  <c r="V57" i="48"/>
  <c r="X61" i="48"/>
  <c r="V69" i="48"/>
  <c r="V31" i="54"/>
  <c r="V29" i="54"/>
  <c r="V28" i="54"/>
  <c r="T16" i="54"/>
  <c r="V26" i="54"/>
  <c r="V24" i="54"/>
  <c r="Z12" i="54"/>
  <c r="V20" i="54"/>
  <c r="J97" i="42"/>
  <c r="J74" i="45"/>
  <c r="J78" i="45"/>
  <c r="J82" i="45"/>
  <c r="V86" i="45"/>
  <c r="R61" i="48"/>
  <c r="R60" i="48"/>
  <c r="R40" i="48"/>
  <c r="R36" i="48"/>
  <c r="R32" i="48"/>
  <c r="R52" i="48"/>
  <c r="R51" i="48"/>
  <c r="R27" i="48"/>
  <c r="R23" i="48"/>
  <c r="R62" i="48"/>
  <c r="R65" i="48"/>
  <c r="R64" i="48"/>
  <c r="R54" i="48"/>
  <c r="R53" i="48"/>
  <c r="R42" i="48"/>
  <c r="R41" i="48"/>
  <c r="R37" i="48"/>
  <c r="R33" i="48"/>
  <c r="R56" i="48"/>
  <c r="R55" i="48"/>
  <c r="R69" i="48"/>
  <c r="R58" i="48"/>
  <c r="R57" i="48"/>
  <c r="R46" i="48"/>
  <c r="R45" i="48"/>
  <c r="R29" i="48"/>
  <c r="R25" i="48"/>
  <c r="R21" i="48"/>
  <c r="R59" i="48"/>
  <c r="R48" i="48"/>
  <c r="R47" i="48"/>
  <c r="R39" i="48"/>
  <c r="R35" i="48"/>
  <c r="N20" i="48"/>
  <c r="R34" i="48"/>
  <c r="R38" i="48"/>
  <c r="Z61" i="48"/>
  <c r="N44" i="48"/>
  <c r="Z21" i="55"/>
  <c r="J41" i="42"/>
  <c r="J49" i="42"/>
  <c r="J57" i="42"/>
  <c r="J81" i="42"/>
  <c r="J85" i="42"/>
  <c r="J89" i="42"/>
  <c r="X92" i="42"/>
  <c r="J95" i="42"/>
  <c r="X100" i="42"/>
  <c r="Z100" i="42" s="1"/>
  <c r="J106" i="42"/>
  <c r="J28" i="45"/>
  <c r="J32" i="45"/>
  <c r="J46" i="45"/>
  <c r="V52" i="45"/>
  <c r="J58" i="45"/>
  <c r="V64" i="45"/>
  <c r="J72" i="45"/>
  <c r="V84" i="45"/>
  <c r="L91" i="45"/>
  <c r="F69" i="48"/>
  <c r="F19" i="48"/>
  <c r="F17" i="48"/>
  <c r="F15" i="48"/>
  <c r="F59" i="48"/>
  <c r="F58" i="48"/>
  <c r="F47" i="48"/>
  <c r="F46" i="48"/>
  <c r="F39" i="48"/>
  <c r="F35" i="48"/>
  <c r="F30" i="48"/>
  <c r="F26" i="48"/>
  <c r="F49" i="48"/>
  <c r="F48" i="48"/>
  <c r="F60" i="48"/>
  <c r="F40" i="48"/>
  <c r="F36" i="48"/>
  <c r="F51" i="48"/>
  <c r="F50" i="48"/>
  <c r="F53" i="48"/>
  <c r="F52" i="48"/>
  <c r="F41" i="48"/>
  <c r="F37" i="48"/>
  <c r="F33" i="48"/>
  <c r="F65" i="48"/>
  <c r="F28" i="48"/>
  <c r="F24" i="48"/>
  <c r="F64" i="48"/>
  <c r="F55" i="48"/>
  <c r="F54" i="48"/>
  <c r="F43" i="48"/>
  <c r="F42" i="48"/>
  <c r="H17" i="48"/>
  <c r="L17" i="48" s="1"/>
  <c r="J27" i="48"/>
  <c r="N46" i="48"/>
  <c r="F56" i="48"/>
  <c r="V22" i="55"/>
  <c r="V25" i="55"/>
  <c r="V26" i="55"/>
  <c r="Z12" i="55"/>
  <c r="V21" i="55"/>
  <c r="V29" i="55"/>
  <c r="V38" i="55"/>
  <c r="V14" i="55"/>
  <c r="V33" i="55"/>
  <c r="V20" i="55"/>
  <c r="V16" i="55"/>
  <c r="T16" i="55"/>
  <c r="V24" i="55"/>
  <c r="V18" i="55"/>
  <c r="V31" i="55"/>
  <c r="V35" i="55"/>
  <c r="V27" i="55"/>
  <c r="V19" i="55"/>
  <c r="V23" i="55"/>
  <c r="L19" i="57"/>
  <c r="N19" i="57"/>
  <c r="N64" i="57"/>
  <c r="L64" i="57"/>
  <c r="J74" i="42"/>
  <c r="J80" i="42"/>
  <c r="J94" i="42"/>
  <c r="J105" i="42"/>
  <c r="J45" i="45"/>
  <c r="L46" i="45"/>
  <c r="N46" i="45" s="1"/>
  <c r="V49" i="45"/>
  <c r="X52" i="45"/>
  <c r="Z52" i="45" s="1"/>
  <c r="J57" i="45"/>
  <c r="L58" i="45"/>
  <c r="N58" i="45" s="1"/>
  <c r="V61" i="45"/>
  <c r="X64" i="45"/>
  <c r="Z64" i="45" s="1"/>
  <c r="V69" i="45"/>
  <c r="J77" i="45"/>
  <c r="J81" i="45"/>
  <c r="J89" i="45"/>
  <c r="V95" i="45"/>
  <c r="V97" i="45"/>
  <c r="V100" i="45"/>
  <c r="J59" i="48"/>
  <c r="J47" i="48"/>
  <c r="J39" i="48"/>
  <c r="J35" i="48"/>
  <c r="J48" i="48"/>
  <c r="J30" i="48"/>
  <c r="J26" i="48"/>
  <c r="J22" i="48"/>
  <c r="J49" i="48"/>
  <c r="J31" i="48"/>
  <c r="J60" i="48"/>
  <c r="J50" i="48"/>
  <c r="J40" i="48"/>
  <c r="J36" i="48"/>
  <c r="J32" i="48"/>
  <c r="J61" i="48"/>
  <c r="J51" i="48"/>
  <c r="J62" i="48"/>
  <c r="J52" i="48"/>
  <c r="J65" i="48"/>
  <c r="J64" i="48"/>
  <c r="J54" i="48"/>
  <c r="J42" i="48"/>
  <c r="J28" i="48"/>
  <c r="J24" i="48"/>
  <c r="J55" i="48"/>
  <c r="J43" i="48"/>
  <c r="J56" i="48"/>
  <c r="J44" i="48"/>
  <c r="J38" i="48"/>
  <c r="J34" i="48"/>
  <c r="J20" i="48"/>
  <c r="J17" i="48"/>
  <c r="R20" i="48"/>
  <c r="J33" i="48"/>
  <c r="J41" i="48"/>
  <c r="R44" i="48"/>
  <c r="J46" i="48"/>
  <c r="N52" i="48"/>
  <c r="L52" i="48"/>
  <c r="N56" i="48"/>
  <c r="L56" i="48"/>
  <c r="J47" i="42"/>
  <c r="J55" i="42"/>
  <c r="J67" i="42"/>
  <c r="J79" i="42"/>
  <c r="J103" i="42"/>
  <c r="J104" i="42"/>
  <c r="J18" i="45"/>
  <c r="T21" i="45"/>
  <c r="V38" i="45"/>
  <c r="V42" i="45"/>
  <c r="V50" i="45"/>
  <c r="J56" i="45"/>
  <c r="V62" i="45"/>
  <c r="J66" i="45"/>
  <c r="V74" i="45"/>
  <c r="V78" i="45"/>
  <c r="V82" i="45"/>
  <c r="J88" i="45"/>
  <c r="L12" i="48"/>
  <c r="R19" i="48"/>
  <c r="J37" i="48"/>
  <c r="J58" i="48"/>
  <c r="V60" i="48"/>
  <c r="V18" i="54"/>
  <c r="J36" i="42"/>
  <c r="J40" i="42"/>
  <c r="J46" i="42"/>
  <c r="J54" i="42"/>
  <c r="J66" i="42"/>
  <c r="J78" i="42"/>
  <c r="J84" i="42"/>
  <c r="J88" i="42"/>
  <c r="J17" i="45"/>
  <c r="V19" i="45"/>
  <c r="V21" i="45"/>
  <c r="V23" i="45"/>
  <c r="J27" i="45"/>
  <c r="J31" i="45"/>
  <c r="V47" i="45"/>
  <c r="J55" i="45"/>
  <c r="V59" i="45"/>
  <c r="V67" i="45"/>
  <c r="J71" i="45"/>
  <c r="V83" i="45"/>
  <c r="J87" i="45"/>
  <c r="N12" i="48"/>
  <c r="J15" i="48"/>
  <c r="P17" i="48"/>
  <c r="V20" i="48"/>
  <c r="N50" i="48"/>
  <c r="Z52" i="48"/>
  <c r="Z56" i="48"/>
  <c r="D67" i="48"/>
  <c r="J45" i="42"/>
  <c r="J53" i="42"/>
  <c r="J65" i="42"/>
  <c r="J73" i="42"/>
  <c r="J77" i="42"/>
  <c r="J93" i="42"/>
  <c r="J101" i="42"/>
  <c r="V24" i="45"/>
  <c r="V28" i="45"/>
  <c r="V32" i="45"/>
  <c r="J36" i="45"/>
  <c r="J40" i="45"/>
  <c r="J44" i="45"/>
  <c r="V48" i="45"/>
  <c r="J54" i="45"/>
  <c r="V60" i="45"/>
  <c r="V68" i="45"/>
  <c r="V72" i="45"/>
  <c r="J76" i="45"/>
  <c r="J80" i="45"/>
  <c r="J86" i="45"/>
  <c r="V51" i="48"/>
  <c r="V27" i="48"/>
  <c r="V23" i="48"/>
  <c r="V64" i="48"/>
  <c r="V62" i="48"/>
  <c r="V54" i="48"/>
  <c r="V42" i="48"/>
  <c r="V67" i="48"/>
  <c r="V65" i="48"/>
  <c r="V53" i="48"/>
  <c r="V41" i="48"/>
  <c r="V37" i="48"/>
  <c r="V33" i="48"/>
  <c r="V56" i="48"/>
  <c r="V44" i="48"/>
  <c r="V28" i="48"/>
  <c r="V55" i="48"/>
  <c r="V43" i="48"/>
  <c r="V58" i="48"/>
  <c r="V48" i="48"/>
  <c r="V59" i="48"/>
  <c r="V47" i="48"/>
  <c r="V39" i="48"/>
  <c r="V35" i="48"/>
  <c r="V31" i="48"/>
  <c r="V50" i="48"/>
  <c r="V30" i="48"/>
  <c r="V26" i="48"/>
  <c r="V22" i="48"/>
  <c r="Z12" i="48"/>
  <c r="R17" i="48"/>
  <c r="V19" i="48"/>
  <c r="X20" i="48"/>
  <c r="Z20" i="48" s="1"/>
  <c r="R31" i="48"/>
  <c r="F45" i="48"/>
  <c r="Z46" i="48"/>
  <c r="X46" i="48"/>
  <c r="V52" i="48"/>
  <c r="F67" i="48"/>
  <c r="J44" i="42"/>
  <c r="J64" i="42"/>
  <c r="J72" i="42"/>
  <c r="J92" i="42"/>
  <c r="V41" i="45"/>
  <c r="V45" i="45"/>
  <c r="J53" i="45"/>
  <c r="V57" i="45"/>
  <c r="J65" i="45"/>
  <c r="V73" i="45"/>
  <c r="V77" i="45"/>
  <c r="V81" i="45"/>
  <c r="V89" i="45"/>
  <c r="V91" i="45"/>
  <c r="X12" i="48"/>
  <c r="T71" i="48"/>
  <c r="R22" i="48"/>
  <c r="R24" i="48"/>
  <c r="R43" i="48"/>
  <c r="J45" i="48"/>
  <c r="R50" i="48"/>
  <c r="X58" i="48"/>
  <c r="Z58" i="48" s="1"/>
  <c r="V46" i="51"/>
  <c r="V50" i="51"/>
  <c r="J58" i="51"/>
  <c r="J62" i="51"/>
  <c r="J70" i="51"/>
  <c r="V74" i="51"/>
  <c r="J80" i="51"/>
  <c r="X12" i="54"/>
  <c r="R31" i="54"/>
  <c r="X12" i="55"/>
  <c r="F16" i="55"/>
  <c r="X19" i="55"/>
  <c r="Z19" i="55" s="1"/>
  <c r="F35" i="55"/>
  <c r="N20" i="56"/>
  <c r="J37" i="56"/>
  <c r="F54" i="56"/>
  <c r="F63" i="56"/>
  <c r="Z20" i="57"/>
  <c r="R22" i="57"/>
  <c r="V37" i="57"/>
  <c r="L47" i="57"/>
  <c r="N47" i="57" s="1"/>
  <c r="V60" i="57"/>
  <c r="Z49" i="58"/>
  <c r="N60" i="58"/>
  <c r="X18" i="60"/>
  <c r="P12" i="51"/>
  <c r="J31" i="51"/>
  <c r="J35" i="51"/>
  <c r="H40" i="51"/>
  <c r="V55" i="51"/>
  <c r="V59" i="51"/>
  <c r="V63" i="51"/>
  <c r="J69" i="51"/>
  <c r="J79" i="51"/>
  <c r="V83" i="51"/>
  <c r="J87" i="51"/>
  <c r="H16" i="55"/>
  <c r="L16" i="55" s="1"/>
  <c r="F21" i="55"/>
  <c r="R27" i="55"/>
  <c r="J59" i="56"/>
  <c r="J47" i="56"/>
  <c r="J29" i="56"/>
  <c r="J25" i="56"/>
  <c r="J21" i="56"/>
  <c r="J19" i="56"/>
  <c r="J17" i="56"/>
  <c r="J15" i="56"/>
  <c r="J70" i="56"/>
  <c r="J60" i="56"/>
  <c r="J48" i="56"/>
  <c r="J30" i="56"/>
  <c r="H17" i="56"/>
  <c r="J75" i="56"/>
  <c r="J72" i="56"/>
  <c r="J50" i="56"/>
  <c r="J26" i="56"/>
  <c r="J22" i="56"/>
  <c r="N12" i="56"/>
  <c r="J61" i="56"/>
  <c r="J51" i="56"/>
  <c r="J52" i="56"/>
  <c r="J40" i="56"/>
  <c r="J36" i="56"/>
  <c r="J32" i="56"/>
  <c r="J53" i="56"/>
  <c r="J41" i="56"/>
  <c r="J27" i="56"/>
  <c r="J23" i="56"/>
  <c r="J62" i="56"/>
  <c r="J54" i="56"/>
  <c r="J42" i="56"/>
  <c r="J64" i="56"/>
  <c r="J56" i="56"/>
  <c r="J44" i="56"/>
  <c r="J28" i="56"/>
  <c r="J24" i="56"/>
  <c r="F15" i="56"/>
  <c r="J20" i="56"/>
  <c r="J39" i="56"/>
  <c r="F42" i="56"/>
  <c r="V33" i="57"/>
  <c r="Z41" i="57"/>
  <c r="X41" i="57"/>
  <c r="R43" i="57"/>
  <c r="N45" i="57"/>
  <c r="R72" i="57"/>
  <c r="Z18" i="60"/>
  <c r="V32" i="51"/>
  <c r="V36" i="51"/>
  <c r="J40" i="51"/>
  <c r="J42" i="51"/>
  <c r="J44" i="51"/>
  <c r="J48" i="51"/>
  <c r="J52" i="51"/>
  <c r="J68" i="51"/>
  <c r="V72" i="51"/>
  <c r="J78" i="51"/>
  <c r="J86" i="51"/>
  <c r="D16" i="54"/>
  <c r="F24" i="54"/>
  <c r="R29" i="54"/>
  <c r="N21" i="55"/>
  <c r="R51" i="56"/>
  <c r="R50" i="56"/>
  <c r="R26" i="56"/>
  <c r="R22" i="56"/>
  <c r="X12" i="56"/>
  <c r="R61" i="56"/>
  <c r="R27" i="56"/>
  <c r="R23" i="56"/>
  <c r="R63" i="56"/>
  <c r="R62" i="56"/>
  <c r="R55" i="56"/>
  <c r="R54" i="56"/>
  <c r="R43" i="56"/>
  <c r="R42" i="56"/>
  <c r="R37" i="56"/>
  <c r="R33" i="56"/>
  <c r="R64" i="56"/>
  <c r="R57" i="56"/>
  <c r="R56" i="56"/>
  <c r="R45" i="56"/>
  <c r="R44" i="56"/>
  <c r="R28" i="56"/>
  <c r="R24" i="56"/>
  <c r="R68" i="56"/>
  <c r="R66" i="56"/>
  <c r="R20" i="56"/>
  <c r="R30" i="56"/>
  <c r="R29" i="56"/>
  <c r="R25" i="56"/>
  <c r="R21" i="56"/>
  <c r="P17" i="56"/>
  <c r="F19" i="56"/>
  <c r="L30" i="56"/>
  <c r="N30" i="56" s="1"/>
  <c r="F44" i="56"/>
  <c r="J46" i="56"/>
  <c r="R47" i="56"/>
  <c r="J49" i="56"/>
  <c r="F53" i="56"/>
  <c r="F56" i="56"/>
  <c r="J58" i="56"/>
  <c r="R59" i="56"/>
  <c r="J63" i="56"/>
  <c r="N15" i="57"/>
  <c r="V41" i="57"/>
  <c r="Z18" i="58"/>
  <c r="R61" i="60"/>
  <c r="R58" i="60"/>
  <c r="R37" i="60"/>
  <c r="R40" i="60"/>
  <c r="R39" i="60"/>
  <c r="R54" i="60"/>
  <c r="R52" i="60"/>
  <c r="R42" i="60"/>
  <c r="R41" i="60"/>
  <c r="R33" i="60"/>
  <c r="R18" i="60"/>
  <c r="R16" i="60"/>
  <c r="R14" i="60"/>
  <c r="R43" i="60"/>
  <c r="R29" i="60"/>
  <c r="R28" i="60"/>
  <c r="R24" i="60"/>
  <c r="R20" i="60"/>
  <c r="P16" i="60"/>
  <c r="R56" i="60"/>
  <c r="R34" i="60"/>
  <c r="R30" i="60"/>
  <c r="R48" i="60"/>
  <c r="R44" i="60"/>
  <c r="R25" i="60"/>
  <c r="R21" i="60"/>
  <c r="R45" i="60"/>
  <c r="R49" i="60"/>
  <c r="R38" i="60"/>
  <c r="R35" i="60"/>
  <c r="R31" i="60"/>
  <c r="R26" i="60"/>
  <c r="R22" i="60"/>
  <c r="R46" i="60"/>
  <c r="R32" i="60"/>
  <c r="X12" i="60"/>
  <c r="R36" i="60"/>
  <c r="R27" i="60"/>
  <c r="R23" i="60"/>
  <c r="J43" i="51"/>
  <c r="J57" i="51"/>
  <c r="J61" i="51"/>
  <c r="J67" i="51"/>
  <c r="J77" i="51"/>
  <c r="J85" i="51"/>
  <c r="X69" i="57"/>
  <c r="P67" i="57"/>
  <c r="X67" i="57" s="1"/>
  <c r="J30" i="51"/>
  <c r="J34" i="51"/>
  <c r="J38" i="51"/>
  <c r="V54" i="51"/>
  <c r="V62" i="51"/>
  <c r="J66" i="51"/>
  <c r="V70" i="51"/>
  <c r="J76" i="51"/>
  <c r="V82" i="51"/>
  <c r="V90" i="51"/>
  <c r="H16" i="54"/>
  <c r="R28" i="54"/>
  <c r="X29" i="54"/>
  <c r="Z29" i="54" s="1"/>
  <c r="P16" i="55"/>
  <c r="Z20" i="56"/>
  <c r="V59" i="57"/>
  <c r="V43" i="57"/>
  <c r="V27" i="57"/>
  <c r="V23" i="57"/>
  <c r="V79" i="57"/>
  <c r="V76" i="57"/>
  <c r="V74" i="57"/>
  <c r="V62" i="57"/>
  <c r="V54" i="57"/>
  <c r="V42" i="57"/>
  <c r="V64" i="57"/>
  <c r="V56" i="57"/>
  <c r="V44" i="57"/>
  <c r="V28" i="57"/>
  <c r="V24" i="57"/>
  <c r="V20" i="57"/>
  <c r="V63" i="57"/>
  <c r="V55" i="57"/>
  <c r="V47" i="57"/>
  <c r="V19" i="57"/>
  <c r="V17" i="57"/>
  <c r="V15" i="57"/>
  <c r="V46" i="57"/>
  <c r="V38" i="57"/>
  <c r="V34" i="57"/>
  <c r="V30" i="57"/>
  <c r="T17" i="57"/>
  <c r="V67" i="57"/>
  <c r="V65" i="57"/>
  <c r="V57" i="57"/>
  <c r="V49" i="57"/>
  <c r="V29" i="57"/>
  <c r="V25" i="57"/>
  <c r="V21" i="57"/>
  <c r="V68" i="57"/>
  <c r="V48" i="57"/>
  <c r="V69" i="57"/>
  <c r="V51" i="57"/>
  <c r="V39" i="57"/>
  <c r="V35" i="57"/>
  <c r="V31" i="57"/>
  <c r="V72" i="57"/>
  <c r="V70" i="57"/>
  <c r="V58" i="57"/>
  <c r="V50" i="57"/>
  <c r="V26" i="57"/>
  <c r="V22" i="57"/>
  <c r="Z12" i="57"/>
  <c r="Z52" i="58"/>
  <c r="P68" i="59"/>
  <c r="Z60" i="63"/>
  <c r="J29" i="51"/>
  <c r="J47" i="51"/>
  <c r="J51" i="51"/>
  <c r="J65" i="51"/>
  <c r="V71" i="51"/>
  <c r="J75" i="51"/>
  <c r="L76" i="51"/>
  <c r="N76" i="51" s="1"/>
  <c r="V79" i="51"/>
  <c r="X82" i="51"/>
  <c r="V87" i="51"/>
  <c r="V89" i="51"/>
  <c r="R26" i="54"/>
  <c r="L14" i="55"/>
  <c r="R16" i="55"/>
  <c r="R21" i="55"/>
  <c r="L29" i="55"/>
  <c r="F28" i="56"/>
  <c r="X30" i="56"/>
  <c r="Z30" i="56" s="1"/>
  <c r="Z49" i="56"/>
  <c r="J68" i="56"/>
  <c r="X12" i="57"/>
  <c r="V40" i="57"/>
  <c r="R42" i="57"/>
  <c r="V45" i="57"/>
  <c r="R51" i="57"/>
  <c r="V61" i="57"/>
  <c r="Z19" i="59"/>
  <c r="N30" i="59"/>
  <c r="D65" i="59"/>
  <c r="L65" i="59" s="1"/>
  <c r="N65" i="59" s="1"/>
  <c r="L66" i="59"/>
  <c r="N66" i="59" s="1"/>
  <c r="L61" i="48"/>
  <c r="N61" i="48" s="1"/>
  <c r="L29" i="51"/>
  <c r="N29" i="51" s="1"/>
  <c r="V44" i="51"/>
  <c r="V48" i="51"/>
  <c r="V52" i="51"/>
  <c r="J56" i="51"/>
  <c r="J60" i="51"/>
  <c r="J64" i="51"/>
  <c r="L65" i="51"/>
  <c r="N65" i="51" s="1"/>
  <c r="V68" i="51"/>
  <c r="X71" i="51"/>
  <c r="Z71" i="51" s="1"/>
  <c r="V80" i="51"/>
  <c r="J84" i="51"/>
  <c r="X89" i="51"/>
  <c r="Z89" i="51" s="1"/>
  <c r="L14" i="54"/>
  <c r="L18" i="54"/>
  <c r="L20" i="54"/>
  <c r="R24" i="54"/>
  <c r="F27" i="55"/>
  <c r="F31" i="55"/>
  <c r="F29" i="55"/>
  <c r="F20" i="55"/>
  <c r="F19" i="55"/>
  <c r="F33" i="55"/>
  <c r="F26" i="55"/>
  <c r="F25" i="55"/>
  <c r="F23" i="55"/>
  <c r="R26" i="55"/>
  <c r="F38" i="55"/>
  <c r="F58" i="56"/>
  <c r="F57" i="56"/>
  <c r="F46" i="56"/>
  <c r="F45" i="56"/>
  <c r="F38" i="56"/>
  <c r="F34" i="56"/>
  <c r="F68" i="56"/>
  <c r="F66" i="56"/>
  <c r="F29" i="56"/>
  <c r="F25" i="56"/>
  <c r="F21" i="56"/>
  <c r="F20" i="56"/>
  <c r="F39" i="56"/>
  <c r="F35" i="56"/>
  <c r="F31" i="56"/>
  <c r="F30" i="56"/>
  <c r="D17" i="56"/>
  <c r="F50" i="56"/>
  <c r="F49" i="56"/>
  <c r="F26" i="56"/>
  <c r="F22" i="56"/>
  <c r="L12" i="56"/>
  <c r="F75" i="56"/>
  <c r="F72" i="56"/>
  <c r="F61" i="56"/>
  <c r="F52" i="56"/>
  <c r="F51" i="56"/>
  <c r="F40" i="56"/>
  <c r="F36" i="56"/>
  <c r="F32" i="56"/>
  <c r="F27" i="56"/>
  <c r="F23" i="56"/>
  <c r="F37" i="56"/>
  <c r="F33" i="56"/>
  <c r="J38" i="56"/>
  <c r="F48" i="56"/>
  <c r="Z51" i="56"/>
  <c r="F60" i="56"/>
  <c r="H72" i="57"/>
  <c r="V36" i="57"/>
  <c r="Z51" i="57"/>
  <c r="N41" i="58"/>
  <c r="R50" i="60"/>
  <c r="H60" i="61"/>
  <c r="N16" i="61"/>
  <c r="J33" i="51"/>
  <c r="J37" i="51"/>
  <c r="T40" i="51"/>
  <c r="V57" i="51"/>
  <c r="V61" i="51"/>
  <c r="V69" i="51"/>
  <c r="V77" i="51"/>
  <c r="V85" i="51"/>
  <c r="J95" i="51"/>
  <c r="J31" i="54"/>
  <c r="J29" i="54"/>
  <c r="J28" i="54"/>
  <c r="F31" i="54"/>
  <c r="R14" i="55"/>
  <c r="X21" i="55"/>
  <c r="F43" i="56"/>
  <c r="F55" i="56"/>
  <c r="F64" i="56"/>
  <c r="R75" i="56"/>
  <c r="N54" i="57"/>
  <c r="L45" i="58"/>
  <c r="N45" i="58" s="1"/>
  <c r="N46" i="59"/>
  <c r="L50" i="59"/>
  <c r="X14" i="60"/>
  <c r="X54" i="63"/>
  <c r="Z54" i="63" s="1"/>
  <c r="V30" i="51"/>
  <c r="V34" i="51"/>
  <c r="V38" i="51"/>
  <c r="V40" i="51"/>
  <c r="V42" i="51"/>
  <c r="J46" i="51"/>
  <c r="J50" i="51"/>
  <c r="V66" i="51"/>
  <c r="J74" i="51"/>
  <c r="V78" i="51"/>
  <c r="V86" i="51"/>
  <c r="L12" i="54"/>
  <c r="P16" i="54"/>
  <c r="L12" i="55"/>
  <c r="F24" i="56"/>
  <c r="J31" i="56"/>
  <c r="R41" i="56"/>
  <c r="N43" i="56"/>
  <c r="J45" i="56"/>
  <c r="J57" i="56"/>
  <c r="F70" i="56"/>
  <c r="N17" i="57"/>
  <c r="N20" i="57"/>
  <c r="V32" i="57"/>
  <c r="L56" i="57"/>
  <c r="N56" i="57" s="1"/>
  <c r="Z30" i="58"/>
  <c r="N48" i="59"/>
  <c r="N50" i="59"/>
  <c r="V43" i="51"/>
  <c r="V47" i="51"/>
  <c r="V51" i="51"/>
  <c r="J55" i="51"/>
  <c r="J59" i="51"/>
  <c r="J63" i="51"/>
  <c r="V67" i="51"/>
  <c r="J73" i="51"/>
  <c r="V75" i="51"/>
  <c r="J83" i="51"/>
  <c r="N12" i="54"/>
  <c r="R14" i="54"/>
  <c r="R16" i="54"/>
  <c r="R18" i="54"/>
  <c r="R20" i="54"/>
  <c r="F17" i="56"/>
  <c r="J33" i="56"/>
  <c r="J43" i="56"/>
  <c r="N45" i="56"/>
  <c r="F47" i="56"/>
  <c r="R48" i="56"/>
  <c r="R52" i="56"/>
  <c r="J55" i="56"/>
  <c r="N57" i="56"/>
  <c r="F59" i="56"/>
  <c r="R60" i="56"/>
  <c r="R52" i="57"/>
  <c r="R41" i="57"/>
  <c r="R40" i="57"/>
  <c r="R36" i="57"/>
  <c r="R32" i="57"/>
  <c r="R60" i="57"/>
  <c r="R59" i="57"/>
  <c r="R27" i="57"/>
  <c r="R23" i="57"/>
  <c r="R79" i="57"/>
  <c r="R76" i="57"/>
  <c r="R62" i="57"/>
  <c r="R61" i="57"/>
  <c r="R54" i="57"/>
  <c r="R53" i="57"/>
  <c r="R37" i="57"/>
  <c r="R33" i="57"/>
  <c r="R45" i="57"/>
  <c r="R44" i="57"/>
  <c r="R28" i="57"/>
  <c r="R24" i="57"/>
  <c r="R64" i="57"/>
  <c r="R63" i="57"/>
  <c r="R56" i="57"/>
  <c r="R55" i="57"/>
  <c r="R20" i="57"/>
  <c r="R47" i="57"/>
  <c r="R46" i="57"/>
  <c r="R38" i="57"/>
  <c r="R34" i="57"/>
  <c r="R19" i="57"/>
  <c r="R17" i="57"/>
  <c r="R15" i="57"/>
  <c r="R65" i="57"/>
  <c r="R57" i="57"/>
  <c r="R30" i="57"/>
  <c r="R29" i="57"/>
  <c r="R25" i="57"/>
  <c r="R21" i="57"/>
  <c r="P17" i="57"/>
  <c r="R68" i="57"/>
  <c r="R67" i="57"/>
  <c r="R49" i="57"/>
  <c r="R48" i="57"/>
  <c r="R69" i="57"/>
  <c r="R39" i="57"/>
  <c r="R35" i="57"/>
  <c r="R31" i="57"/>
  <c r="N30" i="57"/>
  <c r="V52" i="57"/>
  <c r="N60" i="57"/>
  <c r="T16" i="60"/>
  <c r="R57" i="68"/>
  <c r="R49" i="68"/>
  <c r="R48" i="68"/>
  <c r="R21" i="68"/>
  <c r="R16" i="68"/>
  <c r="R39" i="68"/>
  <c r="R35" i="68"/>
  <c r="R31" i="68"/>
  <c r="R64" i="68"/>
  <c r="R43" i="68"/>
  <c r="R42" i="68"/>
  <c r="R56" i="68"/>
  <c r="R55" i="68"/>
  <c r="R30" i="68"/>
  <c r="R29" i="68"/>
  <c r="R50" i="68"/>
  <c r="R47" i="68"/>
  <c r="R26" i="68"/>
  <c r="R23" i="68"/>
  <c r="X12" i="68"/>
  <c r="R62" i="68"/>
  <c r="R37" i="68"/>
  <c r="R40" i="68"/>
  <c r="R27" i="68"/>
  <c r="R18" i="68"/>
  <c r="R58" i="68"/>
  <c r="R44" i="68"/>
  <c r="R41" i="68"/>
  <c r="R24" i="68"/>
  <c r="R20" i="68"/>
  <c r="P18" i="68"/>
  <c r="R52" i="68"/>
  <c r="R45" i="68"/>
  <c r="R38" i="68"/>
  <c r="R32" i="68"/>
  <c r="R69" i="68"/>
  <c r="R28" i="68"/>
  <c r="R46" i="68"/>
  <c r="R33" i="68"/>
  <c r="R15" i="68"/>
  <c r="R54" i="68"/>
  <c r="R36" i="68"/>
  <c r="R60" i="68"/>
  <c r="R34" i="68"/>
  <c r="R53" i="68"/>
  <c r="R51" i="68"/>
  <c r="R22" i="68"/>
  <c r="R66" i="68"/>
  <c r="J32" i="51"/>
  <c r="J36" i="51"/>
  <c r="J54" i="51"/>
  <c r="J72" i="51"/>
  <c r="J82" i="51"/>
  <c r="R33" i="55"/>
  <c r="R38" i="55"/>
  <c r="R35" i="55"/>
  <c r="R23" i="55"/>
  <c r="R22" i="55"/>
  <c r="R25" i="55"/>
  <c r="R24" i="55"/>
  <c r="R31" i="55"/>
  <c r="R29" i="55"/>
  <c r="R19" i="55"/>
  <c r="Z56" i="57"/>
  <c r="L42" i="61"/>
  <c r="N42" i="61" s="1"/>
  <c r="H16" i="58"/>
  <c r="F69" i="58"/>
  <c r="F71" i="58"/>
  <c r="V44" i="60"/>
  <c r="V46" i="60"/>
  <c r="V38" i="60"/>
  <c r="V54" i="60"/>
  <c r="V52" i="60"/>
  <c r="V50" i="60"/>
  <c r="V42" i="60"/>
  <c r="V61" i="60"/>
  <c r="V58" i="60"/>
  <c r="V56" i="60"/>
  <c r="V14" i="60"/>
  <c r="V16" i="60"/>
  <c r="V18" i="60"/>
  <c r="J22" i="60"/>
  <c r="J26" i="60"/>
  <c r="V39" i="60"/>
  <c r="J58" i="60"/>
  <c r="V48" i="56"/>
  <c r="V60" i="56"/>
  <c r="V70" i="56"/>
  <c r="V72" i="56"/>
  <c r="V75" i="56"/>
  <c r="J34" i="57"/>
  <c r="J38" i="57"/>
  <c r="J46" i="57"/>
  <c r="F54" i="57"/>
  <c r="F55" i="57"/>
  <c r="J56" i="57"/>
  <c r="F62" i="57"/>
  <c r="F63" i="57"/>
  <c r="J64" i="57"/>
  <c r="F76" i="57"/>
  <c r="F79" i="57"/>
  <c r="R21" i="58"/>
  <c r="R25" i="58"/>
  <c r="R29" i="58"/>
  <c r="R30" i="58"/>
  <c r="F33" i="58"/>
  <c r="F37" i="58"/>
  <c r="J44" i="58"/>
  <c r="V48" i="58"/>
  <c r="F52" i="58"/>
  <c r="F53" i="58"/>
  <c r="V56" i="58"/>
  <c r="F60" i="58"/>
  <c r="F61" i="58"/>
  <c r="V64" i="58"/>
  <c r="T16" i="59"/>
  <c r="X16" i="59" s="1"/>
  <c r="R19" i="59"/>
  <c r="V33" i="59"/>
  <c r="V37" i="59"/>
  <c r="R42" i="59"/>
  <c r="R43" i="59"/>
  <c r="J49" i="59"/>
  <c r="R58" i="59"/>
  <c r="R59" i="59"/>
  <c r="J65" i="59"/>
  <c r="J66" i="59"/>
  <c r="R70" i="59"/>
  <c r="V19" i="60"/>
  <c r="V23" i="60"/>
  <c r="V27" i="60"/>
  <c r="J31" i="60"/>
  <c r="J35" i="60"/>
  <c r="V36" i="60"/>
  <c r="F38" i="60"/>
  <c r="J45" i="60"/>
  <c r="V47" i="60"/>
  <c r="J49" i="60"/>
  <c r="Z18" i="61"/>
  <c r="X42" i="61"/>
  <c r="Z42" i="61" s="1"/>
  <c r="X18" i="63"/>
  <c r="Z18" i="63" s="1"/>
  <c r="Z50" i="63"/>
  <c r="Z52" i="63"/>
  <c r="R88" i="63"/>
  <c r="D12" i="74"/>
  <c r="L13" i="74"/>
  <c r="N13" i="74" s="1"/>
  <c r="L14" i="58"/>
  <c r="L18" i="58"/>
  <c r="N18" i="58" s="1"/>
  <c r="F41" i="58"/>
  <c r="F42" i="58"/>
  <c r="R46" i="58"/>
  <c r="R47" i="58"/>
  <c r="R54" i="58"/>
  <c r="X56" i="58"/>
  <c r="Z56" i="58" s="1"/>
  <c r="J61" i="58"/>
  <c r="R62" i="58"/>
  <c r="X64" i="58"/>
  <c r="Z64" i="58" s="1"/>
  <c r="J69" i="58"/>
  <c r="J71" i="58"/>
  <c r="R75" i="58"/>
  <c r="R78" i="58"/>
  <c r="V14" i="59"/>
  <c r="V16" i="59"/>
  <c r="V18" i="59"/>
  <c r="R27" i="59"/>
  <c r="V42" i="59"/>
  <c r="R51" i="59"/>
  <c r="V58" i="59"/>
  <c r="F63" i="59"/>
  <c r="V70" i="59"/>
  <c r="V72" i="59"/>
  <c r="V75" i="59"/>
  <c r="Z12" i="60"/>
  <c r="X19" i="60"/>
  <c r="Z19" i="60" s="1"/>
  <c r="V32" i="60"/>
  <c r="J41" i="60"/>
  <c r="F51" i="61"/>
  <c r="F50" i="61"/>
  <c r="F39" i="61"/>
  <c r="F35" i="61"/>
  <c r="F31" i="61"/>
  <c r="F67" i="61"/>
  <c r="F64" i="61"/>
  <c r="F53" i="61"/>
  <c r="F52" i="61"/>
  <c r="F41" i="61"/>
  <c r="F40" i="61"/>
  <c r="F54" i="61"/>
  <c r="F45" i="61"/>
  <c r="F44" i="61"/>
  <c r="F37" i="61"/>
  <c r="F33" i="61"/>
  <c r="F56" i="61"/>
  <c r="F55" i="61"/>
  <c r="F28" i="61"/>
  <c r="F24" i="61"/>
  <c r="F20" i="61"/>
  <c r="F19" i="61"/>
  <c r="F47" i="61"/>
  <c r="F46" i="61"/>
  <c r="F18" i="61"/>
  <c r="F16" i="61"/>
  <c r="F14" i="61"/>
  <c r="F60" i="61"/>
  <c r="F58" i="61"/>
  <c r="F49" i="61"/>
  <c r="F48" i="61"/>
  <c r="F25" i="61"/>
  <c r="F21" i="61"/>
  <c r="F62" i="61"/>
  <c r="T17" i="56"/>
  <c r="V30" i="56"/>
  <c r="V34" i="56"/>
  <c r="V38" i="56"/>
  <c r="V46" i="56"/>
  <c r="V58" i="56"/>
  <c r="J24" i="57"/>
  <c r="J28" i="57"/>
  <c r="F33" i="57"/>
  <c r="F37" i="57"/>
  <c r="J44" i="57"/>
  <c r="F53" i="57"/>
  <c r="J54" i="57"/>
  <c r="F60" i="57"/>
  <c r="F61" i="57"/>
  <c r="J62" i="57"/>
  <c r="J76" i="57"/>
  <c r="J79" i="57"/>
  <c r="F23" i="58"/>
  <c r="F27" i="58"/>
  <c r="V30" i="58"/>
  <c r="V34" i="58"/>
  <c r="V38" i="58"/>
  <c r="J42" i="58"/>
  <c r="V46" i="58"/>
  <c r="F51" i="58"/>
  <c r="J52" i="58"/>
  <c r="V54" i="58"/>
  <c r="F58" i="58"/>
  <c r="F59" i="58"/>
  <c r="J60" i="58"/>
  <c r="V62" i="58"/>
  <c r="F66" i="58"/>
  <c r="F67" i="58"/>
  <c r="R73" i="58"/>
  <c r="X12" i="59"/>
  <c r="V19" i="59"/>
  <c r="V23" i="59"/>
  <c r="V27" i="59"/>
  <c r="J31" i="59"/>
  <c r="R32" i="59"/>
  <c r="J35" i="59"/>
  <c r="R36" i="59"/>
  <c r="J39" i="59"/>
  <c r="R40" i="59"/>
  <c r="R41" i="59"/>
  <c r="V43" i="59"/>
  <c r="J47" i="59"/>
  <c r="V51" i="59"/>
  <c r="J55" i="59"/>
  <c r="R56" i="59"/>
  <c r="R57" i="59"/>
  <c r="V59" i="59"/>
  <c r="J63" i="59"/>
  <c r="D16" i="60"/>
  <c r="J21" i="60"/>
  <c r="J25" i="60"/>
  <c r="F29" i="60"/>
  <c r="F30" i="60"/>
  <c r="F34" i="60"/>
  <c r="J44" i="60"/>
  <c r="X49" i="60"/>
  <c r="Z49" i="60" s="1"/>
  <c r="J67" i="61"/>
  <c r="J64" i="61"/>
  <c r="J52" i="61"/>
  <c r="J40" i="61"/>
  <c r="J26" i="61"/>
  <c r="J22" i="61"/>
  <c r="J42" i="61"/>
  <c r="J36" i="61"/>
  <c r="J32" i="61"/>
  <c r="N12" i="61"/>
  <c r="J54" i="61"/>
  <c r="J55" i="61"/>
  <c r="J45" i="61"/>
  <c r="J37" i="61"/>
  <c r="J33" i="61"/>
  <c r="J19" i="61"/>
  <c r="J56" i="61"/>
  <c r="J46" i="61"/>
  <c r="J28" i="61"/>
  <c r="J24" i="61"/>
  <c r="J20" i="61"/>
  <c r="J18" i="61"/>
  <c r="J16" i="61"/>
  <c r="J14" i="61"/>
  <c r="J47" i="61"/>
  <c r="J29" i="61"/>
  <c r="J60" i="61"/>
  <c r="J58" i="61"/>
  <c r="J48" i="61"/>
  <c r="J38" i="61"/>
  <c r="J34" i="61"/>
  <c r="J30" i="61"/>
  <c r="J62" i="61"/>
  <c r="J50" i="61"/>
  <c r="J51" i="61"/>
  <c r="J39" i="61"/>
  <c r="J35" i="61"/>
  <c r="J31" i="61"/>
  <c r="D16" i="61"/>
  <c r="F22" i="61"/>
  <c r="R29" i="61"/>
  <c r="L48" i="61"/>
  <c r="N48" i="61" s="1"/>
  <c r="X14" i="63"/>
  <c r="R32" i="63"/>
  <c r="R36" i="63"/>
  <c r="L40" i="63"/>
  <c r="N40" i="63" s="1"/>
  <c r="F44" i="68"/>
  <c r="F43" i="68"/>
  <c r="F28" i="68"/>
  <c r="F24" i="68"/>
  <c r="F69" i="68"/>
  <c r="F66" i="68"/>
  <c r="F55" i="68"/>
  <c r="F54" i="68"/>
  <c r="F58" i="68"/>
  <c r="F50" i="68"/>
  <c r="F49" i="68"/>
  <c r="F26" i="68"/>
  <c r="F22" i="68"/>
  <c r="F21" i="68"/>
  <c r="L12" i="68"/>
  <c r="F62" i="68"/>
  <c r="F60" i="68"/>
  <c r="F64" i="68"/>
  <c r="F25" i="68"/>
  <c r="F53" i="68"/>
  <c r="F46" i="68"/>
  <c r="F42" i="68"/>
  <c r="F33" i="68"/>
  <c r="F23" i="68"/>
  <c r="F47" i="68"/>
  <c r="F16" i="68"/>
  <c r="F37" i="68"/>
  <c r="F34" i="68"/>
  <c r="F31" i="68"/>
  <c r="F30" i="68"/>
  <c r="F51" i="68"/>
  <c r="F48" i="68"/>
  <c r="F40" i="68"/>
  <c r="F27" i="68"/>
  <c r="F56" i="68"/>
  <c r="F52" i="68"/>
  <c r="F41" i="68"/>
  <c r="F38" i="68"/>
  <c r="F35" i="68"/>
  <c r="D18" i="68"/>
  <c r="F45" i="68"/>
  <c r="F32" i="68"/>
  <c r="F20" i="68"/>
  <c r="J24" i="55"/>
  <c r="V15" i="56"/>
  <c r="V17" i="56"/>
  <c r="V19" i="56"/>
  <c r="V47" i="56"/>
  <c r="V59" i="56"/>
  <c r="J33" i="57"/>
  <c r="J37" i="57"/>
  <c r="F41" i="57"/>
  <c r="F42" i="57"/>
  <c r="J43" i="57"/>
  <c r="J53" i="57"/>
  <c r="J61" i="57"/>
  <c r="F74" i="57"/>
  <c r="L12" i="58"/>
  <c r="P16" i="58"/>
  <c r="R20" i="58"/>
  <c r="J23" i="58"/>
  <c r="R24" i="58"/>
  <c r="J27" i="58"/>
  <c r="R28" i="58"/>
  <c r="F32" i="58"/>
  <c r="F36" i="58"/>
  <c r="F40" i="58"/>
  <c r="J41" i="58"/>
  <c r="R44" i="58"/>
  <c r="R45" i="58"/>
  <c r="V47" i="58"/>
  <c r="J51" i="58"/>
  <c r="J59" i="58"/>
  <c r="J67" i="58"/>
  <c r="V73" i="58"/>
  <c r="V75" i="58"/>
  <c r="V78" i="58"/>
  <c r="Z12" i="59"/>
  <c r="F21" i="59"/>
  <c r="F25" i="59"/>
  <c r="F29" i="59"/>
  <c r="J30" i="59"/>
  <c r="V32" i="59"/>
  <c r="V36" i="59"/>
  <c r="V40" i="59"/>
  <c r="F45" i="59"/>
  <c r="J46" i="59"/>
  <c r="R49" i="59"/>
  <c r="R50" i="59"/>
  <c r="F53" i="59"/>
  <c r="J54" i="59"/>
  <c r="V56" i="59"/>
  <c r="F61" i="59"/>
  <c r="J62" i="59"/>
  <c r="R68" i="59"/>
  <c r="F14" i="60"/>
  <c r="F16" i="60"/>
  <c r="F18" i="60"/>
  <c r="V22" i="60"/>
  <c r="V26" i="60"/>
  <c r="J30" i="60"/>
  <c r="J34" i="60"/>
  <c r="F48" i="60"/>
  <c r="F56" i="60"/>
  <c r="L12" i="61"/>
  <c r="F43" i="61"/>
  <c r="X40" i="63"/>
  <c r="X90" i="63"/>
  <c r="V28" i="56"/>
  <c r="V44" i="56"/>
  <c r="V56" i="56"/>
  <c r="V64" i="56"/>
  <c r="V66" i="56"/>
  <c r="V68" i="56"/>
  <c r="F23" i="57"/>
  <c r="F27" i="57"/>
  <c r="J42" i="57"/>
  <c r="F59" i="57"/>
  <c r="J60" i="57"/>
  <c r="F72" i="57"/>
  <c r="J74" i="57"/>
  <c r="R14" i="58"/>
  <c r="R16" i="58"/>
  <c r="R18" i="58"/>
  <c r="V28" i="58"/>
  <c r="J32" i="58"/>
  <c r="R33" i="58"/>
  <c r="J36" i="58"/>
  <c r="R37" i="58"/>
  <c r="J40" i="58"/>
  <c r="V44" i="58"/>
  <c r="R53" i="58"/>
  <c r="F56" i="58"/>
  <c r="F57" i="58"/>
  <c r="J58" i="58"/>
  <c r="R61" i="58"/>
  <c r="F64" i="58"/>
  <c r="F65" i="58"/>
  <c r="J66" i="58"/>
  <c r="D16" i="59"/>
  <c r="J21" i="59"/>
  <c r="R22" i="59"/>
  <c r="J25" i="59"/>
  <c r="R26" i="59"/>
  <c r="J29" i="59"/>
  <c r="F34" i="59"/>
  <c r="F38" i="59"/>
  <c r="V41" i="59"/>
  <c r="J45" i="59"/>
  <c r="V49" i="59"/>
  <c r="J53" i="59"/>
  <c r="V57" i="59"/>
  <c r="J61" i="59"/>
  <c r="R65" i="59"/>
  <c r="R66" i="59"/>
  <c r="H16" i="60"/>
  <c r="F19" i="60"/>
  <c r="F20" i="60"/>
  <c r="F24" i="60"/>
  <c r="F28" i="60"/>
  <c r="J29" i="60"/>
  <c r="V31" i="60"/>
  <c r="V35" i="60"/>
  <c r="F37" i="60"/>
  <c r="V41" i="60"/>
  <c r="R44" i="61"/>
  <c r="R43" i="61"/>
  <c r="R27" i="61"/>
  <c r="R23" i="61"/>
  <c r="R46" i="61"/>
  <c r="R45" i="61"/>
  <c r="R37" i="61"/>
  <c r="R33" i="61"/>
  <c r="R18" i="61"/>
  <c r="R16" i="61"/>
  <c r="R14" i="61"/>
  <c r="R60" i="61"/>
  <c r="R58" i="61"/>
  <c r="R38" i="61"/>
  <c r="R34" i="61"/>
  <c r="R30" i="61"/>
  <c r="R50" i="61"/>
  <c r="R49" i="61"/>
  <c r="R25" i="61"/>
  <c r="R21" i="61"/>
  <c r="R62" i="61"/>
  <c r="R67" i="61"/>
  <c r="R64" i="61"/>
  <c r="R52" i="61"/>
  <c r="R51" i="61"/>
  <c r="R40" i="61"/>
  <c r="R39" i="61"/>
  <c r="R35" i="61"/>
  <c r="R31" i="61"/>
  <c r="R53" i="61"/>
  <c r="R42" i="61"/>
  <c r="R41" i="61"/>
  <c r="R36" i="61"/>
  <c r="R32" i="61"/>
  <c r="R20" i="61"/>
  <c r="R22" i="61"/>
  <c r="F26" i="61"/>
  <c r="H16" i="63"/>
  <c r="Z40" i="63"/>
  <c r="R42" i="63"/>
  <c r="N72" i="63"/>
  <c r="Z90" i="63"/>
  <c r="N30" i="68"/>
  <c r="F36" i="68"/>
  <c r="V33" i="56"/>
  <c r="V37" i="56"/>
  <c r="V45" i="56"/>
  <c r="V57" i="56"/>
  <c r="F32" i="57"/>
  <c r="F36" i="57"/>
  <c r="F40" i="57"/>
  <c r="J41" i="57"/>
  <c r="F51" i="57"/>
  <c r="F52" i="57"/>
  <c r="J59" i="57"/>
  <c r="T16" i="58"/>
  <c r="R19" i="58"/>
  <c r="F22" i="58"/>
  <c r="F26" i="58"/>
  <c r="V33" i="58"/>
  <c r="V37" i="58"/>
  <c r="R42" i="58"/>
  <c r="R43" i="58"/>
  <c r="V45" i="58"/>
  <c r="F49" i="58"/>
  <c r="F50" i="58"/>
  <c r="V53" i="58"/>
  <c r="J57" i="58"/>
  <c r="V61" i="58"/>
  <c r="J65" i="58"/>
  <c r="R69" i="58"/>
  <c r="R71" i="58"/>
  <c r="F14" i="59"/>
  <c r="F16" i="59"/>
  <c r="F18" i="59"/>
  <c r="V22" i="59"/>
  <c r="V26" i="59"/>
  <c r="R31" i="59"/>
  <c r="J34" i="59"/>
  <c r="R35" i="59"/>
  <c r="J38" i="59"/>
  <c r="R39" i="59"/>
  <c r="R47" i="59"/>
  <c r="R48" i="59"/>
  <c r="V50" i="59"/>
  <c r="R55" i="59"/>
  <c r="R63" i="59"/>
  <c r="V66" i="59"/>
  <c r="V68" i="59"/>
  <c r="F72" i="59"/>
  <c r="F75" i="59"/>
  <c r="J14" i="60"/>
  <c r="J16" i="60"/>
  <c r="J18" i="60"/>
  <c r="J20" i="60"/>
  <c r="J24" i="60"/>
  <c r="J28" i="60"/>
  <c r="F33" i="60"/>
  <c r="J37" i="60"/>
  <c r="J40" i="60"/>
  <c r="J43" i="60"/>
  <c r="V49" i="60"/>
  <c r="P16" i="61"/>
  <c r="R24" i="61"/>
  <c r="Z46" i="61"/>
  <c r="R48" i="61"/>
  <c r="N52" i="61"/>
  <c r="X58" i="61"/>
  <c r="R94" i="63"/>
  <c r="R69" i="63"/>
  <c r="R62" i="63"/>
  <c r="R61" i="63"/>
  <c r="R50" i="63"/>
  <c r="R49" i="63"/>
  <c r="R41" i="63"/>
  <c r="R81" i="63"/>
  <c r="R80" i="63"/>
  <c r="R76" i="63"/>
  <c r="R64" i="63"/>
  <c r="R63" i="63"/>
  <c r="R52" i="63"/>
  <c r="R51" i="63"/>
  <c r="R27" i="63"/>
  <c r="R23" i="63"/>
  <c r="R101" i="63"/>
  <c r="R98" i="63"/>
  <c r="R77" i="63"/>
  <c r="R65" i="63"/>
  <c r="R54" i="63"/>
  <c r="R53" i="63"/>
  <c r="R37" i="63"/>
  <c r="R33" i="63"/>
  <c r="R18" i="63"/>
  <c r="R16" i="63"/>
  <c r="R14" i="63"/>
  <c r="R85" i="63"/>
  <c r="R84" i="63"/>
  <c r="R45" i="63"/>
  <c r="R44" i="63"/>
  <c r="R29" i="63"/>
  <c r="R28" i="63"/>
  <c r="R24" i="63"/>
  <c r="R20" i="63"/>
  <c r="P16" i="63"/>
  <c r="R72" i="63"/>
  <c r="R71" i="63"/>
  <c r="R56" i="63"/>
  <c r="R55" i="63"/>
  <c r="R87" i="63"/>
  <c r="R86" i="63"/>
  <c r="R78" i="63"/>
  <c r="R66" i="63"/>
  <c r="R46" i="63"/>
  <c r="R38" i="63"/>
  <c r="R34" i="63"/>
  <c r="R30" i="63"/>
  <c r="R74" i="63"/>
  <c r="R73" i="63"/>
  <c r="R58" i="63"/>
  <c r="R57" i="63"/>
  <c r="R25" i="63"/>
  <c r="R21" i="63"/>
  <c r="R91" i="63"/>
  <c r="R90" i="63"/>
  <c r="R79" i="63"/>
  <c r="R75" i="63"/>
  <c r="R68" i="63"/>
  <c r="R67" i="63"/>
  <c r="R60" i="63"/>
  <c r="R59" i="63"/>
  <c r="R48" i="63"/>
  <c r="R47" i="63"/>
  <c r="R40" i="63"/>
  <c r="R39" i="63"/>
  <c r="R35" i="63"/>
  <c r="R31" i="63"/>
  <c r="R92" i="63"/>
  <c r="R26" i="63"/>
  <c r="R22" i="63"/>
  <c r="T16" i="63"/>
  <c r="L68" i="63"/>
  <c r="N68" i="63" s="1"/>
  <c r="R70" i="63"/>
  <c r="F57" i="68"/>
  <c r="J21" i="55"/>
  <c r="J33" i="55"/>
  <c r="V42" i="56"/>
  <c r="V54" i="56"/>
  <c r="V62" i="56"/>
  <c r="X13" i="57"/>
  <c r="J32" i="57"/>
  <c r="J36" i="57"/>
  <c r="J40" i="57"/>
  <c r="J52" i="57"/>
  <c r="F70" i="57"/>
  <c r="J72" i="57"/>
  <c r="V14" i="58"/>
  <c r="V16" i="58"/>
  <c r="V18" i="58"/>
  <c r="J22" i="58"/>
  <c r="R23" i="58"/>
  <c r="J26" i="58"/>
  <c r="R27" i="58"/>
  <c r="F30" i="58"/>
  <c r="F31" i="58"/>
  <c r="F35" i="58"/>
  <c r="F39" i="58"/>
  <c r="V42" i="58"/>
  <c r="J50" i="58"/>
  <c r="R51" i="58"/>
  <c r="R52" i="58"/>
  <c r="F55" i="58"/>
  <c r="J56" i="58"/>
  <c r="R59" i="58"/>
  <c r="R60" i="58"/>
  <c r="F63" i="58"/>
  <c r="J64" i="58"/>
  <c r="R67" i="58"/>
  <c r="H16" i="59"/>
  <c r="F19" i="59"/>
  <c r="F20" i="59"/>
  <c r="F24" i="59"/>
  <c r="F28" i="59"/>
  <c r="V31" i="59"/>
  <c r="V35" i="59"/>
  <c r="V39" i="59"/>
  <c r="F43" i="59"/>
  <c r="F44" i="59"/>
  <c r="V47" i="59"/>
  <c r="F52" i="59"/>
  <c r="V55" i="59"/>
  <c r="F59" i="59"/>
  <c r="F60" i="59"/>
  <c r="V63" i="59"/>
  <c r="V65" i="59"/>
  <c r="F41" i="60"/>
  <c r="F40" i="60"/>
  <c r="F54" i="60"/>
  <c r="F52" i="60"/>
  <c r="F43" i="60"/>
  <c r="F42" i="60"/>
  <c r="F61" i="60"/>
  <c r="F58" i="60"/>
  <c r="J19" i="60"/>
  <c r="V21" i="60"/>
  <c r="V25" i="60"/>
  <c r="J33" i="60"/>
  <c r="V45" i="60"/>
  <c r="V48" i="60"/>
  <c r="Z48" i="61"/>
  <c r="R54" i="61"/>
  <c r="N48" i="63"/>
  <c r="X68" i="63"/>
  <c r="N73" i="70"/>
  <c r="J73" i="70"/>
  <c r="J54" i="60"/>
  <c r="J52" i="60"/>
  <c r="J42" i="60"/>
  <c r="J36" i="60"/>
  <c r="J56" i="60"/>
  <c r="J46" i="60"/>
  <c r="J38" i="60"/>
  <c r="J48" i="60"/>
  <c r="J50" i="60"/>
  <c r="V30" i="60"/>
  <c r="V34" i="60"/>
  <c r="J47" i="60"/>
  <c r="T64" i="61"/>
  <c r="Z68" i="63"/>
  <c r="J29" i="55"/>
  <c r="V32" i="56"/>
  <c r="V36" i="56"/>
  <c r="V40" i="56"/>
  <c r="V52" i="56"/>
  <c r="D17" i="57"/>
  <c r="J22" i="57"/>
  <c r="J26" i="57"/>
  <c r="F30" i="57"/>
  <c r="F31" i="57"/>
  <c r="F35" i="57"/>
  <c r="F39" i="57"/>
  <c r="J50" i="57"/>
  <c r="J58" i="57"/>
  <c r="F68" i="57"/>
  <c r="J69" i="57"/>
  <c r="F21" i="58"/>
  <c r="F25" i="58"/>
  <c r="F29" i="58"/>
  <c r="J30" i="58"/>
  <c r="V32" i="58"/>
  <c r="V36" i="58"/>
  <c r="V40" i="58"/>
  <c r="J48" i="58"/>
  <c r="V52" i="58"/>
  <c r="R57" i="58"/>
  <c r="R58" i="58"/>
  <c r="V60" i="58"/>
  <c r="R65" i="58"/>
  <c r="R66" i="58"/>
  <c r="J19" i="59"/>
  <c r="V21" i="59"/>
  <c r="V25" i="59"/>
  <c r="V29" i="59"/>
  <c r="J33" i="59"/>
  <c r="R34" i="59"/>
  <c r="J37" i="59"/>
  <c r="F41" i="59"/>
  <c r="F42" i="59"/>
  <c r="J43" i="59"/>
  <c r="V45" i="59"/>
  <c r="V53" i="59"/>
  <c r="F57" i="59"/>
  <c r="F58" i="59"/>
  <c r="J59" i="59"/>
  <c r="V61" i="59"/>
  <c r="F70" i="59"/>
  <c r="L12" i="60"/>
  <c r="J23" i="60"/>
  <c r="J27" i="60"/>
  <c r="F32" i="60"/>
  <c r="F36" i="60"/>
  <c r="V37" i="60"/>
  <c r="J39" i="60"/>
  <c r="F50" i="60"/>
  <c r="L14" i="61"/>
  <c r="R19" i="61"/>
  <c r="F32" i="61"/>
  <c r="N40" i="61"/>
  <c r="X48" i="63"/>
  <c r="N50" i="63"/>
  <c r="N54" i="63"/>
  <c r="N56" i="63"/>
  <c r="N58" i="63"/>
  <c r="L60" i="63"/>
  <c r="N60" i="63" s="1"/>
  <c r="R82" i="63"/>
  <c r="F18" i="68"/>
  <c r="Z30" i="68"/>
  <c r="V41" i="56"/>
  <c r="V53" i="56"/>
  <c r="F15" i="57"/>
  <c r="F17" i="57"/>
  <c r="F19" i="57"/>
  <c r="J31" i="57"/>
  <c r="J35" i="57"/>
  <c r="J39" i="57"/>
  <c r="F47" i="57"/>
  <c r="J49" i="57"/>
  <c r="J67" i="57"/>
  <c r="D16" i="58"/>
  <c r="J21" i="58"/>
  <c r="R22" i="58"/>
  <c r="J25" i="58"/>
  <c r="R26" i="58"/>
  <c r="J29" i="58"/>
  <c r="F34" i="58"/>
  <c r="F38" i="58"/>
  <c r="V41" i="58"/>
  <c r="F45" i="58"/>
  <c r="F46" i="58"/>
  <c r="J47" i="58"/>
  <c r="F54" i="58"/>
  <c r="V57" i="58"/>
  <c r="J75" i="58"/>
  <c r="V30" i="59"/>
  <c r="V34" i="59"/>
  <c r="V38" i="59"/>
  <c r="J42" i="59"/>
  <c r="V46" i="59"/>
  <c r="F50" i="59"/>
  <c r="F51" i="59"/>
  <c r="V54" i="59"/>
  <c r="J58" i="59"/>
  <c r="N12" i="60"/>
  <c r="V20" i="60"/>
  <c r="V24" i="60"/>
  <c r="V28" i="60"/>
  <c r="J32" i="60"/>
  <c r="Z40" i="60"/>
  <c r="V43" i="60"/>
  <c r="F27" i="61"/>
  <c r="F34" i="61"/>
  <c r="F36" i="61"/>
  <c r="F42" i="61"/>
  <c r="L14" i="63"/>
  <c r="N18" i="63"/>
  <c r="N43" i="63"/>
  <c r="Z48" i="63"/>
  <c r="X60" i="63"/>
  <c r="X64" i="63"/>
  <c r="Z64" i="63" s="1"/>
  <c r="Z79" i="70"/>
  <c r="V79" i="70"/>
  <c r="D16" i="63"/>
  <c r="F29" i="63"/>
  <c r="F30" i="63"/>
  <c r="F34" i="63"/>
  <c r="F38" i="63"/>
  <c r="F45" i="63"/>
  <c r="F46" i="63"/>
  <c r="J57" i="63"/>
  <c r="V61" i="63"/>
  <c r="F66" i="63"/>
  <c r="V69" i="63"/>
  <c r="J73" i="63"/>
  <c r="F78" i="63"/>
  <c r="V81" i="63"/>
  <c r="F85" i="63"/>
  <c r="F86" i="63"/>
  <c r="J87" i="63"/>
  <c r="L56" i="68"/>
  <c r="N56" i="68" s="1"/>
  <c r="R52" i="69"/>
  <c r="R50" i="69"/>
  <c r="R39" i="69"/>
  <c r="R38" i="69"/>
  <c r="R34" i="69"/>
  <c r="R30" i="69"/>
  <c r="R25" i="69"/>
  <c r="R21" i="69"/>
  <c r="R54" i="69"/>
  <c r="R41" i="69"/>
  <c r="R40" i="69"/>
  <c r="R59" i="69"/>
  <c r="R43" i="69"/>
  <c r="R42" i="69"/>
  <c r="R45" i="69"/>
  <c r="R44" i="69"/>
  <c r="R36" i="69"/>
  <c r="R32" i="69"/>
  <c r="X12" i="69"/>
  <c r="R37" i="69"/>
  <c r="R33" i="69"/>
  <c r="R29" i="69"/>
  <c r="R18" i="69"/>
  <c r="R16" i="69"/>
  <c r="R14" i="69"/>
  <c r="R48" i="69"/>
  <c r="R24" i="69"/>
  <c r="R20" i="69"/>
  <c r="P16" i="69"/>
  <c r="R23" i="69"/>
  <c r="X43" i="70"/>
  <c r="R50" i="72"/>
  <c r="R49" i="72"/>
  <c r="R60" i="72"/>
  <c r="R58" i="72"/>
  <c r="R51" i="72"/>
  <c r="R27" i="72"/>
  <c r="R23" i="72"/>
  <c r="R62" i="72"/>
  <c r="R52" i="72"/>
  <c r="R67" i="72"/>
  <c r="R64" i="72"/>
  <c r="R44" i="72"/>
  <c r="R43" i="72"/>
  <c r="R38" i="72"/>
  <c r="R34" i="72"/>
  <c r="R15" i="72"/>
  <c r="R45" i="72"/>
  <c r="R42" i="72"/>
  <c r="R16" i="72"/>
  <c r="R36" i="72"/>
  <c r="R55" i="72"/>
  <c r="R46" i="72"/>
  <c r="R39" i="72"/>
  <c r="R33" i="72"/>
  <c r="R22" i="72"/>
  <c r="R18" i="72"/>
  <c r="R47" i="72"/>
  <c r="R40" i="72"/>
  <c r="R31" i="72"/>
  <c r="R37" i="72"/>
  <c r="R28" i="72"/>
  <c r="R53" i="72"/>
  <c r="R20" i="72"/>
  <c r="R41" i="72"/>
  <c r="R35" i="72"/>
  <c r="R29" i="72"/>
  <c r="R24" i="72"/>
  <c r="X12" i="72"/>
  <c r="X31" i="72"/>
  <c r="Z31" i="72" s="1"/>
  <c r="N61" i="75"/>
  <c r="V36" i="61"/>
  <c r="V44" i="61"/>
  <c r="J30" i="63"/>
  <c r="J34" i="63"/>
  <c r="J38" i="63"/>
  <c r="J46" i="63"/>
  <c r="V50" i="63"/>
  <c r="F54" i="63"/>
  <c r="F55" i="63"/>
  <c r="J56" i="63"/>
  <c r="V62" i="63"/>
  <c r="J66" i="63"/>
  <c r="F71" i="63"/>
  <c r="J72" i="63"/>
  <c r="J78" i="63"/>
  <c r="J86" i="63"/>
  <c r="V92" i="63"/>
  <c r="V94" i="63"/>
  <c r="F98" i="63"/>
  <c r="F101" i="63"/>
  <c r="V38" i="69"/>
  <c r="V34" i="69"/>
  <c r="V30" i="69"/>
  <c r="V41" i="69"/>
  <c r="V25" i="69"/>
  <c r="V21" i="69"/>
  <c r="V56" i="69"/>
  <c r="V54" i="69"/>
  <c r="V40" i="69"/>
  <c r="V59" i="69"/>
  <c r="V43" i="69"/>
  <c r="V35" i="69"/>
  <c r="V31" i="69"/>
  <c r="V45" i="69"/>
  <c r="V44" i="69"/>
  <c r="V36" i="69"/>
  <c r="V47" i="69"/>
  <c r="V27" i="69"/>
  <c r="V23" i="69"/>
  <c r="V19" i="69"/>
  <c r="V52" i="69"/>
  <c r="V50" i="69"/>
  <c r="V48" i="69"/>
  <c r="V24" i="69"/>
  <c r="V20" i="69"/>
  <c r="V39" i="69"/>
  <c r="T16" i="69"/>
  <c r="R31" i="69"/>
  <c r="X43" i="69"/>
  <c r="J42" i="70"/>
  <c r="Z43" i="70"/>
  <c r="V43" i="70"/>
  <c r="X79" i="70"/>
  <c r="V22" i="61"/>
  <c r="V26" i="61"/>
  <c r="V42" i="61"/>
  <c r="J14" i="63"/>
  <c r="J16" i="63"/>
  <c r="J18" i="63"/>
  <c r="J20" i="63"/>
  <c r="J24" i="63"/>
  <c r="J28" i="63"/>
  <c r="F33" i="63"/>
  <c r="F37" i="63"/>
  <c r="V40" i="63"/>
  <c r="J44" i="63"/>
  <c r="V48" i="63"/>
  <c r="F52" i="63"/>
  <c r="F53" i="63"/>
  <c r="J54" i="63"/>
  <c r="V60" i="63"/>
  <c r="F64" i="63"/>
  <c r="F65" i="63"/>
  <c r="V68" i="63"/>
  <c r="F77" i="63"/>
  <c r="J84" i="63"/>
  <c r="V88" i="63"/>
  <c r="V90" i="63"/>
  <c r="J98" i="63"/>
  <c r="J101" i="63"/>
  <c r="J58" i="68"/>
  <c r="R28" i="69"/>
  <c r="V33" i="69"/>
  <c r="V35" i="61"/>
  <c r="V39" i="61"/>
  <c r="V51" i="61"/>
  <c r="J33" i="63"/>
  <c r="J37" i="63"/>
  <c r="F42" i="63"/>
  <c r="J43" i="63"/>
  <c r="J53" i="63"/>
  <c r="V57" i="63"/>
  <c r="J65" i="63"/>
  <c r="F70" i="63"/>
  <c r="V73" i="63"/>
  <c r="J77" i="63"/>
  <c r="F81" i="63"/>
  <c r="F82" i="63"/>
  <c r="J83" i="63"/>
  <c r="F96" i="63"/>
  <c r="J27" i="68"/>
  <c r="J40" i="68"/>
  <c r="V49" i="68"/>
  <c r="V69" i="68"/>
  <c r="R22" i="69"/>
  <c r="V42" i="69"/>
  <c r="R30" i="72"/>
  <c r="R48" i="72"/>
  <c r="V40" i="61"/>
  <c r="V52" i="61"/>
  <c r="V62" i="61"/>
  <c r="V64" i="61"/>
  <c r="V67" i="61"/>
  <c r="F23" i="63"/>
  <c r="F27" i="63"/>
  <c r="V34" i="63"/>
  <c r="V38" i="63"/>
  <c r="J42" i="63"/>
  <c r="V46" i="63"/>
  <c r="F50" i="63"/>
  <c r="F51" i="63"/>
  <c r="J52" i="63"/>
  <c r="V58" i="63"/>
  <c r="F62" i="63"/>
  <c r="F63" i="63"/>
  <c r="J64" i="63"/>
  <c r="V66" i="63"/>
  <c r="J70" i="63"/>
  <c r="V74" i="63"/>
  <c r="V78" i="63"/>
  <c r="J82" i="63"/>
  <c r="V86" i="63"/>
  <c r="F94" i="63"/>
  <c r="J96" i="63"/>
  <c r="X41" i="68"/>
  <c r="L47" i="68"/>
  <c r="Z49" i="68"/>
  <c r="L51" i="68"/>
  <c r="V56" i="68"/>
  <c r="N14" i="69"/>
  <c r="H16" i="69"/>
  <c r="V22" i="69"/>
  <c r="R27" i="69"/>
  <c r="V28" i="69"/>
  <c r="R35" i="69"/>
  <c r="R47" i="69"/>
  <c r="P12" i="70"/>
  <c r="F67" i="72"/>
  <c r="F64" i="72"/>
  <c r="F53" i="72"/>
  <c r="F45" i="72"/>
  <c r="F44" i="72"/>
  <c r="F29" i="72"/>
  <c r="F25" i="72"/>
  <c r="F55" i="72"/>
  <c r="F54" i="72"/>
  <c r="F47" i="72"/>
  <c r="F46" i="72"/>
  <c r="F39" i="72"/>
  <c r="F35" i="72"/>
  <c r="F56" i="72"/>
  <c r="F51" i="72"/>
  <c r="F50" i="72"/>
  <c r="F27" i="72"/>
  <c r="F23" i="72"/>
  <c r="F48" i="72"/>
  <c r="F32" i="72"/>
  <c r="F41" i="72"/>
  <c r="F38" i="72"/>
  <c r="F24" i="72"/>
  <c r="F21" i="72"/>
  <c r="F15" i="72"/>
  <c r="L12" i="72"/>
  <c r="F62" i="72"/>
  <c r="F16" i="72"/>
  <c r="F36" i="72"/>
  <c r="F33" i="72"/>
  <c r="F30" i="72"/>
  <c r="F18" i="72"/>
  <c r="F31" i="72"/>
  <c r="F26" i="72"/>
  <c r="F20" i="72"/>
  <c r="D18" i="72"/>
  <c r="R32" i="72"/>
  <c r="F60" i="72"/>
  <c r="P12" i="74"/>
  <c r="L14" i="77"/>
  <c r="D16" i="77"/>
  <c r="V49" i="61"/>
  <c r="J23" i="63"/>
  <c r="J27" i="63"/>
  <c r="F32" i="63"/>
  <c r="F36" i="63"/>
  <c r="J51" i="63"/>
  <c r="V55" i="63"/>
  <c r="J63" i="63"/>
  <c r="V71" i="63"/>
  <c r="F76" i="63"/>
  <c r="F80" i="63"/>
  <c r="J81" i="63"/>
  <c r="V87" i="63"/>
  <c r="D90" i="63"/>
  <c r="L90" i="63" s="1"/>
  <c r="N90" i="63" s="1"/>
  <c r="J69" i="68"/>
  <c r="J66" i="68"/>
  <c r="J55" i="68"/>
  <c r="J45" i="68"/>
  <c r="J56" i="68"/>
  <c r="J46" i="68"/>
  <c r="J38" i="68"/>
  <c r="J34" i="68"/>
  <c r="J51" i="68"/>
  <c r="H18" i="68"/>
  <c r="J64" i="68"/>
  <c r="J42" i="68"/>
  <c r="J31" i="68"/>
  <c r="J37" i="68"/>
  <c r="V48" i="68"/>
  <c r="J62" i="68"/>
  <c r="X14" i="69"/>
  <c r="R19" i="69"/>
  <c r="V37" i="69"/>
  <c r="Z47" i="69"/>
  <c r="X47" i="69"/>
  <c r="R56" i="72"/>
  <c r="H97" i="76"/>
  <c r="F60" i="63"/>
  <c r="F61" i="63"/>
  <c r="J62" i="63"/>
  <c r="F68" i="63"/>
  <c r="F69" i="63"/>
  <c r="J76" i="63"/>
  <c r="J80" i="63"/>
  <c r="V84" i="63"/>
  <c r="F90" i="63"/>
  <c r="F92" i="63"/>
  <c r="J94" i="63"/>
  <c r="N47" i="68"/>
  <c r="N41" i="69"/>
  <c r="L41" i="69"/>
  <c r="R46" i="69"/>
  <c r="L71" i="70"/>
  <c r="N71" i="70" s="1"/>
  <c r="L73" i="70"/>
  <c r="L91" i="70"/>
  <c r="P18" i="72"/>
  <c r="F40" i="72"/>
  <c r="R54" i="72"/>
  <c r="R84" i="76"/>
  <c r="R65" i="76"/>
  <c r="R64" i="76"/>
  <c r="R60" i="76"/>
  <c r="R56" i="76"/>
  <c r="R29" i="76"/>
  <c r="R76" i="76"/>
  <c r="R75" i="76"/>
  <c r="R51" i="76"/>
  <c r="R47" i="76"/>
  <c r="R67" i="76"/>
  <c r="R66" i="76"/>
  <c r="R43" i="76"/>
  <c r="R38" i="76"/>
  <c r="R34" i="76"/>
  <c r="R30" i="76"/>
  <c r="R86" i="76"/>
  <c r="R85" i="76"/>
  <c r="R78" i="76"/>
  <c r="R77" i="76"/>
  <c r="R61" i="76"/>
  <c r="R57" i="76"/>
  <c r="R42" i="76"/>
  <c r="R40" i="76"/>
  <c r="R69" i="76"/>
  <c r="R68" i="76"/>
  <c r="R52" i="76"/>
  <c r="R48" i="76"/>
  <c r="R44" i="76"/>
  <c r="P40" i="76"/>
  <c r="R90" i="76"/>
  <c r="R89" i="76"/>
  <c r="R71" i="76"/>
  <c r="R70" i="76"/>
  <c r="R62" i="76"/>
  <c r="R58" i="76"/>
  <c r="X12" i="76"/>
  <c r="Z12" i="76" s="1"/>
  <c r="R91" i="76"/>
  <c r="R82" i="76"/>
  <c r="R81" i="76"/>
  <c r="R54" i="76"/>
  <c r="R53" i="76"/>
  <c r="R49" i="76"/>
  <c r="R45" i="76"/>
  <c r="R72" i="76"/>
  <c r="R35" i="76"/>
  <c r="R80" i="76"/>
  <c r="R50" i="76"/>
  <c r="R46" i="76"/>
  <c r="R87" i="76"/>
  <c r="R73" i="76"/>
  <c r="R33" i="76"/>
  <c r="R83" i="76"/>
  <c r="R63" i="76"/>
  <c r="R31" i="76"/>
  <c r="R59" i="76"/>
  <c r="R55" i="76"/>
  <c r="R36" i="76"/>
  <c r="R95" i="76"/>
  <c r="R79" i="76"/>
  <c r="R37" i="76"/>
  <c r="R32" i="76"/>
  <c r="V20" i="61"/>
  <c r="V24" i="61"/>
  <c r="V28" i="61"/>
  <c r="V48" i="61"/>
  <c r="V56" i="61"/>
  <c r="V58" i="61"/>
  <c r="V60" i="61"/>
  <c r="V14" i="63"/>
  <c r="V16" i="63"/>
  <c r="V18" i="63"/>
  <c r="J22" i="63"/>
  <c r="J26" i="63"/>
  <c r="F31" i="63"/>
  <c r="F35" i="63"/>
  <c r="F39" i="63"/>
  <c r="J40" i="63"/>
  <c r="V42" i="63"/>
  <c r="F47" i="63"/>
  <c r="J48" i="63"/>
  <c r="V54" i="63"/>
  <c r="F58" i="63"/>
  <c r="F59" i="63"/>
  <c r="J60" i="63"/>
  <c r="F67" i="63"/>
  <c r="J68" i="63"/>
  <c r="V70" i="63"/>
  <c r="F74" i="63"/>
  <c r="F75" i="63"/>
  <c r="F79" i="63"/>
  <c r="V82" i="63"/>
  <c r="J90" i="63"/>
  <c r="J91" i="63"/>
  <c r="V96" i="63"/>
  <c r="V98" i="63"/>
  <c r="V101" i="63"/>
  <c r="V51" i="68"/>
  <c r="V39" i="68"/>
  <c r="V35" i="68"/>
  <c r="V31" i="68"/>
  <c r="T18" i="68"/>
  <c r="V62" i="68"/>
  <c r="V60" i="68"/>
  <c r="V58" i="68"/>
  <c r="V50" i="68"/>
  <c r="V53" i="68"/>
  <c r="V45" i="68"/>
  <c r="V37" i="68"/>
  <c r="V33" i="68"/>
  <c r="V46" i="68"/>
  <c r="V38" i="68"/>
  <c r="J29" i="68"/>
  <c r="V34" i="68"/>
  <c r="J36" i="68"/>
  <c r="J39" i="68"/>
  <c r="J57" i="68"/>
  <c r="V66" i="68"/>
  <c r="R26" i="69"/>
  <c r="Z65" i="70"/>
  <c r="F42" i="72"/>
  <c r="J75" i="63"/>
  <c r="J79" i="63"/>
  <c r="V83" i="63"/>
  <c r="F87" i="63"/>
  <c r="F88" i="63"/>
  <c r="J15" i="68"/>
  <c r="V16" i="68"/>
  <c r="J33" i="68"/>
  <c r="D16" i="69"/>
  <c r="V18" i="69"/>
  <c r="V26" i="69"/>
  <c r="R21" i="72"/>
  <c r="F37" i="72"/>
  <c r="F58" i="72"/>
  <c r="L94" i="74"/>
  <c r="N94" i="74" s="1"/>
  <c r="J94" i="74"/>
  <c r="D69" i="75"/>
  <c r="L69" i="75" s="1"/>
  <c r="N69" i="75" s="1"/>
  <c r="L70" i="75"/>
  <c r="N70" i="75" s="1"/>
  <c r="V14" i="61"/>
  <c r="V16" i="61"/>
  <c r="V18" i="61"/>
  <c r="V46" i="61"/>
  <c r="F21" i="63"/>
  <c r="F25" i="63"/>
  <c r="V36" i="63"/>
  <c r="V52" i="63"/>
  <c r="F56" i="63"/>
  <c r="F57" i="63"/>
  <c r="J58" i="63"/>
  <c r="V64" i="63"/>
  <c r="F72" i="63"/>
  <c r="J74" i="63"/>
  <c r="V76" i="63"/>
  <c r="Z47" i="68"/>
  <c r="J49" i="68"/>
  <c r="J53" i="68"/>
  <c r="V57" i="68"/>
  <c r="J60" i="68"/>
  <c r="V29" i="69"/>
  <c r="L42" i="70"/>
  <c r="N42" i="70" s="1"/>
  <c r="L43" i="70"/>
  <c r="N43" i="70" s="1"/>
  <c r="X75" i="70"/>
  <c r="J23" i="69"/>
  <c r="J27" i="69"/>
  <c r="J45" i="69"/>
  <c r="J50" i="70"/>
  <c r="J53" i="70"/>
  <c r="J69" i="70"/>
  <c r="J74" i="70"/>
  <c r="J82" i="70"/>
  <c r="J92" i="70"/>
  <c r="Z94" i="70"/>
  <c r="L31" i="72"/>
  <c r="N31" i="72" s="1"/>
  <c r="J67" i="72"/>
  <c r="V47" i="74"/>
  <c r="P71" i="83"/>
  <c r="N12" i="69"/>
  <c r="J32" i="69"/>
  <c r="J36" i="69"/>
  <c r="J44" i="69"/>
  <c r="J91" i="70"/>
  <c r="J85" i="70"/>
  <c r="J75" i="70"/>
  <c r="J37" i="70"/>
  <c r="J33" i="70"/>
  <c r="J29" i="70"/>
  <c r="J77" i="70"/>
  <c r="J65" i="70"/>
  <c r="J51" i="70"/>
  <c r="J47" i="70"/>
  <c r="J87" i="70"/>
  <c r="J88" i="70"/>
  <c r="J44" i="70"/>
  <c r="X54" i="70"/>
  <c r="Z54" i="70" s="1"/>
  <c r="J57" i="70"/>
  <c r="Z71" i="70"/>
  <c r="J89" i="70"/>
  <c r="V94" i="70"/>
  <c r="N20" i="72"/>
  <c r="X21" i="72"/>
  <c r="Z21" i="72" s="1"/>
  <c r="X42" i="72"/>
  <c r="Z42" i="72" s="1"/>
  <c r="L48" i="72"/>
  <c r="N48" i="72" s="1"/>
  <c r="J53" i="72"/>
  <c r="D12" i="75"/>
  <c r="L61" i="75"/>
  <c r="Z82" i="76"/>
  <c r="P55" i="79"/>
  <c r="J31" i="69"/>
  <c r="J35" i="69"/>
  <c r="F39" i="69"/>
  <c r="F40" i="69"/>
  <c r="J41" i="69"/>
  <c r="F54" i="69"/>
  <c r="V97" i="70"/>
  <c r="V69" i="70"/>
  <c r="V61" i="70"/>
  <c r="V57" i="70"/>
  <c r="T40" i="70"/>
  <c r="V87" i="70"/>
  <c r="V71" i="70"/>
  <c r="V35" i="70"/>
  <c r="V31" i="70"/>
  <c r="V27" i="70"/>
  <c r="V91" i="70"/>
  <c r="V83" i="70"/>
  <c r="V90" i="70"/>
  <c r="H40" i="70"/>
  <c r="J43" i="70"/>
  <c r="V44" i="70"/>
  <c r="J46" i="70"/>
  <c r="J49" i="70"/>
  <c r="V50" i="70"/>
  <c r="J52" i="70"/>
  <c r="V53" i="70"/>
  <c r="V54" i="70"/>
  <c r="J56" i="70"/>
  <c r="N67" i="70"/>
  <c r="V74" i="70"/>
  <c r="V89" i="70"/>
  <c r="V92" i="70"/>
  <c r="L95" i="70"/>
  <c r="D94" i="70"/>
  <c r="L94" i="70" s="1"/>
  <c r="N94" i="70" s="1"/>
  <c r="J96" i="70"/>
  <c r="J101" i="70"/>
  <c r="J25" i="72"/>
  <c r="J43" i="72"/>
  <c r="Z48" i="72"/>
  <c r="N50" i="72"/>
  <c r="L25" i="75"/>
  <c r="N25" i="75" s="1"/>
  <c r="N35" i="75"/>
  <c r="N59" i="75"/>
  <c r="J40" i="69"/>
  <c r="J54" i="69"/>
  <c r="Z27" i="70"/>
  <c r="J67" i="70"/>
  <c r="J72" i="70"/>
  <c r="N77" i="70"/>
  <c r="N18" i="72"/>
  <c r="H60" i="72"/>
  <c r="Z20" i="72"/>
  <c r="J50" i="72"/>
  <c r="T60" i="72"/>
  <c r="J64" i="72"/>
  <c r="N86" i="74"/>
  <c r="L86" i="74"/>
  <c r="Z127" i="74"/>
  <c r="L29" i="76"/>
  <c r="N29" i="76" s="1"/>
  <c r="V37" i="76"/>
  <c r="V60" i="76"/>
  <c r="N71" i="76"/>
  <c r="J39" i="69"/>
  <c r="J95" i="70"/>
  <c r="X13" i="72"/>
  <c r="H71" i="80"/>
  <c r="L71" i="76"/>
  <c r="L50" i="69"/>
  <c r="D12" i="70"/>
  <c r="J38" i="70"/>
  <c r="J48" i="70"/>
  <c r="J55" i="70"/>
  <c r="J71" i="70"/>
  <c r="Z73" i="70"/>
  <c r="J84" i="70"/>
  <c r="X96" i="70"/>
  <c r="Z96" i="70" s="1"/>
  <c r="J54" i="72"/>
  <c r="J46" i="72"/>
  <c r="J16" i="72"/>
  <c r="J48" i="72"/>
  <c r="J30" i="72"/>
  <c r="J26" i="72"/>
  <c r="J22" i="72"/>
  <c r="J20" i="72"/>
  <c r="J18" i="72"/>
  <c r="N12" i="72"/>
  <c r="J56" i="72"/>
  <c r="J51" i="72"/>
  <c r="J60" i="72"/>
  <c r="J58" i="72"/>
  <c r="J41" i="72"/>
  <c r="J37" i="72"/>
  <c r="J33" i="72"/>
  <c r="N42" i="72"/>
  <c r="J45" i="72"/>
  <c r="J49" i="72"/>
  <c r="J52" i="72"/>
  <c r="Z88" i="74"/>
  <c r="X88" i="74"/>
  <c r="R61" i="75"/>
  <c r="R60" i="75"/>
  <c r="R25" i="75"/>
  <c r="R67" i="75"/>
  <c r="R52" i="75"/>
  <c r="R51" i="75"/>
  <c r="R43" i="75"/>
  <c r="R39" i="75"/>
  <c r="R24" i="75"/>
  <c r="R20" i="75"/>
  <c r="R70" i="75"/>
  <c r="R69" i="75"/>
  <c r="R62" i="75"/>
  <c r="R35" i="75"/>
  <c r="R34" i="75"/>
  <c r="R30" i="75"/>
  <c r="R26" i="75"/>
  <c r="P22" i="75"/>
  <c r="R22" i="75" s="1"/>
  <c r="R54" i="75"/>
  <c r="R53" i="75"/>
  <c r="R44" i="75"/>
  <c r="R40" i="75"/>
  <c r="R36" i="75"/>
  <c r="X12" i="75"/>
  <c r="Z12" i="75" s="1"/>
  <c r="R74" i="75"/>
  <c r="R41" i="75"/>
  <c r="R31" i="75"/>
  <c r="R65" i="75"/>
  <c r="R55" i="75"/>
  <c r="R49" i="75"/>
  <c r="R58" i="75"/>
  <c r="R37" i="75"/>
  <c r="R29" i="75"/>
  <c r="R66" i="75"/>
  <c r="R63" i="75"/>
  <c r="R50" i="75"/>
  <c r="R47" i="75"/>
  <c r="R27" i="75"/>
  <c r="R32" i="75"/>
  <c r="R42" i="75"/>
  <c r="R59" i="75"/>
  <c r="R56" i="75"/>
  <c r="R57" i="75"/>
  <c r="R64" i="75"/>
  <c r="V75" i="76"/>
  <c r="V67" i="76"/>
  <c r="V51" i="76"/>
  <c r="V47" i="76"/>
  <c r="V43" i="76"/>
  <c r="V86" i="76"/>
  <c r="V78" i="76"/>
  <c r="V66" i="76"/>
  <c r="V42" i="76"/>
  <c r="V40" i="76"/>
  <c r="V38" i="76"/>
  <c r="V34" i="76"/>
  <c r="V30" i="76"/>
  <c r="V85" i="76"/>
  <c r="V77" i="76"/>
  <c r="V69" i="76"/>
  <c r="V61" i="76"/>
  <c r="V57" i="76"/>
  <c r="T40" i="76"/>
  <c r="V80" i="76"/>
  <c r="V68" i="76"/>
  <c r="V52" i="76"/>
  <c r="V48" i="76"/>
  <c r="V44" i="76"/>
  <c r="V89" i="76"/>
  <c r="V87" i="76"/>
  <c r="V79" i="76"/>
  <c r="V71" i="76"/>
  <c r="V35" i="76"/>
  <c r="V31" i="76"/>
  <c r="V91" i="76"/>
  <c r="V81" i="76"/>
  <c r="V73" i="76"/>
  <c r="V53" i="76"/>
  <c r="V49" i="76"/>
  <c r="V45" i="76"/>
  <c r="V72" i="76"/>
  <c r="V36" i="76"/>
  <c r="V32" i="76"/>
  <c r="V90" i="76"/>
  <c r="V65" i="76"/>
  <c r="V50" i="76"/>
  <c r="V46" i="76"/>
  <c r="V33" i="76"/>
  <c r="V83" i="76"/>
  <c r="V70" i="76"/>
  <c r="V63" i="76"/>
  <c r="V59" i="76"/>
  <c r="V55" i="76"/>
  <c r="V29" i="76"/>
  <c r="V76" i="76"/>
  <c r="V95" i="76"/>
  <c r="V56" i="76"/>
  <c r="J14" i="69"/>
  <c r="J16" i="69"/>
  <c r="J18" i="69"/>
  <c r="J20" i="69"/>
  <c r="J24" i="69"/>
  <c r="J48" i="69"/>
  <c r="J28" i="70"/>
  <c r="J45" i="70"/>
  <c r="J58" i="70"/>
  <c r="N65" i="70"/>
  <c r="J70" i="70"/>
  <c r="Z77" i="70"/>
  <c r="J94" i="70"/>
  <c r="J42" i="72"/>
  <c r="J62" i="72"/>
  <c r="Z57" i="75"/>
  <c r="J19" i="69"/>
  <c r="J29" i="69"/>
  <c r="J33" i="69"/>
  <c r="J37" i="69"/>
  <c r="F45" i="69"/>
  <c r="J47" i="69"/>
  <c r="J31" i="70"/>
  <c r="V32" i="70"/>
  <c r="J54" i="70"/>
  <c r="V59" i="70"/>
  <c r="V62" i="70"/>
  <c r="V66" i="70"/>
  <c r="V77" i="70"/>
  <c r="N79" i="70"/>
  <c r="V80" i="70"/>
  <c r="J83" i="70"/>
  <c r="V85" i="70"/>
  <c r="V95" i="70"/>
  <c r="J24" i="72"/>
  <c r="J35" i="72"/>
  <c r="L78" i="76"/>
  <c r="N78" i="76" s="1"/>
  <c r="V84" i="76"/>
  <c r="N14" i="83"/>
  <c r="H16" i="83"/>
  <c r="J28" i="69"/>
  <c r="J61" i="70"/>
  <c r="J64" i="70"/>
  <c r="J79" i="70"/>
  <c r="T62" i="74"/>
  <c r="Z47" i="74"/>
  <c r="N123" i="74"/>
  <c r="R48" i="75"/>
  <c r="N43" i="76"/>
  <c r="N50" i="79"/>
  <c r="D12" i="82"/>
  <c r="J49" i="74"/>
  <c r="J53" i="74"/>
  <c r="J57" i="74"/>
  <c r="H62" i="74"/>
  <c r="J62" i="74" s="1"/>
  <c r="J76" i="74"/>
  <c r="V77" i="74"/>
  <c r="V88" i="74"/>
  <c r="J93" i="74"/>
  <c r="V97" i="74"/>
  <c r="Z105" i="74"/>
  <c r="Z113" i="74"/>
  <c r="J117" i="74"/>
  <c r="J57" i="75"/>
  <c r="J47" i="75"/>
  <c r="J58" i="75"/>
  <c r="J48" i="75"/>
  <c r="J42" i="75"/>
  <c r="J38" i="75"/>
  <c r="J65" i="75"/>
  <c r="J59" i="75"/>
  <c r="J49" i="75"/>
  <c r="J33" i="75"/>
  <c r="J29" i="75"/>
  <c r="J66" i="75"/>
  <c r="J60" i="75"/>
  <c r="J50" i="75"/>
  <c r="J67" i="75"/>
  <c r="J61" i="75"/>
  <c r="J51" i="75"/>
  <c r="J43" i="75"/>
  <c r="J39" i="75"/>
  <c r="J25" i="75"/>
  <c r="J70" i="75"/>
  <c r="J69" i="75"/>
  <c r="J53" i="75"/>
  <c r="J35" i="75"/>
  <c r="H22" i="75"/>
  <c r="J20" i="75"/>
  <c r="J31" i="76"/>
  <c r="Z41" i="79"/>
  <c r="N17" i="80"/>
  <c r="L29" i="80"/>
  <c r="X40" i="80"/>
  <c r="J64" i="74"/>
  <c r="J66" i="74"/>
  <c r="V73" i="74"/>
  <c r="J79" i="74"/>
  <c r="V80" i="74"/>
  <c r="J82" i="74"/>
  <c r="V83" i="74"/>
  <c r="V87" i="74"/>
  <c r="J90" i="74"/>
  <c r="J96" i="74"/>
  <c r="V99" i="74"/>
  <c r="N101" i="74"/>
  <c r="V115" i="74"/>
  <c r="J122" i="74"/>
  <c r="V125" i="74"/>
  <c r="J27" i="75"/>
  <c r="J37" i="75"/>
  <c r="J44" i="75"/>
  <c r="V48" i="75"/>
  <c r="V56" i="75"/>
  <c r="Z59" i="75"/>
  <c r="J63" i="75"/>
  <c r="J38" i="76"/>
  <c r="X71" i="76"/>
  <c r="Z71" i="76" s="1"/>
  <c r="X43" i="79"/>
  <c r="J65" i="74"/>
  <c r="J85" i="74"/>
  <c r="J106" i="74"/>
  <c r="V59" i="75"/>
  <c r="V61" i="75"/>
  <c r="J70" i="76"/>
  <c r="J87" i="76"/>
  <c r="X89" i="76"/>
  <c r="Z89" i="76" s="1"/>
  <c r="F51" i="79"/>
  <c r="F50" i="79"/>
  <c r="F35" i="79"/>
  <c r="F31" i="79"/>
  <c r="F42" i="79"/>
  <c r="F41" i="79"/>
  <c r="F26" i="79"/>
  <c r="F22" i="79"/>
  <c r="F55" i="79"/>
  <c r="F53" i="79"/>
  <c r="F44" i="79"/>
  <c r="F43" i="79"/>
  <c r="F36" i="79"/>
  <c r="F32" i="79"/>
  <c r="L12" i="79"/>
  <c r="F57" i="79"/>
  <c r="F27" i="79"/>
  <c r="F23" i="79"/>
  <c r="F46" i="79"/>
  <c r="F45" i="79"/>
  <c r="F37" i="79"/>
  <c r="F33" i="79"/>
  <c r="F29" i="79"/>
  <c r="F28" i="79"/>
  <c r="F62" i="79"/>
  <c r="F59" i="79"/>
  <c r="F48" i="79"/>
  <c r="F47" i="79"/>
  <c r="F24" i="79"/>
  <c r="F20" i="79"/>
  <c r="F19" i="79"/>
  <c r="F30" i="79"/>
  <c r="J125" i="74"/>
  <c r="J107" i="74"/>
  <c r="J97" i="74"/>
  <c r="J108" i="74"/>
  <c r="J86" i="74"/>
  <c r="J72" i="74"/>
  <c r="J68" i="74"/>
  <c r="J128" i="74"/>
  <c r="J127" i="74"/>
  <c r="J119" i="74"/>
  <c r="J115" i="74"/>
  <c r="J129" i="74"/>
  <c r="J98" i="74"/>
  <c r="J88" i="74"/>
  <c r="J130" i="74"/>
  <c r="J109" i="74"/>
  <c r="J99" i="74"/>
  <c r="J89" i="74"/>
  <c r="J73" i="74"/>
  <c r="J121" i="74"/>
  <c r="J101" i="74"/>
  <c r="J91" i="74"/>
  <c r="J48" i="74"/>
  <c r="J52" i="74"/>
  <c r="J56" i="74"/>
  <c r="J60" i="74"/>
  <c r="J69" i="74"/>
  <c r="J75" i="74"/>
  <c r="J124" i="74"/>
  <c r="V128" i="74"/>
  <c r="V69" i="75"/>
  <c r="V67" i="75"/>
  <c r="V51" i="75"/>
  <c r="V43" i="75"/>
  <c r="V39" i="75"/>
  <c r="V35" i="75"/>
  <c r="T22" i="75"/>
  <c r="V70" i="75"/>
  <c r="V62" i="75"/>
  <c r="V54" i="75"/>
  <c r="V34" i="75"/>
  <c r="V30" i="75"/>
  <c r="V26" i="75"/>
  <c r="V53" i="75"/>
  <c r="V44" i="75"/>
  <c r="V40" i="75"/>
  <c r="V36" i="75"/>
  <c r="V63" i="75"/>
  <c r="V55" i="75"/>
  <c r="V31" i="75"/>
  <c r="V27" i="75"/>
  <c r="V57" i="75"/>
  <c r="V45" i="75"/>
  <c r="V41" i="75"/>
  <c r="V37" i="75"/>
  <c r="V20" i="75"/>
  <c r="V32" i="75"/>
  <c r="N65" i="76"/>
  <c r="J80" i="76"/>
  <c r="J90" i="76"/>
  <c r="X91" i="76"/>
  <c r="Z91" i="76" s="1"/>
  <c r="F29" i="77"/>
  <c r="F26" i="77"/>
  <c r="L12" i="77"/>
  <c r="F18" i="79"/>
  <c r="T53" i="82"/>
  <c r="J78" i="74"/>
  <c r="N103" i="74"/>
  <c r="Z107" i="74"/>
  <c r="N111" i="74"/>
  <c r="V47" i="75"/>
  <c r="J35" i="76"/>
  <c r="J72" i="76"/>
  <c r="L80" i="76"/>
  <c r="N80" i="76" s="1"/>
  <c r="N18" i="79"/>
  <c r="F21" i="79"/>
  <c r="F38" i="79"/>
  <c r="L39" i="79"/>
  <c r="N39" i="79" s="1"/>
  <c r="L50" i="79"/>
  <c r="L14" i="80"/>
  <c r="V42" i="72"/>
  <c r="V66" i="74"/>
  <c r="J81" i="74"/>
  <c r="V86" i="74"/>
  <c r="J92" i="74"/>
  <c r="J95" i="74"/>
  <c r="V98" i="74"/>
  <c r="J100" i="74"/>
  <c r="J103" i="74"/>
  <c r="J111" i="74"/>
  <c r="J116" i="74"/>
  <c r="N121" i="74"/>
  <c r="J134" i="74"/>
  <c r="V29" i="75"/>
  <c r="J46" i="75"/>
  <c r="V50" i="75"/>
  <c r="L54" i="75"/>
  <c r="N54" i="75" s="1"/>
  <c r="V58" i="75"/>
  <c r="V66" i="75"/>
  <c r="Z73" i="76"/>
  <c r="N47" i="79"/>
  <c r="F49" i="79"/>
  <c r="X43" i="83"/>
  <c r="Z43" i="83" s="1"/>
  <c r="X37" i="84"/>
  <c r="Z37" i="84" s="1"/>
  <c r="V37" i="84"/>
  <c r="N47" i="84"/>
  <c r="J71" i="74"/>
  <c r="J74" i="74"/>
  <c r="J84" i="74"/>
  <c r="J118" i="74"/>
  <c r="J93" i="76"/>
  <c r="J83" i="76"/>
  <c r="J73" i="76"/>
  <c r="J63" i="76"/>
  <c r="J59" i="76"/>
  <c r="J55" i="76"/>
  <c r="J74" i="76"/>
  <c r="J50" i="76"/>
  <c r="J46" i="76"/>
  <c r="J95" i="76"/>
  <c r="J37" i="76"/>
  <c r="J33" i="76"/>
  <c r="J84" i="76"/>
  <c r="J64" i="76"/>
  <c r="J60" i="76"/>
  <c r="J56" i="76"/>
  <c r="J97" i="76"/>
  <c r="J75" i="76"/>
  <c r="J65" i="76"/>
  <c r="J51" i="76"/>
  <c r="J47" i="76"/>
  <c r="J29" i="76"/>
  <c r="J85" i="76"/>
  <c r="J77" i="76"/>
  <c r="J67" i="76"/>
  <c r="J61" i="76"/>
  <c r="J57" i="76"/>
  <c r="J43" i="76"/>
  <c r="J86" i="76"/>
  <c r="J78" i="76"/>
  <c r="J68" i="76"/>
  <c r="J52" i="76"/>
  <c r="J48" i="76"/>
  <c r="J44" i="76"/>
  <c r="J42" i="76"/>
  <c r="J40" i="76"/>
  <c r="J30" i="76"/>
  <c r="J58" i="76"/>
  <c r="J62" i="76"/>
  <c r="N67" i="76"/>
  <c r="L69" i="76"/>
  <c r="N69" i="76" s="1"/>
  <c r="J79" i="76"/>
  <c r="J82" i="76"/>
  <c r="P29" i="77"/>
  <c r="L46" i="80"/>
  <c r="V32" i="72"/>
  <c r="V36" i="72"/>
  <c r="V40" i="72"/>
  <c r="V56" i="72"/>
  <c r="V58" i="72"/>
  <c r="V121" i="74"/>
  <c r="V109" i="74"/>
  <c r="V101" i="74"/>
  <c r="V89" i="74"/>
  <c r="V120" i="74"/>
  <c r="V116" i="74"/>
  <c r="V100" i="74"/>
  <c r="V92" i="74"/>
  <c r="V123" i="74"/>
  <c r="V111" i="74"/>
  <c r="V103" i="74"/>
  <c r="V91" i="74"/>
  <c r="V134" i="74"/>
  <c r="V122" i="74"/>
  <c r="V110" i="74"/>
  <c r="V102" i="74"/>
  <c r="V94" i="74"/>
  <c r="V117" i="74"/>
  <c r="V113" i="74"/>
  <c r="V105" i="74"/>
  <c r="V93" i="74"/>
  <c r="V107" i="74"/>
  <c r="V95" i="74"/>
  <c r="V48" i="74"/>
  <c r="V52" i="74"/>
  <c r="V56" i="74"/>
  <c r="V60" i="74"/>
  <c r="V62" i="74"/>
  <c r="V64" i="74"/>
  <c r="V96" i="74"/>
  <c r="V130" i="74"/>
  <c r="J64" i="75"/>
  <c r="D12" i="76"/>
  <c r="J32" i="76"/>
  <c r="D16" i="79"/>
  <c r="Z50" i="79"/>
  <c r="H16" i="77"/>
  <c r="H16" i="79"/>
  <c r="J14" i="80"/>
  <c r="X68" i="80"/>
  <c r="P71" i="80"/>
  <c r="X71" i="80" s="1"/>
  <c r="Z71" i="80" s="1"/>
  <c r="J24" i="80"/>
  <c r="J28" i="80"/>
  <c r="F44" i="80"/>
  <c r="F45" i="80"/>
  <c r="J46" i="80"/>
  <c r="R48" i="80"/>
  <c r="J58" i="80"/>
  <c r="R59" i="80"/>
  <c r="R64" i="80"/>
  <c r="J68" i="80"/>
  <c r="L46" i="83"/>
  <c r="V40" i="79"/>
  <c r="J48" i="79"/>
  <c r="R49" i="79"/>
  <c r="R50" i="79"/>
  <c r="F56" i="80"/>
  <c r="F58" i="80"/>
  <c r="F57" i="80"/>
  <c r="F60" i="80"/>
  <c r="F59" i="80"/>
  <c r="F66" i="80"/>
  <c r="R17" i="80"/>
  <c r="R19" i="80"/>
  <c r="R30" i="80"/>
  <c r="J33" i="80"/>
  <c r="R34" i="80"/>
  <c r="J37" i="80"/>
  <c r="R38" i="80"/>
  <c r="J45" i="80"/>
  <c r="R47" i="80"/>
  <c r="R52" i="80"/>
  <c r="V64" i="80"/>
  <c r="X25" i="82"/>
  <c r="J57" i="80"/>
  <c r="J59" i="80"/>
  <c r="J49" i="80"/>
  <c r="J51" i="80"/>
  <c r="J53" i="80"/>
  <c r="J55" i="80"/>
  <c r="J44" i="80"/>
  <c r="X64" i="80"/>
  <c r="Z64" i="80" s="1"/>
  <c r="H49" i="82"/>
  <c r="D71" i="83"/>
  <c r="N46" i="83"/>
  <c r="P26" i="85"/>
  <c r="V24" i="77"/>
  <c r="V26" i="77"/>
  <c r="V29" i="77"/>
  <c r="J28" i="79"/>
  <c r="V30" i="79"/>
  <c r="V34" i="79"/>
  <c r="V38" i="79"/>
  <c r="J46" i="79"/>
  <c r="V50" i="79"/>
  <c r="L12" i="80"/>
  <c r="J23" i="80"/>
  <c r="R24" i="80"/>
  <c r="J27" i="80"/>
  <c r="R28" i="80"/>
  <c r="R29" i="80"/>
  <c r="F32" i="80"/>
  <c r="F36" i="80"/>
  <c r="J43" i="80"/>
  <c r="X46" i="80"/>
  <c r="R51" i="80"/>
  <c r="V52" i="80"/>
  <c r="F54" i="80"/>
  <c r="R58" i="80"/>
  <c r="V68" i="80"/>
  <c r="J23" i="82"/>
  <c r="X35" i="82"/>
  <c r="N28" i="83"/>
  <c r="D12" i="84"/>
  <c r="F76" i="87"/>
  <c r="F75" i="87"/>
  <c r="F60" i="87"/>
  <c r="F52" i="87"/>
  <c r="F51" i="87"/>
  <c r="F80" i="87"/>
  <c r="F79" i="87"/>
  <c r="F72" i="87"/>
  <c r="F68" i="87"/>
  <c r="F62" i="87"/>
  <c r="L12" i="87"/>
  <c r="F91" i="87"/>
  <c r="F47" i="87"/>
  <c r="F46" i="87"/>
  <c r="F39" i="87"/>
  <c r="F35" i="87"/>
  <c r="F67" i="87"/>
  <c r="F57" i="87"/>
  <c r="F30" i="87"/>
  <c r="F26" i="87"/>
  <c r="F70" i="87"/>
  <c r="F64" i="87"/>
  <c r="F17" i="87"/>
  <c r="F16" i="87"/>
  <c r="F86" i="87"/>
  <c r="F61" i="87"/>
  <c r="F53" i="87"/>
  <c r="F48" i="87"/>
  <c r="F40" i="87"/>
  <c r="F36" i="87"/>
  <c r="F32" i="87"/>
  <c r="F31" i="87"/>
  <c r="F73" i="87"/>
  <c r="F58" i="87"/>
  <c r="F27" i="87"/>
  <c r="F23" i="87"/>
  <c r="F22" i="87"/>
  <c r="F65" i="87"/>
  <c r="F54" i="87"/>
  <c r="F49" i="87"/>
  <c r="F21" i="87"/>
  <c r="F19" i="87"/>
  <c r="F77" i="87"/>
  <c r="F41" i="87"/>
  <c r="F37" i="87"/>
  <c r="F33" i="87"/>
  <c r="D19" i="87"/>
  <c r="F71" i="87"/>
  <c r="F59" i="87"/>
  <c r="F55" i="87"/>
  <c r="F50" i="87"/>
  <c r="F28" i="87"/>
  <c r="F24" i="87"/>
  <c r="F88" i="87"/>
  <c r="F82" i="87"/>
  <c r="F74" i="87"/>
  <c r="F66" i="87"/>
  <c r="F43" i="87"/>
  <c r="F42" i="87"/>
  <c r="F84" i="87"/>
  <c r="F78" i="87"/>
  <c r="F63" i="87"/>
  <c r="F69" i="87"/>
  <c r="F45" i="87"/>
  <c r="F29" i="87"/>
  <c r="F25" i="87"/>
  <c r="F56" i="87"/>
  <c r="F34" i="87"/>
  <c r="F44" i="87"/>
  <c r="F38" i="87"/>
  <c r="R20" i="79"/>
  <c r="J23" i="79"/>
  <c r="R24" i="79"/>
  <c r="J27" i="79"/>
  <c r="V39" i="79"/>
  <c r="J45" i="79"/>
  <c r="R48" i="79"/>
  <c r="J57" i="79"/>
  <c r="N12" i="80"/>
  <c r="R14" i="80"/>
  <c r="X17" i="80"/>
  <c r="V20" i="80"/>
  <c r="V24" i="80"/>
  <c r="V28" i="80"/>
  <c r="J32" i="80"/>
  <c r="R33" i="80"/>
  <c r="J36" i="80"/>
  <c r="R37" i="80"/>
  <c r="F40" i="80"/>
  <c r="F41" i="80"/>
  <c r="J42" i="80"/>
  <c r="R45" i="80"/>
  <c r="R46" i="80"/>
  <c r="J50" i="80"/>
  <c r="J60" i="80"/>
  <c r="J66" i="80"/>
  <c r="Z68" i="80"/>
  <c r="J45" i="82"/>
  <c r="J41" i="82"/>
  <c r="J37" i="82"/>
  <c r="J49" i="82"/>
  <c r="J47" i="82"/>
  <c r="J19" i="82"/>
  <c r="J42" i="82"/>
  <c r="J51" i="82"/>
  <c r="J33" i="82"/>
  <c r="J29" i="82"/>
  <c r="J43" i="82"/>
  <c r="J39" i="82"/>
  <c r="J34" i="82"/>
  <c r="J30" i="82"/>
  <c r="J35" i="82"/>
  <c r="J21" i="82"/>
  <c r="Z46" i="83"/>
  <c r="L48" i="83"/>
  <c r="N48" i="83" s="1"/>
  <c r="N52" i="83"/>
  <c r="N60" i="83"/>
  <c r="L13" i="84"/>
  <c r="N13" i="84" s="1"/>
  <c r="R28" i="85"/>
  <c r="R33" i="85"/>
  <c r="R30" i="85"/>
  <c r="R15" i="85"/>
  <c r="R21" i="85"/>
  <c r="R16" i="85"/>
  <c r="R20" i="85"/>
  <c r="R18" i="85"/>
  <c r="R24" i="85"/>
  <c r="X12" i="85"/>
  <c r="R22" i="85"/>
  <c r="V20" i="79"/>
  <c r="V24" i="79"/>
  <c r="V48" i="79"/>
  <c r="R60" i="80"/>
  <c r="R66" i="80"/>
  <c r="R57" i="80"/>
  <c r="R56" i="80"/>
  <c r="Z17" i="80"/>
  <c r="J41" i="80"/>
  <c r="F49" i="80"/>
  <c r="J54" i="80"/>
  <c r="R55" i="80"/>
  <c r="F71" i="80"/>
  <c r="N26" i="82"/>
  <c r="L26" i="82"/>
  <c r="T16" i="77"/>
  <c r="X16" i="77" s="1"/>
  <c r="T16" i="79"/>
  <c r="X16" i="79" s="1"/>
  <c r="R19" i="79"/>
  <c r="V29" i="79"/>
  <c r="V33" i="79"/>
  <c r="V37" i="79"/>
  <c r="J43" i="79"/>
  <c r="R46" i="79"/>
  <c r="R47" i="79"/>
  <c r="J53" i="79"/>
  <c r="R59" i="79"/>
  <c r="R62" i="79"/>
  <c r="V51" i="80"/>
  <c r="V53" i="80"/>
  <c r="V55" i="80"/>
  <c r="V57" i="80"/>
  <c r="V59" i="80"/>
  <c r="V47" i="80"/>
  <c r="V14" i="80"/>
  <c r="D17" i="80"/>
  <c r="J22" i="80"/>
  <c r="R23" i="80"/>
  <c r="J26" i="80"/>
  <c r="R27" i="80"/>
  <c r="F31" i="80"/>
  <c r="F35" i="80"/>
  <c r="F39" i="80"/>
  <c r="J40" i="80"/>
  <c r="R43" i="80"/>
  <c r="R44" i="80"/>
  <c r="V46" i="80"/>
  <c r="F48" i="80"/>
  <c r="X50" i="80"/>
  <c r="V62" i="80"/>
  <c r="V53" i="82"/>
  <c r="V51" i="82"/>
  <c r="V33" i="82"/>
  <c r="V29" i="82"/>
  <c r="V43" i="82"/>
  <c r="V39" i="82"/>
  <c r="V35" i="82"/>
  <c r="V25" i="82"/>
  <c r="V23" i="82"/>
  <c r="V21" i="82"/>
  <c r="V31" i="82"/>
  <c r="V27" i="82"/>
  <c r="V18" i="82"/>
  <c r="V49" i="82"/>
  <c r="V47" i="82"/>
  <c r="V45" i="82"/>
  <c r="V41" i="82"/>
  <c r="V37" i="82"/>
  <c r="P12" i="82"/>
  <c r="X14" i="82"/>
  <c r="J26" i="82"/>
  <c r="V34" i="82"/>
  <c r="J36" i="82"/>
  <c r="Z54" i="83"/>
  <c r="Z69" i="83"/>
  <c r="X69" i="83"/>
  <c r="P12" i="84"/>
  <c r="V14" i="77"/>
  <c r="V16" i="77"/>
  <c r="V18" i="77"/>
  <c r="V20" i="77"/>
  <c r="V14" i="79"/>
  <c r="V16" i="79"/>
  <c r="V18" i="79"/>
  <c r="J31" i="80"/>
  <c r="R32" i="80"/>
  <c r="J35" i="80"/>
  <c r="R36" i="80"/>
  <c r="J39" i="80"/>
  <c r="R50" i="80"/>
  <c r="F53" i="80"/>
  <c r="J71" i="80"/>
  <c r="L14" i="83"/>
  <c r="L18" i="83"/>
  <c r="N18" i="83" s="1"/>
  <c r="Z52" i="83"/>
  <c r="Z60" i="83"/>
  <c r="H18" i="85"/>
  <c r="N15" i="85"/>
  <c r="L15" i="85"/>
  <c r="H91" i="87"/>
  <c r="R21" i="83"/>
  <c r="R25" i="83"/>
  <c r="F28" i="83"/>
  <c r="F29" i="83"/>
  <c r="F33" i="83"/>
  <c r="F37" i="83"/>
  <c r="F45" i="83"/>
  <c r="J46" i="83"/>
  <c r="R49" i="83"/>
  <c r="R50" i="83"/>
  <c r="V52" i="83"/>
  <c r="J56" i="83"/>
  <c r="R57" i="83"/>
  <c r="R58" i="83"/>
  <c r="V60" i="83"/>
  <c r="J64" i="83"/>
  <c r="R65" i="83"/>
  <c r="R66" i="83"/>
  <c r="V54" i="84"/>
  <c r="J63" i="84"/>
  <c r="V64" i="84"/>
  <c r="J73" i="84"/>
  <c r="N83" i="84"/>
  <c r="N97" i="84"/>
  <c r="V101" i="84"/>
  <c r="Z105" i="84"/>
  <c r="J15" i="85"/>
  <c r="J29" i="83"/>
  <c r="R30" i="83"/>
  <c r="J33" i="83"/>
  <c r="R34" i="83"/>
  <c r="J37" i="83"/>
  <c r="R38" i="83"/>
  <c r="R39" i="83"/>
  <c r="V41" i="83"/>
  <c r="J45" i="83"/>
  <c r="V49" i="83"/>
  <c r="V57" i="83"/>
  <c r="F62" i="83"/>
  <c r="J63" i="83"/>
  <c r="V65" i="83"/>
  <c r="J75" i="83"/>
  <c r="J78" i="83"/>
  <c r="J99" i="84"/>
  <c r="J81" i="84"/>
  <c r="J71" i="84"/>
  <c r="J59" i="84"/>
  <c r="J112" i="84"/>
  <c r="J100" i="84"/>
  <c r="J94" i="84"/>
  <c r="J82" i="84"/>
  <c r="J60" i="84"/>
  <c r="J54" i="84"/>
  <c r="J50" i="84"/>
  <c r="J101" i="84"/>
  <c r="J89" i="84"/>
  <c r="J102" i="84"/>
  <c r="J90" i="84"/>
  <c r="J84" i="84"/>
  <c r="J72" i="84"/>
  <c r="J62" i="84"/>
  <c r="J103" i="84"/>
  <c r="J95" i="84"/>
  <c r="J91" i="84"/>
  <c r="J74" i="84"/>
  <c r="J64" i="84"/>
  <c r="J85" i="84"/>
  <c r="J75" i="84"/>
  <c r="J65" i="84"/>
  <c r="J47" i="84"/>
  <c r="J104" i="84"/>
  <c r="J96" i="84"/>
  <c r="J92" i="84"/>
  <c r="J105" i="84"/>
  <c r="J97" i="84"/>
  <c r="J77" i="84"/>
  <c r="J67" i="84"/>
  <c r="J43" i="84"/>
  <c r="J39" i="84"/>
  <c r="J106" i="84"/>
  <c r="J98" i="84"/>
  <c r="J86" i="84"/>
  <c r="J78" i="84"/>
  <c r="J68" i="84"/>
  <c r="X13" i="84"/>
  <c r="Z13" i="84" s="1"/>
  <c r="T34" i="84"/>
  <c r="V36" i="84"/>
  <c r="J48" i="84"/>
  <c r="J53" i="84"/>
  <c r="V61" i="84"/>
  <c r="J83" i="84"/>
  <c r="T84" i="87"/>
  <c r="Z19" i="87"/>
  <c r="X22" i="87"/>
  <c r="Z53" i="87"/>
  <c r="X53" i="87"/>
  <c r="L13" i="82"/>
  <c r="N13" i="82" s="1"/>
  <c r="F23" i="83"/>
  <c r="F27" i="83"/>
  <c r="J28" i="83"/>
  <c r="V30" i="83"/>
  <c r="V34" i="83"/>
  <c r="V38" i="83"/>
  <c r="R47" i="83"/>
  <c r="R48" i="83"/>
  <c r="V50" i="83"/>
  <c r="F54" i="83"/>
  <c r="F55" i="83"/>
  <c r="V58" i="83"/>
  <c r="J62" i="83"/>
  <c r="V66" i="83"/>
  <c r="F73" i="83"/>
  <c r="J31" i="84"/>
  <c r="V34" i="84"/>
  <c r="J38" i="84"/>
  <c r="V41" i="84"/>
  <c r="J45" i="84"/>
  <c r="L60" i="84"/>
  <c r="N60" i="84" s="1"/>
  <c r="V80" i="84"/>
  <c r="Z90" i="84"/>
  <c r="J93" i="84"/>
  <c r="Z97" i="84"/>
  <c r="V66" i="91"/>
  <c r="V50" i="91"/>
  <c r="V69" i="91"/>
  <c r="V61" i="91"/>
  <c r="V57" i="91"/>
  <c r="V68" i="91"/>
  <c r="V56" i="91"/>
  <c r="V52" i="91"/>
  <c r="V36" i="91"/>
  <c r="V32" i="91"/>
  <c r="V75" i="91"/>
  <c r="V73" i="91"/>
  <c r="V63" i="91"/>
  <c r="V59" i="91"/>
  <c r="V47" i="91"/>
  <c r="V62" i="91"/>
  <c r="V53" i="91"/>
  <c r="V77" i="91"/>
  <c r="V45" i="91"/>
  <c r="V44" i="91"/>
  <c r="V40" i="91"/>
  <c r="V39" i="91"/>
  <c r="V24" i="91"/>
  <c r="V21" i="91"/>
  <c r="V29" i="91"/>
  <c r="V28" i="91"/>
  <c r="V60" i="91"/>
  <c r="V46" i="91"/>
  <c r="V25" i="91"/>
  <c r="V79" i="91"/>
  <c r="V54" i="91"/>
  <c r="V42" i="91"/>
  <c r="V41" i="91"/>
  <c r="V33" i="91"/>
  <c r="V22" i="91"/>
  <c r="V51" i="91"/>
  <c r="V30" i="91"/>
  <c r="V58" i="91"/>
  <c r="V37" i="91"/>
  <c r="V26" i="91"/>
  <c r="Z12" i="91"/>
  <c r="V70" i="91"/>
  <c r="V67" i="91"/>
  <c r="V34" i="91"/>
  <c r="V19" i="91"/>
  <c r="V82" i="91"/>
  <c r="V65" i="91"/>
  <c r="T16" i="91"/>
  <c r="V49" i="91"/>
  <c r="V20" i="91"/>
  <c r="V64" i="91"/>
  <c r="V35" i="91"/>
  <c r="V18" i="91"/>
  <c r="V14" i="91"/>
  <c r="V31" i="91"/>
  <c r="V55" i="91"/>
  <c r="V27" i="91"/>
  <c r="V43" i="91"/>
  <c r="V38" i="91"/>
  <c r="V72" i="91"/>
  <c r="V23" i="91"/>
  <c r="R20" i="83"/>
  <c r="R24" i="83"/>
  <c r="R56" i="83"/>
  <c r="R64" i="83"/>
  <c r="F69" i="83"/>
  <c r="F71" i="83"/>
  <c r="X73" i="84"/>
  <c r="Z73" i="84" s="1"/>
  <c r="L87" i="84"/>
  <c r="N87" i="84" s="1"/>
  <c r="N12" i="83"/>
  <c r="R14" i="83"/>
  <c r="R16" i="83"/>
  <c r="R18" i="83"/>
  <c r="V20" i="83"/>
  <c r="V24" i="83"/>
  <c r="R29" i="83"/>
  <c r="J32" i="83"/>
  <c r="R33" i="83"/>
  <c r="J36" i="83"/>
  <c r="R37" i="83"/>
  <c r="J44" i="83"/>
  <c r="R45" i="83"/>
  <c r="R46" i="83"/>
  <c r="V48" i="83"/>
  <c r="F52" i="83"/>
  <c r="F53" i="83"/>
  <c r="J54" i="83"/>
  <c r="V56" i="83"/>
  <c r="F60" i="83"/>
  <c r="F61" i="83"/>
  <c r="V64" i="83"/>
  <c r="J55" i="84"/>
  <c r="Z68" i="84"/>
  <c r="J70" i="84"/>
  <c r="N77" i="84"/>
  <c r="Z83" i="84"/>
  <c r="J87" i="84"/>
  <c r="N21" i="87"/>
  <c r="T16" i="83"/>
  <c r="R19" i="83"/>
  <c r="F41" i="83"/>
  <c r="F42" i="83"/>
  <c r="X48" i="83"/>
  <c r="Z48" i="83" s="1"/>
  <c r="J53" i="83"/>
  <c r="L54" i="83"/>
  <c r="N54" i="83" s="1"/>
  <c r="J61" i="83"/>
  <c r="R62" i="83"/>
  <c r="R63" i="83"/>
  <c r="J69" i="83"/>
  <c r="J71" i="83"/>
  <c r="R75" i="83"/>
  <c r="R78" i="83"/>
  <c r="V103" i="84"/>
  <c r="V95" i="84"/>
  <c r="V91" i="84"/>
  <c r="V75" i="84"/>
  <c r="V63" i="84"/>
  <c r="V55" i="84"/>
  <c r="V51" i="84"/>
  <c r="V47" i="84"/>
  <c r="V74" i="84"/>
  <c r="V66" i="84"/>
  <c r="V46" i="84"/>
  <c r="V42" i="84"/>
  <c r="V38" i="84"/>
  <c r="V105" i="84"/>
  <c r="V97" i="84"/>
  <c r="V104" i="84"/>
  <c r="V96" i="84"/>
  <c r="V92" i="84"/>
  <c r="V76" i="84"/>
  <c r="V68" i="84"/>
  <c r="V56" i="84"/>
  <c r="V52" i="84"/>
  <c r="V48" i="84"/>
  <c r="V87" i="84"/>
  <c r="V108" i="84"/>
  <c r="V106" i="84"/>
  <c r="V98" i="84"/>
  <c r="V86" i="84"/>
  <c r="V78" i="84"/>
  <c r="V70" i="84"/>
  <c r="V58" i="84"/>
  <c r="V93" i="84"/>
  <c r="V81" i="84"/>
  <c r="V69" i="84"/>
  <c r="V57" i="84"/>
  <c r="V53" i="84"/>
  <c r="V49" i="84"/>
  <c r="V100" i="84"/>
  <c r="V99" i="84"/>
  <c r="V83" i="84"/>
  <c r="V71" i="84"/>
  <c r="V59" i="84"/>
  <c r="V112" i="84"/>
  <c r="V102" i="84"/>
  <c r="V94" i="84"/>
  <c r="V90" i="84"/>
  <c r="V82" i="84"/>
  <c r="V62" i="84"/>
  <c r="J42" i="84"/>
  <c r="J52" i="84"/>
  <c r="N79" i="84"/>
  <c r="L79" i="84"/>
  <c r="V85" i="84"/>
  <c r="V89" i="84"/>
  <c r="V28" i="85"/>
  <c r="V15" i="85"/>
  <c r="V21" i="85"/>
  <c r="V20" i="85"/>
  <c r="V16" i="85"/>
  <c r="T18" i="85"/>
  <c r="V18" i="85" s="1"/>
  <c r="V24" i="85"/>
  <c r="V22" i="85"/>
  <c r="Z12" i="85"/>
  <c r="T75" i="94"/>
  <c r="V14" i="83"/>
  <c r="V16" i="83"/>
  <c r="V18" i="83"/>
  <c r="J22" i="83"/>
  <c r="R23" i="83"/>
  <c r="J26" i="83"/>
  <c r="R27" i="83"/>
  <c r="R28" i="83"/>
  <c r="F31" i="83"/>
  <c r="F35" i="83"/>
  <c r="J42" i="83"/>
  <c r="V46" i="83"/>
  <c r="F50" i="83"/>
  <c r="F51" i="83"/>
  <c r="J52" i="83"/>
  <c r="R55" i="83"/>
  <c r="F58" i="83"/>
  <c r="F59" i="83"/>
  <c r="J60" i="83"/>
  <c r="V62" i="83"/>
  <c r="F66" i="83"/>
  <c r="F67" i="83"/>
  <c r="R73" i="83"/>
  <c r="V31" i="84"/>
  <c r="V40" i="84"/>
  <c r="V45" i="84"/>
  <c r="J57" i="84"/>
  <c r="L62" i="84"/>
  <c r="N62" i="84" s="1"/>
  <c r="V65" i="84"/>
  <c r="V72" i="84"/>
  <c r="J79" i="84"/>
  <c r="R80" i="87"/>
  <c r="R72" i="87"/>
  <c r="R68" i="87"/>
  <c r="R56" i="87"/>
  <c r="R86" i="87"/>
  <c r="R65" i="87"/>
  <c r="R64" i="87"/>
  <c r="R91" i="87"/>
  <c r="R88" i="87"/>
  <c r="R59" i="87"/>
  <c r="R75" i="87"/>
  <c r="R74" i="87"/>
  <c r="R70" i="87"/>
  <c r="R66" i="87"/>
  <c r="R51" i="87"/>
  <c r="R50" i="87"/>
  <c r="R61" i="87"/>
  <c r="R48" i="87"/>
  <c r="R40" i="87"/>
  <c r="R36" i="87"/>
  <c r="R32" i="87"/>
  <c r="R21" i="87"/>
  <c r="R19" i="87"/>
  <c r="R76" i="87"/>
  <c r="R58" i="87"/>
  <c r="R49" i="87"/>
  <c r="R27" i="87"/>
  <c r="R23" i="87"/>
  <c r="P19" i="87"/>
  <c r="R77" i="87"/>
  <c r="R73" i="87"/>
  <c r="R54" i="87"/>
  <c r="R55" i="87"/>
  <c r="R42" i="87"/>
  <c r="R41" i="87"/>
  <c r="R37" i="87"/>
  <c r="R33" i="87"/>
  <c r="R28" i="87"/>
  <c r="R24" i="87"/>
  <c r="R82" i="87"/>
  <c r="R71" i="87"/>
  <c r="R62" i="87"/>
  <c r="R44" i="87"/>
  <c r="R43" i="87"/>
  <c r="R38" i="87"/>
  <c r="R34" i="87"/>
  <c r="R78" i="87"/>
  <c r="R46" i="87"/>
  <c r="R45" i="87"/>
  <c r="R29" i="87"/>
  <c r="R25" i="87"/>
  <c r="R84" i="87"/>
  <c r="R69" i="87"/>
  <c r="R63" i="87"/>
  <c r="X12" i="87"/>
  <c r="R79" i="87"/>
  <c r="R60" i="87"/>
  <c r="R47" i="87"/>
  <c r="R39" i="87"/>
  <c r="R35" i="87"/>
  <c r="R16" i="87"/>
  <c r="J31" i="83"/>
  <c r="R32" i="83"/>
  <c r="J35" i="83"/>
  <c r="R36" i="83"/>
  <c r="F39" i="83"/>
  <c r="F40" i="83"/>
  <c r="J41" i="83"/>
  <c r="R44" i="83"/>
  <c r="J51" i="83"/>
  <c r="V55" i="83"/>
  <c r="J59" i="83"/>
  <c r="V63" i="83"/>
  <c r="J67" i="83"/>
  <c r="V73" i="83"/>
  <c r="V75" i="83"/>
  <c r="V78" i="83"/>
  <c r="J37" i="84"/>
  <c r="J44" i="84"/>
  <c r="V50" i="84"/>
  <c r="V60" i="84"/>
  <c r="X62" i="84"/>
  <c r="Z62" i="84" s="1"/>
  <c r="V67" i="84"/>
  <c r="X102" i="84"/>
  <c r="Z102" i="84" s="1"/>
  <c r="Z21" i="87"/>
  <c r="X21" i="87"/>
  <c r="Z12" i="83"/>
  <c r="F21" i="83"/>
  <c r="F25" i="83"/>
  <c r="V28" i="83"/>
  <c r="V32" i="83"/>
  <c r="V36" i="83"/>
  <c r="J40" i="83"/>
  <c r="F48" i="83"/>
  <c r="F49" i="83"/>
  <c r="J50" i="83"/>
  <c r="R53" i="83"/>
  <c r="R54" i="83"/>
  <c r="F57" i="83"/>
  <c r="J58" i="83"/>
  <c r="H34" i="84"/>
  <c r="J36" i="84"/>
  <c r="J69" i="84"/>
  <c r="J76" i="84"/>
  <c r="J88" i="84"/>
  <c r="J108" i="84"/>
  <c r="F16" i="85"/>
  <c r="F15" i="85"/>
  <c r="F22" i="85"/>
  <c r="F21" i="85"/>
  <c r="L12" i="85"/>
  <c r="N12" i="85" s="1"/>
  <c r="F20" i="85"/>
  <c r="F18" i="85"/>
  <c r="D18" i="85"/>
  <c r="F26" i="85"/>
  <c r="F24" i="85"/>
  <c r="F28" i="85"/>
  <c r="F33" i="85"/>
  <c r="F30" i="85"/>
  <c r="N51" i="87"/>
  <c r="L51" i="87"/>
  <c r="R67" i="87"/>
  <c r="D34" i="88"/>
  <c r="R57" i="87"/>
  <c r="Z16" i="88"/>
  <c r="T30" i="88"/>
  <c r="V63" i="87"/>
  <c r="V75" i="87"/>
  <c r="V74" i="87"/>
  <c r="V70" i="87"/>
  <c r="V66" i="87"/>
  <c r="V77" i="87"/>
  <c r="V53" i="87"/>
  <c r="V22" i="87"/>
  <c r="V26" i="87"/>
  <c r="V30" i="87"/>
  <c r="V52" i="87"/>
  <c r="J56" i="87"/>
  <c r="V72" i="87"/>
  <c r="Z65" i="91"/>
  <c r="V31" i="87"/>
  <c r="V35" i="87"/>
  <c r="V39" i="87"/>
  <c r="J43" i="87"/>
  <c r="V47" i="87"/>
  <c r="V60" i="87"/>
  <c r="J66" i="87"/>
  <c r="J74" i="87"/>
  <c r="V91" i="87"/>
  <c r="F16" i="88"/>
  <c r="N18" i="91"/>
  <c r="Z19" i="91"/>
  <c r="N29" i="91"/>
  <c r="L29" i="91"/>
  <c r="X65" i="91"/>
  <c r="F52" i="105"/>
  <c r="F51" i="105"/>
  <c r="F72" i="105"/>
  <c r="F69" i="105"/>
  <c r="F58" i="105"/>
  <c r="F61" i="105"/>
  <c r="F49" i="105"/>
  <c r="F56" i="105"/>
  <c r="F53" i="105"/>
  <c r="F50" i="105"/>
  <c r="F47" i="105"/>
  <c r="F33" i="105"/>
  <c r="F63" i="105"/>
  <c r="F59" i="105"/>
  <c r="F37" i="105"/>
  <c r="F28" i="105"/>
  <c r="F24" i="105"/>
  <c r="F20" i="105"/>
  <c r="F19" i="105"/>
  <c r="F48" i="105"/>
  <c r="F41" i="105"/>
  <c r="F42" i="105"/>
  <c r="F34" i="105"/>
  <c r="D16" i="105"/>
  <c r="F65" i="105"/>
  <c r="F60" i="105"/>
  <c r="F29" i="105"/>
  <c r="F25" i="105"/>
  <c r="F21" i="105"/>
  <c r="F57" i="105"/>
  <c r="F54" i="105"/>
  <c r="F44" i="105"/>
  <c r="F43" i="105"/>
  <c r="F38" i="105"/>
  <c r="F35" i="105"/>
  <c r="F31" i="105"/>
  <c r="F30" i="105"/>
  <c r="F26" i="105"/>
  <c r="F22" i="105"/>
  <c r="F45" i="105"/>
  <c r="F39" i="105"/>
  <c r="F46" i="105"/>
  <c r="F18" i="105"/>
  <c r="F14" i="105"/>
  <c r="F27" i="105"/>
  <c r="F55" i="105"/>
  <c r="F36" i="105"/>
  <c r="F23" i="105"/>
  <c r="F67" i="105"/>
  <c r="F40" i="105"/>
  <c r="F32" i="105"/>
  <c r="F16" i="105"/>
  <c r="L12" i="105"/>
  <c r="J42" i="87"/>
  <c r="J50" i="87"/>
  <c r="J59" i="87"/>
  <c r="V69" i="87"/>
  <c r="V79" i="87"/>
  <c r="V84" i="87"/>
  <c r="J88" i="87"/>
  <c r="F21" i="88"/>
  <c r="F28" i="88"/>
  <c r="X14" i="91"/>
  <c r="X18" i="91"/>
  <c r="R31" i="91"/>
  <c r="D65" i="93"/>
  <c r="L13" i="85"/>
  <c r="N13" i="85" s="1"/>
  <c r="V25" i="87"/>
  <c r="V29" i="87"/>
  <c r="J33" i="87"/>
  <c r="J37" i="87"/>
  <c r="J41" i="87"/>
  <c r="V45" i="87"/>
  <c r="J55" i="87"/>
  <c r="V56" i="87"/>
  <c r="L58" i="87"/>
  <c r="J68" i="87"/>
  <c r="V78" i="87"/>
  <c r="F14" i="88"/>
  <c r="R14" i="91"/>
  <c r="R18" i="91"/>
  <c r="P12" i="92"/>
  <c r="X13" i="92"/>
  <c r="L56" i="92"/>
  <c r="J28" i="85"/>
  <c r="V34" i="87"/>
  <c r="V38" i="87"/>
  <c r="V46" i="87"/>
  <c r="N49" i="87"/>
  <c r="V51" i="87"/>
  <c r="J54" i="87"/>
  <c r="Z18" i="91"/>
  <c r="V43" i="87"/>
  <c r="J49" i="87"/>
  <c r="V50" i="87"/>
  <c r="V59" i="87"/>
  <c r="V62" i="87"/>
  <c r="J65" i="87"/>
  <c r="V71" i="87"/>
  <c r="J76" i="87"/>
  <c r="J80" i="87"/>
  <c r="V88" i="87"/>
  <c r="P30" i="88"/>
  <c r="X16" i="88"/>
  <c r="X30" i="92"/>
  <c r="R62" i="94"/>
  <c r="R61" i="94"/>
  <c r="R54" i="94"/>
  <c r="R53" i="94"/>
  <c r="R29" i="94"/>
  <c r="R25" i="94"/>
  <c r="R64" i="94"/>
  <c r="R63" i="94"/>
  <c r="R56" i="94"/>
  <c r="R55" i="94"/>
  <c r="R44" i="94"/>
  <c r="R43" i="94"/>
  <c r="R39" i="94"/>
  <c r="R35" i="94"/>
  <c r="R66" i="94"/>
  <c r="R65" i="94"/>
  <c r="R58" i="94"/>
  <c r="R57" i="94"/>
  <c r="R46" i="94"/>
  <c r="R45" i="94"/>
  <c r="R69" i="94"/>
  <c r="R67" i="94"/>
  <c r="R37" i="94"/>
  <c r="R27" i="94"/>
  <c r="R22" i="94"/>
  <c r="R51" i="94"/>
  <c r="R47" i="94"/>
  <c r="R34" i="94"/>
  <c r="R48" i="94"/>
  <c r="R24" i="94"/>
  <c r="R41" i="94"/>
  <c r="R31" i="94"/>
  <c r="R73" i="94"/>
  <c r="R38" i="94"/>
  <c r="R28" i="94"/>
  <c r="R17" i="94"/>
  <c r="R52" i="94"/>
  <c r="R59" i="94"/>
  <c r="R49" i="94"/>
  <c r="R42" i="94"/>
  <c r="R18" i="94"/>
  <c r="R60" i="94"/>
  <c r="R32" i="94"/>
  <c r="R30" i="94"/>
  <c r="R23" i="94"/>
  <c r="R33" i="94"/>
  <c r="R50" i="94"/>
  <c r="R40" i="94"/>
  <c r="R26" i="94"/>
  <c r="P20" i="94"/>
  <c r="R20" i="94" s="1"/>
  <c r="X13" i="85"/>
  <c r="Z13" i="85" s="1"/>
  <c r="J24" i="85"/>
  <c r="V24" i="87"/>
  <c r="V28" i="87"/>
  <c r="J36" i="87"/>
  <c r="J40" i="87"/>
  <c r="V44" i="87"/>
  <c r="J48" i="87"/>
  <c r="J58" i="87"/>
  <c r="J61" i="87"/>
  <c r="V68" i="87"/>
  <c r="V82" i="87"/>
  <c r="J86" i="87"/>
  <c r="F20" i="88"/>
  <c r="F19" i="88"/>
  <c r="F37" i="88"/>
  <c r="F34" i="88"/>
  <c r="F24" i="88"/>
  <c r="F23" i="88"/>
  <c r="F26" i="88"/>
  <c r="F25" i="88"/>
  <c r="R49" i="91"/>
  <c r="N63" i="92"/>
  <c r="L63" i="92"/>
  <c r="J17" i="87"/>
  <c r="N19" i="87"/>
  <c r="J31" i="87"/>
  <c r="V33" i="87"/>
  <c r="V37" i="87"/>
  <c r="V41" i="87"/>
  <c r="X44" i="87"/>
  <c r="X58" i="87"/>
  <c r="J64" i="87"/>
  <c r="J37" i="88"/>
  <c r="J34" i="88"/>
  <c r="J21" i="88"/>
  <c r="H16" i="88"/>
  <c r="J22" i="88"/>
  <c r="J24" i="88"/>
  <c r="J25" i="88"/>
  <c r="J26" i="88"/>
  <c r="H16" i="91"/>
  <c r="X12" i="94"/>
  <c r="J18" i="85"/>
  <c r="J20" i="85"/>
  <c r="J22" i="85"/>
  <c r="J77" i="87"/>
  <c r="J71" i="87"/>
  <c r="J67" i="87"/>
  <c r="J53" i="87"/>
  <c r="J84" i="87"/>
  <c r="J82" i="87"/>
  <c r="J62" i="87"/>
  <c r="J73" i="87"/>
  <c r="J69" i="87"/>
  <c r="J63" i="87"/>
  <c r="J57" i="87"/>
  <c r="J16" i="87"/>
  <c r="J26" i="87"/>
  <c r="J30" i="87"/>
  <c r="V42" i="87"/>
  <c r="J52" i="87"/>
  <c r="V54" i="87"/>
  <c r="V55" i="87"/>
  <c r="V73" i="87"/>
  <c r="V80" i="87"/>
  <c r="L12" i="88"/>
  <c r="Z21" i="88"/>
  <c r="J23" i="88"/>
  <c r="V23" i="87"/>
  <c r="V27" i="87"/>
  <c r="J35" i="87"/>
  <c r="J39" i="87"/>
  <c r="J47" i="87"/>
  <c r="Z49" i="87"/>
  <c r="J60" i="87"/>
  <c r="L63" i="87"/>
  <c r="V65" i="87"/>
  <c r="J72" i="87"/>
  <c r="J75" i="87"/>
  <c r="V76" i="87"/>
  <c r="J79" i="87"/>
  <c r="V86" i="87"/>
  <c r="F18" i="88"/>
  <c r="R55" i="91"/>
  <c r="R67" i="91"/>
  <c r="R66" i="91"/>
  <c r="R61" i="91"/>
  <c r="R42" i="91"/>
  <c r="R41" i="91"/>
  <c r="R70" i="91"/>
  <c r="R75" i="91"/>
  <c r="R45" i="91"/>
  <c r="R44" i="91"/>
  <c r="R29" i="91"/>
  <c r="R28" i="91"/>
  <c r="R24" i="91"/>
  <c r="R82" i="91"/>
  <c r="R65" i="91"/>
  <c r="R59" i="91"/>
  <c r="R35" i="91"/>
  <c r="R27" i="91"/>
  <c r="R20" i="91"/>
  <c r="P16" i="91"/>
  <c r="R72" i="91"/>
  <c r="R68" i="91"/>
  <c r="R62" i="91"/>
  <c r="R53" i="91"/>
  <c r="R77" i="91"/>
  <c r="R73" i="91"/>
  <c r="R56" i="91"/>
  <c r="R50" i="91"/>
  <c r="R39" i="91"/>
  <c r="R32" i="91"/>
  <c r="R40" i="91"/>
  <c r="R21" i="91"/>
  <c r="R69" i="91"/>
  <c r="R57" i="91"/>
  <c r="R36" i="91"/>
  <c r="R63" i="91"/>
  <c r="R60" i="91"/>
  <c r="R47" i="91"/>
  <c r="R46" i="91"/>
  <c r="R25" i="91"/>
  <c r="R54" i="91"/>
  <c r="R33" i="91"/>
  <c r="R22" i="91"/>
  <c r="R79" i="91"/>
  <c r="R51" i="91"/>
  <c r="R30" i="91"/>
  <c r="R58" i="91"/>
  <c r="R52" i="91"/>
  <c r="R37" i="91"/>
  <c r="R26" i="91"/>
  <c r="X12" i="91"/>
  <c r="R64" i="91"/>
  <c r="Z18" i="102"/>
  <c r="X18" i="102"/>
  <c r="N30" i="107"/>
  <c r="R19" i="88"/>
  <c r="V21" i="88"/>
  <c r="R32" i="88"/>
  <c r="J25" i="91"/>
  <c r="J29" i="91"/>
  <c r="F40" i="91"/>
  <c r="J41" i="91"/>
  <c r="F45" i="91"/>
  <c r="J46" i="91"/>
  <c r="X49" i="91"/>
  <c r="F60" i="91"/>
  <c r="J63" i="91"/>
  <c r="F69" i="91"/>
  <c r="J79" i="91"/>
  <c r="T18" i="92"/>
  <c r="V22" i="92"/>
  <c r="V32" i="92"/>
  <c r="F55" i="92"/>
  <c r="J63" i="92"/>
  <c r="F70" i="92"/>
  <c r="V14" i="93"/>
  <c r="N17" i="93"/>
  <c r="H61" i="93"/>
  <c r="V23" i="93"/>
  <c r="L30" i="93"/>
  <c r="T34" i="101"/>
  <c r="Z16" i="101"/>
  <c r="V14" i="88"/>
  <c r="V16" i="88"/>
  <c r="V18" i="88"/>
  <c r="V32" i="88"/>
  <c r="V34" i="88"/>
  <c r="F21" i="91"/>
  <c r="F28" i="91"/>
  <c r="J36" i="91"/>
  <c r="Z52" i="91"/>
  <c r="J66" i="91"/>
  <c r="N69" i="91"/>
  <c r="F73" i="91"/>
  <c r="J16" i="92"/>
  <c r="V29" i="92"/>
  <c r="F36" i="92"/>
  <c r="V39" i="92"/>
  <c r="J45" i="92"/>
  <c r="J55" i="92"/>
  <c r="J58" i="92"/>
  <c r="J70" i="92"/>
  <c r="V52" i="93"/>
  <c r="X52" i="99"/>
  <c r="P51" i="99"/>
  <c r="X51" i="99" s="1"/>
  <c r="D16" i="91"/>
  <c r="J21" i="91"/>
  <c r="J28" i="91"/>
  <c r="F39" i="91"/>
  <c r="J40" i="91"/>
  <c r="J45" i="91"/>
  <c r="F50" i="91"/>
  <c r="J73" i="91"/>
  <c r="F64" i="92"/>
  <c r="F63" i="92"/>
  <c r="F16" i="92"/>
  <c r="F15" i="92"/>
  <c r="F74" i="92"/>
  <c r="F72" i="92"/>
  <c r="F59" i="92"/>
  <c r="F58" i="92"/>
  <c r="F47" i="92"/>
  <c r="F39" i="92"/>
  <c r="F35" i="92"/>
  <c r="F31" i="92"/>
  <c r="F30" i="92"/>
  <c r="F76" i="92"/>
  <c r="F26" i="92"/>
  <c r="F22" i="92"/>
  <c r="F21" i="92"/>
  <c r="L12" i="92"/>
  <c r="F65" i="92"/>
  <c r="F49" i="92"/>
  <c r="F48" i="92"/>
  <c r="F60" i="92"/>
  <c r="F81" i="92"/>
  <c r="F78" i="92"/>
  <c r="F67" i="92"/>
  <c r="F66" i="92"/>
  <c r="F51" i="92"/>
  <c r="F50" i="92"/>
  <c r="F27" i="92"/>
  <c r="F23" i="92"/>
  <c r="F61" i="92"/>
  <c r="F53" i="92"/>
  <c r="F52" i="92"/>
  <c r="F37" i="92"/>
  <c r="F33" i="92"/>
  <c r="F28" i="92"/>
  <c r="F38" i="92"/>
  <c r="F62" i="92"/>
  <c r="V32" i="93"/>
  <c r="V57" i="93"/>
  <c r="D12" i="94"/>
  <c r="J32" i="91"/>
  <c r="J39" i="91"/>
  <c r="L49" i="91"/>
  <c r="J50" i="91"/>
  <c r="J56" i="91"/>
  <c r="F62" i="91"/>
  <c r="L65" i="91"/>
  <c r="J72" i="91"/>
  <c r="J59" i="92"/>
  <c r="J47" i="92"/>
  <c r="J39" i="92"/>
  <c r="J35" i="92"/>
  <c r="J31" i="92"/>
  <c r="J21" i="92"/>
  <c r="J76" i="92"/>
  <c r="J48" i="92"/>
  <c r="J26" i="92"/>
  <c r="J22" i="92"/>
  <c r="J20" i="92"/>
  <c r="J18" i="92"/>
  <c r="N12" i="92"/>
  <c r="J65" i="92"/>
  <c r="J49" i="92"/>
  <c r="H18" i="92"/>
  <c r="J81" i="92"/>
  <c r="J78" i="92"/>
  <c r="J66" i="92"/>
  <c r="J60" i="92"/>
  <c r="J50" i="92"/>
  <c r="J40" i="92"/>
  <c r="J36" i="92"/>
  <c r="J32" i="92"/>
  <c r="J67" i="92"/>
  <c r="J52" i="92"/>
  <c r="J42" i="92"/>
  <c r="J68" i="92"/>
  <c r="J54" i="92"/>
  <c r="J44" i="92"/>
  <c r="J28" i="92"/>
  <c r="J24" i="92"/>
  <c r="J38" i="92"/>
  <c r="J41" i="92"/>
  <c r="F57" i="92"/>
  <c r="J62" i="92"/>
  <c r="X41" i="93"/>
  <c r="J24" i="91"/>
  <c r="J44" i="91"/>
  <c r="J62" i="91"/>
  <c r="J68" i="91"/>
  <c r="V67" i="92"/>
  <c r="V51" i="92"/>
  <c r="V43" i="92"/>
  <c r="V27" i="92"/>
  <c r="V23" i="92"/>
  <c r="V54" i="92"/>
  <c r="V42" i="92"/>
  <c r="V69" i="92"/>
  <c r="V61" i="92"/>
  <c r="V53" i="92"/>
  <c r="V45" i="92"/>
  <c r="V37" i="92"/>
  <c r="V33" i="92"/>
  <c r="V68" i="92"/>
  <c r="V56" i="92"/>
  <c r="V44" i="92"/>
  <c r="V28" i="92"/>
  <c r="V24" i="92"/>
  <c r="V63" i="92"/>
  <c r="V55" i="92"/>
  <c r="V74" i="92"/>
  <c r="V72" i="92"/>
  <c r="V70" i="92"/>
  <c r="V62" i="92"/>
  <c r="V58" i="92"/>
  <c r="V46" i="92"/>
  <c r="V38" i="92"/>
  <c r="V34" i="92"/>
  <c r="V30" i="92"/>
  <c r="V64" i="92"/>
  <c r="V48" i="92"/>
  <c r="V20" i="92"/>
  <c r="V18" i="92"/>
  <c r="V16" i="92"/>
  <c r="V26" i="92"/>
  <c r="V36" i="92"/>
  <c r="V47" i="92"/>
  <c r="V50" i="92"/>
  <c r="J57" i="92"/>
  <c r="X58" i="92"/>
  <c r="V60" i="92"/>
  <c r="V78" i="92"/>
  <c r="V55" i="93"/>
  <c r="V59" i="93"/>
  <c r="V45" i="93"/>
  <c r="V37" i="93"/>
  <c r="V33" i="93"/>
  <c r="V61" i="93"/>
  <c r="V44" i="93"/>
  <c r="V28" i="93"/>
  <c r="V24" i="93"/>
  <c r="V20" i="93"/>
  <c r="V53" i="93"/>
  <c r="V47" i="93"/>
  <c r="V19" i="93"/>
  <c r="V17" i="93"/>
  <c r="V15" i="93"/>
  <c r="V46" i="93"/>
  <c r="V38" i="93"/>
  <c r="V34" i="93"/>
  <c r="V30" i="93"/>
  <c r="T17" i="93"/>
  <c r="V29" i="93"/>
  <c r="V25" i="93"/>
  <c r="V21" i="93"/>
  <c r="V63" i="93"/>
  <c r="V54" i="93"/>
  <c r="V48" i="93"/>
  <c r="V65" i="93"/>
  <c r="V39" i="93"/>
  <c r="V35" i="93"/>
  <c r="V31" i="93"/>
  <c r="V68" i="93"/>
  <c r="V50" i="93"/>
  <c r="V26" i="93"/>
  <c r="V22" i="93"/>
  <c r="V49" i="93"/>
  <c r="X12" i="98"/>
  <c r="R22" i="98"/>
  <c r="R20" i="98"/>
  <c r="R18" i="98"/>
  <c r="R16" i="98"/>
  <c r="R14" i="98"/>
  <c r="P16" i="98"/>
  <c r="R24" i="98"/>
  <c r="R29" i="98"/>
  <c r="R26" i="98"/>
  <c r="Z16" i="98"/>
  <c r="T22" i="98"/>
  <c r="H54" i="99"/>
  <c r="N16" i="99"/>
  <c r="J14" i="91"/>
  <c r="J16" i="91"/>
  <c r="J18" i="91"/>
  <c r="J20" i="91"/>
  <c r="J35" i="91"/>
  <c r="X47" i="91"/>
  <c r="Z47" i="91" s="1"/>
  <c r="J53" i="91"/>
  <c r="J59" i="91"/>
  <c r="N65" i="91"/>
  <c r="V31" i="92"/>
  <c r="V65" i="92"/>
  <c r="F60" i="97"/>
  <c r="F56" i="97"/>
  <c r="F55" i="97"/>
  <c r="F16" i="97"/>
  <c r="F15" i="97"/>
  <c r="F47" i="97"/>
  <c r="F46" i="97"/>
  <c r="F39" i="97"/>
  <c r="F35" i="97"/>
  <c r="F31" i="97"/>
  <c r="F30" i="97"/>
  <c r="F66" i="97"/>
  <c r="F61" i="97"/>
  <c r="F57" i="97"/>
  <c r="F49" i="97"/>
  <c r="F48" i="97"/>
  <c r="F68" i="97"/>
  <c r="F67" i="97"/>
  <c r="F40" i="97"/>
  <c r="F36" i="97"/>
  <c r="F51" i="97"/>
  <c r="F50" i="97"/>
  <c r="F27" i="97"/>
  <c r="F23" i="97"/>
  <c r="F72" i="97"/>
  <c r="F70" i="97"/>
  <c r="F53" i="97"/>
  <c r="F52" i="97"/>
  <c r="F37" i="97"/>
  <c r="F33" i="97"/>
  <c r="F74" i="97"/>
  <c r="F44" i="97"/>
  <c r="F43" i="97"/>
  <c r="F62" i="97"/>
  <c r="F22" i="97"/>
  <c r="F58" i="97"/>
  <c r="F38" i="97"/>
  <c r="F25" i="97"/>
  <c r="F41" i="97"/>
  <c r="F18" i="97"/>
  <c r="F28" i="97"/>
  <c r="D18" i="97"/>
  <c r="F65" i="97"/>
  <c r="F34" i="97"/>
  <c r="F63" i="97"/>
  <c r="F42" i="97"/>
  <c r="F26" i="97"/>
  <c r="F79" i="97"/>
  <c r="F59" i="97"/>
  <c r="F20" i="97"/>
  <c r="F54" i="97"/>
  <c r="F32" i="97"/>
  <c r="F29" i="97"/>
  <c r="F24" i="97"/>
  <c r="F76" i="97"/>
  <c r="F64" i="97"/>
  <c r="L12" i="97"/>
  <c r="R24" i="88"/>
  <c r="F72" i="91"/>
  <c r="F63" i="91"/>
  <c r="F59" i="91"/>
  <c r="F75" i="91"/>
  <c r="F54" i="91"/>
  <c r="F77" i="91"/>
  <c r="F82" i="91"/>
  <c r="F79" i="91"/>
  <c r="F66" i="91"/>
  <c r="F68" i="91"/>
  <c r="F67" i="91"/>
  <c r="F56" i="91"/>
  <c r="F36" i="91"/>
  <c r="F32" i="91"/>
  <c r="J19" i="91"/>
  <c r="F31" i="91"/>
  <c r="J38" i="91"/>
  <c r="J49" i="91"/>
  <c r="L52" i="91"/>
  <c r="N52" i="91" s="1"/>
  <c r="Z12" i="92"/>
  <c r="V21" i="92"/>
  <c r="J25" i="92"/>
  <c r="F43" i="92"/>
  <c r="V52" i="92"/>
  <c r="Z12" i="93"/>
  <c r="N19" i="93"/>
  <c r="V41" i="93"/>
  <c r="X23" i="94"/>
  <c r="J47" i="97"/>
  <c r="J39" i="97"/>
  <c r="J35" i="97"/>
  <c r="J31" i="97"/>
  <c r="J21" i="97"/>
  <c r="J66" i="97"/>
  <c r="J48" i="97"/>
  <c r="J26" i="97"/>
  <c r="J22" i="97"/>
  <c r="J20" i="97"/>
  <c r="J18" i="97"/>
  <c r="N12" i="97"/>
  <c r="J67" i="97"/>
  <c r="J61" i="97"/>
  <c r="J57" i="97"/>
  <c r="J49" i="97"/>
  <c r="J68" i="97"/>
  <c r="J50" i="97"/>
  <c r="J51" i="97"/>
  <c r="J41" i="97"/>
  <c r="J72" i="97"/>
  <c r="J70" i="97"/>
  <c r="J62" i="97"/>
  <c r="J58" i="97"/>
  <c r="J52" i="97"/>
  <c r="J42" i="97"/>
  <c r="J74" i="97"/>
  <c r="J44" i="97"/>
  <c r="J28" i="97"/>
  <c r="J24" i="97"/>
  <c r="J63" i="97"/>
  <c r="J59" i="97"/>
  <c r="J38" i="97"/>
  <c r="J33" i="97"/>
  <c r="J60" i="97"/>
  <c r="J46" i="97"/>
  <c r="J25" i="97"/>
  <c r="J56" i="97"/>
  <c r="J53" i="97"/>
  <c r="H18" i="97"/>
  <c r="J36" i="97"/>
  <c r="J65" i="97"/>
  <c r="J34" i="97"/>
  <c r="J23" i="97"/>
  <c r="J79" i="97"/>
  <c r="J54" i="97"/>
  <c r="J32" i="97"/>
  <c r="J29" i="97"/>
  <c r="J37" i="97"/>
  <c r="J15" i="97"/>
  <c r="J30" i="97"/>
  <c r="J16" i="97"/>
  <c r="J76" i="97"/>
  <c r="J40" i="97"/>
  <c r="J64" i="97"/>
  <c r="J27" i="97"/>
  <c r="J43" i="97"/>
  <c r="J54" i="91"/>
  <c r="J77" i="91"/>
  <c r="J64" i="91"/>
  <c r="J60" i="91"/>
  <c r="J48" i="91"/>
  <c r="J67" i="91"/>
  <c r="J69" i="91"/>
  <c r="J57" i="91"/>
  <c r="J51" i="91"/>
  <c r="J43" i="91"/>
  <c r="J27" i="91"/>
  <c r="J23" i="91"/>
  <c r="J31" i="91"/>
  <c r="F52" i="91"/>
  <c r="F55" i="91"/>
  <c r="F64" i="91"/>
  <c r="J82" i="91"/>
  <c r="D74" i="92"/>
  <c r="J30" i="92"/>
  <c r="V41" i="92"/>
  <c r="F46" i="92"/>
  <c r="V49" i="92"/>
  <c r="J51" i="92"/>
  <c r="V57" i="92"/>
  <c r="J64" i="92"/>
  <c r="J69" i="92"/>
  <c r="V43" i="93"/>
  <c r="X22" i="94"/>
  <c r="J34" i="91"/>
  <c r="J55" i="91"/>
  <c r="Z20" i="92"/>
  <c r="V40" i="92"/>
  <c r="J43" i="92"/>
  <c r="J46" i="92"/>
  <c r="J61" i="92"/>
  <c r="L47" i="93"/>
  <c r="V56" i="93"/>
  <c r="N17" i="94"/>
  <c r="L17" i="94"/>
  <c r="Z22" i="94"/>
  <c r="Z46" i="97"/>
  <c r="X46" i="97"/>
  <c r="F14" i="93"/>
  <c r="F15" i="93"/>
  <c r="J20" i="93"/>
  <c r="R31" i="93"/>
  <c r="J34" i="93"/>
  <c r="R35" i="93"/>
  <c r="J38" i="93"/>
  <c r="R39" i="93"/>
  <c r="J46" i="93"/>
  <c r="L52" i="93"/>
  <c r="F53" i="93"/>
  <c r="F59" i="93"/>
  <c r="J35" i="94"/>
  <c r="X66" i="94"/>
  <c r="N45" i="95"/>
  <c r="L60" i="95"/>
  <c r="N76" i="95"/>
  <c r="N15" i="97"/>
  <c r="L15" i="97"/>
  <c r="F43" i="93"/>
  <c r="F44" i="93"/>
  <c r="F52" i="93"/>
  <c r="J61" i="94"/>
  <c r="D88" i="95"/>
  <c r="N47" i="95"/>
  <c r="N64" i="97"/>
  <c r="L64" i="97"/>
  <c r="R21" i="93"/>
  <c r="J24" i="93"/>
  <c r="R25" i="93"/>
  <c r="J28" i="93"/>
  <c r="R29" i="93"/>
  <c r="R30" i="93"/>
  <c r="F33" i="93"/>
  <c r="F37" i="93"/>
  <c r="J44" i="93"/>
  <c r="N22" i="95"/>
  <c r="N60" i="95"/>
  <c r="Z41" i="97"/>
  <c r="X41" i="97"/>
  <c r="T32" i="100"/>
  <c r="F41" i="93"/>
  <c r="F42" i="93"/>
  <c r="F57" i="93"/>
  <c r="P61" i="93"/>
  <c r="J44" i="94"/>
  <c r="J47" i="94"/>
  <c r="X62" i="94"/>
  <c r="N16" i="95"/>
  <c r="Z45" i="95"/>
  <c r="V76" i="95"/>
  <c r="T72" i="97"/>
  <c r="X72" i="97" s="1"/>
  <c r="Z18" i="97"/>
  <c r="Z24" i="103"/>
  <c r="X63" i="92"/>
  <c r="J61" i="93"/>
  <c r="J59" i="93"/>
  <c r="J51" i="93"/>
  <c r="R20" i="93"/>
  <c r="F23" i="93"/>
  <c r="F27" i="93"/>
  <c r="J42" i="93"/>
  <c r="L43" i="93"/>
  <c r="N43" i="93" s="1"/>
  <c r="F50" i="93"/>
  <c r="F51" i="93"/>
  <c r="R53" i="93"/>
  <c r="J57" i="93"/>
  <c r="R61" i="93"/>
  <c r="J23" i="94"/>
  <c r="J27" i="94"/>
  <c r="J37" i="94"/>
  <c r="J58" i="94"/>
  <c r="J64" i="94"/>
  <c r="J67" i="94"/>
  <c r="V45" i="95"/>
  <c r="Z54" i="95"/>
  <c r="Z68" i="95"/>
  <c r="X76" i="95"/>
  <c r="Z76" i="95" s="1"/>
  <c r="X18" i="97"/>
  <c r="L12" i="93"/>
  <c r="J23" i="93"/>
  <c r="R24" i="93"/>
  <c r="J27" i="93"/>
  <c r="R28" i="93"/>
  <c r="F32" i="93"/>
  <c r="F36" i="93"/>
  <c r="F40" i="93"/>
  <c r="J41" i="93"/>
  <c r="R44" i="93"/>
  <c r="R45" i="93"/>
  <c r="R59" i="93"/>
  <c r="F68" i="93"/>
  <c r="H20" i="94"/>
  <c r="J30" i="94"/>
  <c r="L54" i="94"/>
  <c r="P12" i="95"/>
  <c r="Z16" i="95"/>
  <c r="V56" i="95"/>
  <c r="Z70" i="95"/>
  <c r="L14" i="100"/>
  <c r="D16" i="100"/>
  <c r="N12" i="93"/>
  <c r="R14" i="93"/>
  <c r="J32" i="93"/>
  <c r="R33" i="93"/>
  <c r="J36" i="93"/>
  <c r="R37" i="93"/>
  <c r="J40" i="93"/>
  <c r="F49" i="93"/>
  <c r="J50" i="93"/>
  <c r="F56" i="93"/>
  <c r="F65" i="93"/>
  <c r="J71" i="94"/>
  <c r="J69" i="94"/>
  <c r="J60" i="94"/>
  <c r="J50" i="94"/>
  <c r="J32" i="94"/>
  <c r="J28" i="94"/>
  <c r="J24" i="94"/>
  <c r="J22" i="94"/>
  <c r="J20" i="94"/>
  <c r="J73" i="94"/>
  <c r="J51" i="94"/>
  <c r="J33" i="94"/>
  <c r="J52" i="94"/>
  <c r="J42" i="94"/>
  <c r="J38" i="94"/>
  <c r="J34" i="94"/>
  <c r="J78" i="94"/>
  <c r="J62" i="94"/>
  <c r="J54" i="94"/>
  <c r="J65" i="94"/>
  <c r="J57" i="94"/>
  <c r="J45" i="94"/>
  <c r="J43" i="94"/>
  <c r="L46" i="94"/>
  <c r="Z48" i="94"/>
  <c r="X58" i="94"/>
  <c r="V16" i="95"/>
  <c r="X56" i="95"/>
  <c r="Z56" i="95" s="1"/>
  <c r="N79" i="95"/>
  <c r="R68" i="93"/>
  <c r="R65" i="93"/>
  <c r="F22" i="93"/>
  <c r="F26" i="93"/>
  <c r="R42" i="93"/>
  <c r="R43" i="93"/>
  <c r="J49" i="93"/>
  <c r="R51" i="93"/>
  <c r="J56" i="93"/>
  <c r="R57" i="93"/>
  <c r="J68" i="93"/>
  <c r="J26" i="94"/>
  <c r="J53" i="94"/>
  <c r="J63" i="94"/>
  <c r="L66" i="94"/>
  <c r="H19" i="95"/>
  <c r="F22" i="95"/>
  <c r="F23" i="95"/>
  <c r="F27" i="95"/>
  <c r="F31" i="95"/>
  <c r="J32" i="95"/>
  <c r="V34" i="95"/>
  <c r="V38" i="95"/>
  <c r="V42" i="95"/>
  <c r="J50" i="95"/>
  <c r="V54" i="95"/>
  <c r="F58" i="95"/>
  <c r="F59" i="95"/>
  <c r="J60" i="95"/>
  <c r="V62" i="95"/>
  <c r="J66" i="95"/>
  <c r="V70" i="95"/>
  <c r="V74" i="95"/>
  <c r="J78" i="95"/>
  <c r="V51" i="97"/>
  <c r="V43" i="97"/>
  <c r="V27" i="97"/>
  <c r="V23" i="97"/>
  <c r="V62" i="97"/>
  <c r="V58" i="97"/>
  <c r="V42" i="97"/>
  <c r="V53" i="97"/>
  <c r="V37" i="97"/>
  <c r="V33" i="97"/>
  <c r="V79" i="97"/>
  <c r="V76" i="97"/>
  <c r="V74" i="97"/>
  <c r="V64" i="97"/>
  <c r="V63" i="97"/>
  <c r="V59" i="97"/>
  <c r="V55" i="97"/>
  <c r="V54" i="97"/>
  <c r="V46" i="97"/>
  <c r="V38" i="97"/>
  <c r="V34" i="97"/>
  <c r="V30" i="97"/>
  <c r="V60" i="97"/>
  <c r="V56" i="97"/>
  <c r="V48" i="97"/>
  <c r="V20" i="97"/>
  <c r="V18" i="97"/>
  <c r="V16" i="97"/>
  <c r="V67" i="97"/>
  <c r="V47" i="97"/>
  <c r="V39" i="97"/>
  <c r="V35" i="97"/>
  <c r="V31" i="97"/>
  <c r="L20" i="97"/>
  <c r="N20" i="97" s="1"/>
  <c r="V22" i="97"/>
  <c r="V40" i="97"/>
  <c r="P76" i="97"/>
  <c r="V51" i="99"/>
  <c r="V49" i="99"/>
  <c r="V41" i="99"/>
  <c r="V25" i="99"/>
  <c r="V43" i="99"/>
  <c r="V44" i="99"/>
  <c r="V38" i="99"/>
  <c r="V35" i="99"/>
  <c r="V32" i="99"/>
  <c r="T16" i="99"/>
  <c r="V39" i="99"/>
  <c r="V24" i="99"/>
  <c r="V20" i="99"/>
  <c r="V29" i="99"/>
  <c r="V56" i="99"/>
  <c r="V45" i="99"/>
  <c r="V36" i="99"/>
  <c r="V33" i="99"/>
  <c r="V21" i="99"/>
  <c r="V46" i="99"/>
  <c r="V40" i="99"/>
  <c r="V30" i="99"/>
  <c r="V58" i="99"/>
  <c r="V52" i="99"/>
  <c r="V22" i="99"/>
  <c r="V37" i="99"/>
  <c r="V34" i="99"/>
  <c r="V26" i="99"/>
  <c r="V61" i="99"/>
  <c r="L14" i="101"/>
  <c r="N32" i="101"/>
  <c r="L32" i="101"/>
  <c r="J19" i="95"/>
  <c r="J21" i="95"/>
  <c r="J23" i="95"/>
  <c r="J27" i="95"/>
  <c r="J31" i="95"/>
  <c r="J49" i="95"/>
  <c r="J59" i="95"/>
  <c r="V63" i="95"/>
  <c r="V67" i="95"/>
  <c r="F72" i="95"/>
  <c r="V82" i="95"/>
  <c r="F86" i="95"/>
  <c r="J36" i="95"/>
  <c r="J40" i="95"/>
  <c r="J48" i="95"/>
  <c r="J58" i="95"/>
  <c r="F65" i="95"/>
  <c r="V68" i="95"/>
  <c r="J72" i="95"/>
  <c r="F76" i="95"/>
  <c r="V80" i="95"/>
  <c r="Z50" i="97"/>
  <c r="X50" i="97"/>
  <c r="V52" i="97"/>
  <c r="V66" i="97"/>
  <c r="V72" i="97"/>
  <c r="H16" i="101"/>
  <c r="N14" i="101"/>
  <c r="F84" i="95"/>
  <c r="F82" i="95"/>
  <c r="J17" i="95"/>
  <c r="F26" i="95"/>
  <c r="F30" i="95"/>
  <c r="V33" i="95"/>
  <c r="V37" i="95"/>
  <c r="V41" i="95"/>
  <c r="F45" i="95"/>
  <c r="F46" i="95"/>
  <c r="J47" i="95"/>
  <c r="J57" i="95"/>
  <c r="V61" i="95"/>
  <c r="J65" i="95"/>
  <c r="V73" i="95"/>
  <c r="X30" i="97"/>
  <c r="R47" i="97"/>
  <c r="V50" i="97"/>
  <c r="V57" i="97"/>
  <c r="R61" i="97"/>
  <c r="V68" i="97"/>
  <c r="N18" i="99"/>
  <c r="V28" i="99"/>
  <c r="V42" i="99"/>
  <c r="R52" i="102"/>
  <c r="R37" i="102"/>
  <c r="R33" i="102"/>
  <c r="R18" i="102"/>
  <c r="R16" i="102"/>
  <c r="R14" i="102"/>
  <c r="R54" i="102"/>
  <c r="R29" i="102"/>
  <c r="R28" i="102"/>
  <c r="R24" i="102"/>
  <c r="R20" i="102"/>
  <c r="P16" i="102"/>
  <c r="R44" i="102"/>
  <c r="R43" i="102"/>
  <c r="R38" i="102"/>
  <c r="R34" i="102"/>
  <c r="R30" i="102"/>
  <c r="R56" i="102"/>
  <c r="R45" i="102"/>
  <c r="R25" i="102"/>
  <c r="R21" i="102"/>
  <c r="R58" i="102"/>
  <c r="R40" i="102"/>
  <c r="R61" i="102"/>
  <c r="R47" i="102"/>
  <c r="R46" i="102"/>
  <c r="R26" i="102"/>
  <c r="R22" i="102"/>
  <c r="R41" i="102"/>
  <c r="R39" i="102"/>
  <c r="R19" i="102"/>
  <c r="R35" i="102"/>
  <c r="R50" i="102"/>
  <c r="R31" i="102"/>
  <c r="R23" i="102"/>
  <c r="R48" i="102"/>
  <c r="R42" i="102"/>
  <c r="R27" i="102"/>
  <c r="X12" i="102"/>
  <c r="J86" i="95"/>
  <c r="J16" i="95"/>
  <c r="J26" i="95"/>
  <c r="J30" i="95"/>
  <c r="F35" i="95"/>
  <c r="F39" i="95"/>
  <c r="J46" i="95"/>
  <c r="L47" i="95"/>
  <c r="V50" i="95"/>
  <c r="F54" i="95"/>
  <c r="F55" i="95"/>
  <c r="J56" i="95"/>
  <c r="V66" i="95"/>
  <c r="F70" i="95"/>
  <c r="F71" i="95"/>
  <c r="F75" i="95"/>
  <c r="J76" i="95"/>
  <c r="V78" i="95"/>
  <c r="V86" i="95"/>
  <c r="F91" i="95"/>
  <c r="V29" i="97"/>
  <c r="V32" i="97"/>
  <c r="R54" i="97"/>
  <c r="V61" i="97"/>
  <c r="V19" i="99"/>
  <c r="X28" i="99"/>
  <c r="Z28" i="99" s="1"/>
  <c r="V44" i="102"/>
  <c r="V28" i="102"/>
  <c r="V24" i="102"/>
  <c r="V20" i="102"/>
  <c r="V43" i="102"/>
  <c r="V38" i="102"/>
  <c r="V34" i="102"/>
  <c r="V30" i="102"/>
  <c r="V56" i="102"/>
  <c r="V45" i="102"/>
  <c r="V25" i="102"/>
  <c r="V21" i="102"/>
  <c r="V58" i="102"/>
  <c r="V40" i="102"/>
  <c r="V61" i="102"/>
  <c r="V47" i="102"/>
  <c r="V39" i="102"/>
  <c r="V35" i="102"/>
  <c r="V31" i="102"/>
  <c r="V46" i="102"/>
  <c r="V49" i="102"/>
  <c r="V41" i="102"/>
  <c r="V48" i="102"/>
  <c r="V36" i="102"/>
  <c r="V32" i="102"/>
  <c r="Z12" i="102"/>
  <c r="V26" i="102"/>
  <c r="V19" i="102"/>
  <c r="V50" i="102"/>
  <c r="V37" i="102"/>
  <c r="V23" i="102"/>
  <c r="V54" i="102"/>
  <c r="V42" i="102"/>
  <c r="V33" i="102"/>
  <c r="V29" i="102"/>
  <c r="V27" i="102"/>
  <c r="V16" i="102"/>
  <c r="V52" i="102"/>
  <c r="T16" i="102"/>
  <c r="V30" i="94"/>
  <c r="V46" i="94"/>
  <c r="V58" i="94"/>
  <c r="V66" i="94"/>
  <c r="L12" i="95"/>
  <c r="V23" i="95"/>
  <c r="V27" i="95"/>
  <c r="V31" i="95"/>
  <c r="J35" i="95"/>
  <c r="J39" i="95"/>
  <c r="F43" i="95"/>
  <c r="F44" i="95"/>
  <c r="J45" i="95"/>
  <c r="J55" i="95"/>
  <c r="V59" i="95"/>
  <c r="F63" i="95"/>
  <c r="F64" i="95"/>
  <c r="J71" i="95"/>
  <c r="J75" i="95"/>
  <c r="V79" i="95"/>
  <c r="R20" i="97"/>
  <c r="V21" i="97"/>
  <c r="R26" i="97"/>
  <c r="R39" i="97"/>
  <c r="P54" i="99"/>
  <c r="X19" i="99"/>
  <c r="Z19" i="99" s="1"/>
  <c r="V23" i="99"/>
  <c r="V27" i="99"/>
  <c r="Z48" i="99"/>
  <c r="X48" i="99"/>
  <c r="V43" i="94"/>
  <c r="V55" i="94"/>
  <c r="V63" i="94"/>
  <c r="N12" i="95"/>
  <c r="T19" i="95"/>
  <c r="V19" i="95" s="1"/>
  <c r="F25" i="95"/>
  <c r="F29" i="95"/>
  <c r="V32" i="95"/>
  <c r="V36" i="95"/>
  <c r="V40" i="95"/>
  <c r="J44" i="95"/>
  <c r="V48" i="95"/>
  <c r="F52" i="95"/>
  <c r="F53" i="95"/>
  <c r="J54" i="95"/>
  <c r="V60" i="95"/>
  <c r="J64" i="95"/>
  <c r="F68" i="95"/>
  <c r="F69" i="95"/>
  <c r="J70" i="95"/>
  <c r="V72" i="95"/>
  <c r="V15" i="97"/>
  <c r="Z20" i="97"/>
  <c r="V26" i="97"/>
  <c r="V44" i="97"/>
  <c r="V49" i="97"/>
  <c r="L70" i="97"/>
  <c r="V18" i="99"/>
  <c r="V48" i="99"/>
  <c r="Z18" i="100"/>
  <c r="V22" i="102"/>
  <c r="R49" i="102"/>
  <c r="V44" i="94"/>
  <c r="V56" i="94"/>
  <c r="V17" i="95"/>
  <c r="V21" i="95"/>
  <c r="J25" i="95"/>
  <c r="J29" i="95"/>
  <c r="F34" i="95"/>
  <c r="F38" i="95"/>
  <c r="F42" i="95"/>
  <c r="J43" i="95"/>
  <c r="V49" i="95"/>
  <c r="J53" i="95"/>
  <c r="V57" i="95"/>
  <c r="F62" i="95"/>
  <c r="J63" i="95"/>
  <c r="V65" i="95"/>
  <c r="J69" i="95"/>
  <c r="F74" i="95"/>
  <c r="V77" i="95"/>
  <c r="J82" i="95"/>
  <c r="F88" i="95"/>
  <c r="R68" i="97"/>
  <c r="R41" i="97"/>
  <c r="R40" i="97"/>
  <c r="R36" i="97"/>
  <c r="R32" i="97"/>
  <c r="R72" i="97"/>
  <c r="R70" i="97"/>
  <c r="R52" i="97"/>
  <c r="R51" i="97"/>
  <c r="R27" i="97"/>
  <c r="R23" i="97"/>
  <c r="R62" i="97"/>
  <c r="R58" i="97"/>
  <c r="R43" i="97"/>
  <c r="R42" i="97"/>
  <c r="R53" i="97"/>
  <c r="R74" i="97"/>
  <c r="R44" i="97"/>
  <c r="R79" i="97"/>
  <c r="R76" i="97"/>
  <c r="R64" i="97"/>
  <c r="R63" i="97"/>
  <c r="R59" i="97"/>
  <c r="R65" i="97"/>
  <c r="R46" i="97"/>
  <c r="R45" i="97"/>
  <c r="R30" i="97"/>
  <c r="R29" i="97"/>
  <c r="R25" i="97"/>
  <c r="R60" i="97"/>
  <c r="R56" i="97"/>
  <c r="R28" i="97"/>
  <c r="R34" i="97"/>
  <c r="V65" i="97"/>
  <c r="F22" i="98"/>
  <c r="F20" i="98"/>
  <c r="F18" i="98"/>
  <c r="F16" i="98"/>
  <c r="F14" i="98"/>
  <c r="F24" i="98"/>
  <c r="D16" i="98"/>
  <c r="F29" i="98"/>
  <c r="F26" i="98"/>
  <c r="L12" i="98"/>
  <c r="V14" i="99"/>
  <c r="H28" i="100"/>
  <c r="X24" i="103"/>
  <c r="V22" i="95"/>
  <c r="V26" i="95"/>
  <c r="V30" i="95"/>
  <c r="J34" i="95"/>
  <c r="J38" i="95"/>
  <c r="J42" i="95"/>
  <c r="V46" i="95"/>
  <c r="F51" i="95"/>
  <c r="J52" i="95"/>
  <c r="J62" i="95"/>
  <c r="F67" i="95"/>
  <c r="J68" i="95"/>
  <c r="J74" i="95"/>
  <c r="V28" i="97"/>
  <c r="V36" i="97"/>
  <c r="X67" i="97"/>
  <c r="H16" i="98"/>
  <c r="J24" i="98"/>
  <c r="J29" i="98"/>
  <c r="J26" i="98"/>
  <c r="N12" i="98"/>
  <c r="J20" i="98"/>
  <c r="D16" i="99"/>
  <c r="J21" i="99"/>
  <c r="J25" i="99"/>
  <c r="F33" i="99"/>
  <c r="F36" i="99"/>
  <c r="F44" i="99"/>
  <c r="F45" i="99"/>
  <c r="X46" i="99"/>
  <c r="Z46" i="99" s="1"/>
  <c r="R52" i="99"/>
  <c r="F56" i="99"/>
  <c r="P28" i="100"/>
  <c r="X16" i="100"/>
  <c r="X21" i="100"/>
  <c r="X26" i="100"/>
  <c r="L18" i="101"/>
  <c r="N18" i="101" s="1"/>
  <c r="R20" i="101"/>
  <c r="X25" i="101"/>
  <c r="R34" i="101"/>
  <c r="L29" i="102"/>
  <c r="N29" i="102" s="1"/>
  <c r="N40" i="102"/>
  <c r="V24" i="104"/>
  <c r="V22" i="104"/>
  <c r="V20" i="104"/>
  <c r="V31" i="104"/>
  <c r="V28" i="104"/>
  <c r="V26" i="104"/>
  <c r="Z12" i="104"/>
  <c r="T16" i="104"/>
  <c r="V18" i="104"/>
  <c r="V14" i="104"/>
  <c r="V19" i="104"/>
  <c r="F14" i="99"/>
  <c r="F16" i="99"/>
  <c r="F18" i="99"/>
  <c r="J36" i="99"/>
  <c r="R41" i="99"/>
  <c r="R46" i="99"/>
  <c r="J56" i="99"/>
  <c r="J14" i="100"/>
  <c r="R25" i="101"/>
  <c r="V14" i="98"/>
  <c r="V16" i="98"/>
  <c r="V18" i="98"/>
  <c r="V20" i="98"/>
  <c r="J14" i="99"/>
  <c r="J16" i="99"/>
  <c r="J18" i="99"/>
  <c r="J20" i="99"/>
  <c r="R21" i="99"/>
  <c r="J24" i="99"/>
  <c r="R25" i="99"/>
  <c r="F32" i="99"/>
  <c r="R33" i="99"/>
  <c r="F43" i="99"/>
  <c r="R45" i="99"/>
  <c r="J49" i="99"/>
  <c r="R51" i="99"/>
  <c r="X14" i="100"/>
  <c r="J36" i="101"/>
  <c r="J19" i="101"/>
  <c r="J41" i="101"/>
  <c r="J38" i="101"/>
  <c r="J24" i="101"/>
  <c r="J20" i="101"/>
  <c r="J18" i="101"/>
  <c r="J16" i="101"/>
  <c r="J14" i="101"/>
  <c r="J25" i="101"/>
  <c r="J27" i="101"/>
  <c r="J21" i="101"/>
  <c r="J29" i="101"/>
  <c r="J30" i="101"/>
  <c r="J22" i="101"/>
  <c r="R19" i="101"/>
  <c r="L27" i="101"/>
  <c r="N27" i="101" s="1"/>
  <c r="R32" i="101"/>
  <c r="N19" i="102"/>
  <c r="L23" i="103"/>
  <c r="N23" i="103" s="1"/>
  <c r="L67" i="103"/>
  <c r="F40" i="99"/>
  <c r="F39" i="99"/>
  <c r="F52" i="99"/>
  <c r="J19" i="99"/>
  <c r="F27" i="99"/>
  <c r="J28" i="99"/>
  <c r="J32" i="99"/>
  <c r="F35" i="99"/>
  <c r="F38" i="99"/>
  <c r="F54" i="99"/>
  <c r="J19" i="100"/>
  <c r="J20" i="100"/>
  <c r="J23" i="100"/>
  <c r="J28" i="100"/>
  <c r="J26" i="100"/>
  <c r="L18" i="100"/>
  <c r="N18" i="100" s="1"/>
  <c r="X18" i="101"/>
  <c r="Z18" i="101" s="1"/>
  <c r="R24" i="101"/>
  <c r="R36" i="101"/>
  <c r="J45" i="99"/>
  <c r="J37" i="99"/>
  <c r="J33" i="99"/>
  <c r="J29" i="99"/>
  <c r="J52" i="99"/>
  <c r="J51" i="99"/>
  <c r="J41" i="99"/>
  <c r="J35" i="99"/>
  <c r="J54" i="99"/>
  <c r="J27" i="99"/>
  <c r="J38" i="99"/>
  <c r="J48" i="99"/>
  <c r="F61" i="99"/>
  <c r="N67" i="103"/>
  <c r="L12" i="99"/>
  <c r="J23" i="99"/>
  <c r="F31" i="99"/>
  <c r="F42" i="99"/>
  <c r="R44" i="99"/>
  <c r="F47" i="99"/>
  <c r="R49" i="99"/>
  <c r="J61" i="99"/>
  <c r="R27" i="101"/>
  <c r="R26" i="101"/>
  <c r="R21" i="101"/>
  <c r="R29" i="101"/>
  <c r="R28" i="101"/>
  <c r="R30" i="101"/>
  <c r="R22" i="101"/>
  <c r="X12" i="101"/>
  <c r="R23" i="101"/>
  <c r="N54" i="103"/>
  <c r="X14" i="105"/>
  <c r="P16" i="105"/>
  <c r="N12" i="99"/>
  <c r="R14" i="99"/>
  <c r="R16" i="99"/>
  <c r="R18" i="99"/>
  <c r="F26" i="99"/>
  <c r="J31" i="99"/>
  <c r="R32" i="99"/>
  <c r="R35" i="99"/>
  <c r="J42" i="99"/>
  <c r="L46" i="99"/>
  <c r="N46" i="99" s="1"/>
  <c r="J47" i="99"/>
  <c r="R23" i="100"/>
  <c r="R22" i="100"/>
  <c r="R30" i="100"/>
  <c r="X12" i="100"/>
  <c r="R35" i="100"/>
  <c r="R32" i="100"/>
  <c r="J18" i="100"/>
  <c r="J23" i="101"/>
  <c r="Z19" i="102"/>
  <c r="J83" i="103"/>
  <c r="J73" i="103"/>
  <c r="J69" i="103"/>
  <c r="J53" i="103"/>
  <c r="J35" i="103"/>
  <c r="J64" i="103"/>
  <c r="J54" i="103"/>
  <c r="J44" i="103"/>
  <c r="J40" i="103"/>
  <c r="J36" i="103"/>
  <c r="J65" i="103"/>
  <c r="J57" i="103"/>
  <c r="J58" i="103"/>
  <c r="J46" i="103"/>
  <c r="J32" i="103"/>
  <c r="J28" i="103"/>
  <c r="J75" i="103"/>
  <c r="J71" i="103"/>
  <c r="J59" i="103"/>
  <c r="J47" i="103"/>
  <c r="J19" i="103"/>
  <c r="J76" i="103"/>
  <c r="J66" i="103"/>
  <c r="J60" i="103"/>
  <c r="J48" i="103"/>
  <c r="J42" i="103"/>
  <c r="J38" i="103"/>
  <c r="J77" i="103"/>
  <c r="J67" i="103"/>
  <c r="J61" i="103"/>
  <c r="J49" i="103"/>
  <c r="J33" i="103"/>
  <c r="J29" i="103"/>
  <c r="J25" i="103"/>
  <c r="J23" i="103"/>
  <c r="J21" i="103"/>
  <c r="J85" i="103"/>
  <c r="J26" i="103"/>
  <c r="J24" i="103"/>
  <c r="J45" i="103"/>
  <c r="J56" i="103"/>
  <c r="J79" i="103"/>
  <c r="J72" i="103"/>
  <c r="J68" i="103"/>
  <c r="J51" i="103"/>
  <c r="J43" i="103"/>
  <c r="J31" i="103"/>
  <c r="J74" i="103"/>
  <c r="J70" i="103"/>
  <c r="J27" i="103"/>
  <c r="J62" i="103"/>
  <c r="J41" i="103"/>
  <c r="J39" i="103"/>
  <c r="H21" i="103"/>
  <c r="J17" i="103"/>
  <c r="J34" i="103"/>
  <c r="J88" i="103"/>
  <c r="J81" i="103"/>
  <c r="J52" i="103"/>
  <c r="J37" i="103"/>
  <c r="L50" i="103"/>
  <c r="N50" i="103" s="1"/>
  <c r="Z16" i="105"/>
  <c r="T65" i="105"/>
  <c r="R39" i="99"/>
  <c r="R38" i="99"/>
  <c r="R34" i="99"/>
  <c r="R30" i="99"/>
  <c r="R56" i="99"/>
  <c r="R36" i="99"/>
  <c r="R61" i="99"/>
  <c r="R58" i="99"/>
  <c r="R19" i="99"/>
  <c r="F22" i="99"/>
  <c r="J26" i="99"/>
  <c r="R27" i="99"/>
  <c r="R28" i="99"/>
  <c r="F34" i="99"/>
  <c r="F37" i="99"/>
  <c r="F41" i="99"/>
  <c r="F46" i="99"/>
  <c r="R54" i="99"/>
  <c r="F58" i="99"/>
  <c r="L21" i="100"/>
  <c r="L26" i="100"/>
  <c r="P16" i="101"/>
  <c r="X56" i="103"/>
  <c r="Z56" i="103" s="1"/>
  <c r="V14" i="100"/>
  <c r="V16" i="100"/>
  <c r="V14" i="101"/>
  <c r="V16" i="101"/>
  <c r="V18" i="101"/>
  <c r="V36" i="101"/>
  <c r="V38" i="101"/>
  <c r="V41" i="101"/>
  <c r="F21" i="102"/>
  <c r="F25" i="102"/>
  <c r="F44" i="102"/>
  <c r="F45" i="102"/>
  <c r="F56" i="102"/>
  <c r="V65" i="103"/>
  <c r="V57" i="103"/>
  <c r="V45" i="103"/>
  <c r="V41" i="103"/>
  <c r="V37" i="103"/>
  <c r="V76" i="103"/>
  <c r="V60" i="103"/>
  <c r="V48" i="103"/>
  <c r="V32" i="103"/>
  <c r="V28" i="103"/>
  <c r="V24" i="103"/>
  <c r="V81" i="103"/>
  <c r="V79" i="103"/>
  <c r="V77" i="103"/>
  <c r="V61" i="103"/>
  <c r="V72" i="103"/>
  <c r="V68" i="103"/>
  <c r="V52" i="103"/>
  <c r="V63" i="103"/>
  <c r="V51" i="103"/>
  <c r="V43" i="103"/>
  <c r="V39" i="103"/>
  <c r="V35" i="103"/>
  <c r="V54" i="103"/>
  <c r="V34" i="103"/>
  <c r="V30" i="103"/>
  <c r="V88" i="103"/>
  <c r="V85" i="103"/>
  <c r="V83" i="103"/>
  <c r="V73" i="103"/>
  <c r="V69" i="103"/>
  <c r="V53" i="103"/>
  <c r="F17" i="103"/>
  <c r="D21" i="103"/>
  <c r="X23" i="103"/>
  <c r="V42" i="103"/>
  <c r="Z50" i="103"/>
  <c r="V58" i="103"/>
  <c r="F60" i="103"/>
  <c r="R19" i="104"/>
  <c r="R22" i="104"/>
  <c r="J72" i="105"/>
  <c r="J69" i="105"/>
  <c r="J59" i="105"/>
  <c r="J53" i="105"/>
  <c r="J54" i="105"/>
  <c r="J56" i="105"/>
  <c r="J40" i="105"/>
  <c r="J36" i="105"/>
  <c r="J41" i="105"/>
  <c r="J37" i="105"/>
  <c r="J28" i="105"/>
  <c r="J24" i="105"/>
  <c r="J20" i="105"/>
  <c r="J18" i="105"/>
  <c r="J16" i="105"/>
  <c r="J14" i="105"/>
  <c r="J48" i="105"/>
  <c r="H16" i="105"/>
  <c r="J65" i="105"/>
  <c r="J42" i="105"/>
  <c r="J60" i="105"/>
  <c r="J51" i="105"/>
  <c r="J43" i="105"/>
  <c r="J29" i="105"/>
  <c r="J25" i="105"/>
  <c r="J21" i="105"/>
  <c r="J57" i="105"/>
  <c r="J44" i="105"/>
  <c r="J38" i="105"/>
  <c r="J30" i="105"/>
  <c r="J35" i="105"/>
  <c r="J31" i="105"/>
  <c r="J52" i="105"/>
  <c r="J49" i="105"/>
  <c r="J45" i="105"/>
  <c r="J26" i="105"/>
  <c r="J22" i="105"/>
  <c r="J55" i="105"/>
  <c r="J39" i="105"/>
  <c r="J67" i="105"/>
  <c r="J61" i="105"/>
  <c r="J46" i="105"/>
  <c r="J32" i="105"/>
  <c r="N12" i="105"/>
  <c r="Z45" i="107"/>
  <c r="V23" i="101"/>
  <c r="D16" i="102"/>
  <c r="J21" i="102"/>
  <c r="J25" i="102"/>
  <c r="F29" i="102"/>
  <c r="F30" i="102"/>
  <c r="F34" i="102"/>
  <c r="F38" i="102"/>
  <c r="J45" i="102"/>
  <c r="J56" i="102"/>
  <c r="V18" i="103"/>
  <c r="F21" i="103"/>
  <c r="F39" i="103"/>
  <c r="F49" i="103"/>
  <c r="V50" i="103"/>
  <c r="L54" i="103"/>
  <c r="V55" i="103"/>
  <c r="F62" i="103"/>
  <c r="Z67" i="103"/>
  <c r="V71" i="103"/>
  <c r="V75" i="103"/>
  <c r="Z19" i="104"/>
  <c r="X19" i="104"/>
  <c r="L51" i="107"/>
  <c r="N51" i="107" s="1"/>
  <c r="F52" i="102"/>
  <c r="F54" i="102"/>
  <c r="Z23" i="103"/>
  <c r="F25" i="103"/>
  <c r="F54" i="103"/>
  <c r="L62" i="103"/>
  <c r="N62" i="103" s="1"/>
  <c r="D16" i="101"/>
  <c r="H16" i="102"/>
  <c r="F19" i="102"/>
  <c r="F20" i="102"/>
  <c r="F24" i="102"/>
  <c r="F28" i="102"/>
  <c r="J29" i="102"/>
  <c r="J43" i="102"/>
  <c r="J54" i="102"/>
  <c r="V23" i="103"/>
  <c r="F27" i="103"/>
  <c r="V44" i="103"/>
  <c r="V49" i="103"/>
  <c r="F64" i="103"/>
  <c r="J19" i="105"/>
  <c r="Z30" i="105"/>
  <c r="J28" i="102"/>
  <c r="F33" i="102"/>
  <c r="F37" i="102"/>
  <c r="X47" i="102"/>
  <c r="Z47" i="102" s="1"/>
  <c r="J52" i="102"/>
  <c r="F29" i="103"/>
  <c r="F31" i="103"/>
  <c r="F36" i="103"/>
  <c r="F43" i="103"/>
  <c r="F51" i="103"/>
  <c r="F68" i="103"/>
  <c r="F72" i="103"/>
  <c r="J23" i="105"/>
  <c r="J47" i="105"/>
  <c r="J33" i="102"/>
  <c r="J37" i="102"/>
  <c r="F42" i="102"/>
  <c r="F49" i="102"/>
  <c r="F50" i="102"/>
  <c r="F19" i="103"/>
  <c r="F76" i="103"/>
  <c r="J27" i="105"/>
  <c r="Z43" i="105"/>
  <c r="X43" i="105"/>
  <c r="L47" i="105"/>
  <c r="N47" i="105" s="1"/>
  <c r="F23" i="102"/>
  <c r="F27" i="102"/>
  <c r="J42" i="102"/>
  <c r="J50" i="102"/>
  <c r="P12" i="103"/>
  <c r="T21" i="103"/>
  <c r="F24" i="103"/>
  <c r="F48" i="103"/>
  <c r="V62" i="103"/>
  <c r="V66" i="103"/>
  <c r="V70" i="103"/>
  <c r="V74" i="103"/>
  <c r="V21" i="101"/>
  <c r="L12" i="102"/>
  <c r="J23" i="102"/>
  <c r="J27" i="102"/>
  <c r="F32" i="102"/>
  <c r="F36" i="102"/>
  <c r="F47" i="102"/>
  <c r="F48" i="102"/>
  <c r="J49" i="102"/>
  <c r="X13" i="103"/>
  <c r="V21" i="103"/>
  <c r="V27" i="103"/>
  <c r="F33" i="103"/>
  <c r="F40" i="103"/>
  <c r="V46" i="103"/>
  <c r="V59" i="103"/>
  <c r="V64" i="103"/>
  <c r="X76" i="103"/>
  <c r="Z76" i="103" s="1"/>
  <c r="N12" i="104"/>
  <c r="J19" i="104"/>
  <c r="J20" i="104"/>
  <c r="J18" i="104"/>
  <c r="J16" i="104"/>
  <c r="J14" i="104"/>
  <c r="H16" i="104"/>
  <c r="J24" i="104"/>
  <c r="J22" i="104"/>
  <c r="J26" i="104"/>
  <c r="J33" i="105"/>
  <c r="J50" i="105"/>
  <c r="Z59" i="105"/>
  <c r="L14" i="107"/>
  <c r="D16" i="107"/>
  <c r="J32" i="102"/>
  <c r="J36" i="102"/>
  <c r="F40" i="102"/>
  <c r="F41" i="102"/>
  <c r="F79" i="103"/>
  <c r="F34" i="103"/>
  <c r="F30" i="103"/>
  <c r="F26" i="103"/>
  <c r="F83" i="103"/>
  <c r="F73" i="103"/>
  <c r="F69" i="103"/>
  <c r="F53" i="103"/>
  <c r="F52" i="103"/>
  <c r="F74" i="103"/>
  <c r="F70" i="103"/>
  <c r="F65" i="103"/>
  <c r="F57" i="103"/>
  <c r="F56" i="103"/>
  <c r="F45" i="103"/>
  <c r="F41" i="103"/>
  <c r="F37" i="103"/>
  <c r="F32" i="103"/>
  <c r="F28" i="103"/>
  <c r="F75" i="103"/>
  <c r="F71" i="103"/>
  <c r="F59" i="103"/>
  <c r="F58" i="103"/>
  <c r="F47" i="103"/>
  <c r="F46" i="103"/>
  <c r="F66" i="103"/>
  <c r="F42" i="103"/>
  <c r="F38" i="103"/>
  <c r="F35" i="103"/>
  <c r="X48" i="103"/>
  <c r="Z48" i="103" s="1"/>
  <c r="F50" i="103"/>
  <c r="R18" i="104"/>
  <c r="R16" i="104"/>
  <c r="R14" i="104"/>
  <c r="R20" i="104"/>
  <c r="P16" i="104"/>
  <c r="R26" i="104"/>
  <c r="R31" i="104"/>
  <c r="R28" i="104"/>
  <c r="Z57" i="107"/>
  <c r="F22" i="104"/>
  <c r="F24" i="104"/>
  <c r="R14" i="105"/>
  <c r="R16" i="105"/>
  <c r="R18" i="105"/>
  <c r="R33" i="105"/>
  <c r="R40" i="105"/>
  <c r="V69" i="105"/>
  <c r="J14" i="107"/>
  <c r="J39" i="107"/>
  <c r="F38" i="109"/>
  <c r="F34" i="109"/>
  <c r="F69" i="109"/>
  <c r="F57" i="109"/>
  <c r="F56" i="109"/>
  <c r="F59" i="109"/>
  <c r="F58" i="109"/>
  <c r="F30" i="109"/>
  <c r="F26" i="109"/>
  <c r="F22" i="109"/>
  <c r="L12" i="109"/>
  <c r="F60" i="109"/>
  <c r="F51" i="109"/>
  <c r="F50" i="109"/>
  <c r="F62" i="109"/>
  <c r="F61" i="109"/>
  <c r="F44" i="109"/>
  <c r="F20" i="109"/>
  <c r="F40" i="109"/>
  <c r="F37" i="109"/>
  <c r="F21" i="109"/>
  <c r="F53" i="109"/>
  <c r="F45" i="109"/>
  <c r="F65" i="109"/>
  <c r="F27" i="109"/>
  <c r="F24" i="109"/>
  <c r="F41" i="109"/>
  <c r="F46" i="109"/>
  <c r="F31" i="109"/>
  <c r="F35" i="109"/>
  <c r="F28" i="109"/>
  <c r="F25" i="109"/>
  <c r="F54" i="109"/>
  <c r="F47" i="109"/>
  <c r="F42" i="109"/>
  <c r="F32" i="109"/>
  <c r="F15" i="109"/>
  <c r="F43" i="109"/>
  <c r="D16" i="104"/>
  <c r="R60" i="105"/>
  <c r="R48" i="105"/>
  <c r="R55" i="105"/>
  <c r="R54" i="105"/>
  <c r="R67" i="105"/>
  <c r="R57" i="105"/>
  <c r="R37" i="105"/>
  <c r="R19" i="105"/>
  <c r="R47" i="105"/>
  <c r="N19" i="107"/>
  <c r="J24" i="107"/>
  <c r="L30" i="107"/>
  <c r="J36" i="107"/>
  <c r="J42" i="107"/>
  <c r="J45" i="107"/>
  <c r="Z49" i="107"/>
  <c r="D17" i="109"/>
  <c r="R24" i="109"/>
  <c r="F52" i="109"/>
  <c r="R58" i="109"/>
  <c r="F14" i="104"/>
  <c r="F16" i="104"/>
  <c r="F18" i="104"/>
  <c r="V55" i="105"/>
  <c r="V65" i="105"/>
  <c r="V63" i="105"/>
  <c r="V61" i="105"/>
  <c r="V49" i="105"/>
  <c r="V50" i="105"/>
  <c r="V52" i="105"/>
  <c r="V44" i="105"/>
  <c r="V14" i="105"/>
  <c r="V16" i="105"/>
  <c r="V18" i="105"/>
  <c r="R23" i="105"/>
  <c r="R27" i="105"/>
  <c r="R36" i="105"/>
  <c r="R58" i="105"/>
  <c r="X63" i="105"/>
  <c r="L45" i="107"/>
  <c r="N45" i="107" s="1"/>
  <c r="Z51" i="107"/>
  <c r="F17" i="109"/>
  <c r="F48" i="109"/>
  <c r="F19" i="104"/>
  <c r="F20" i="104"/>
  <c r="X12" i="105"/>
  <c r="R32" i="105"/>
  <c r="V36" i="105"/>
  <c r="R46" i="105"/>
  <c r="V47" i="105"/>
  <c r="V58" i="105"/>
  <c r="R61" i="105"/>
  <c r="V67" i="105"/>
  <c r="J29" i="107"/>
  <c r="X45" i="107"/>
  <c r="R31" i="109"/>
  <c r="R30" i="109"/>
  <c r="R26" i="109"/>
  <c r="R22" i="109"/>
  <c r="X12" i="109"/>
  <c r="Z12" i="109" s="1"/>
  <c r="R61" i="109"/>
  <c r="R60" i="109"/>
  <c r="R62" i="109"/>
  <c r="R65" i="109"/>
  <c r="R64" i="109"/>
  <c r="R56" i="109"/>
  <c r="R55" i="109"/>
  <c r="R44" i="109"/>
  <c r="R43" i="109"/>
  <c r="R53" i="109"/>
  <c r="R46" i="109"/>
  <c r="R41" i="109"/>
  <c r="R42" i="109"/>
  <c r="R38" i="109"/>
  <c r="R28" i="109"/>
  <c r="R15" i="109"/>
  <c r="R54" i="109"/>
  <c r="R35" i="109"/>
  <c r="R32" i="109"/>
  <c r="R25" i="109"/>
  <c r="R59" i="109"/>
  <c r="R51" i="109"/>
  <c r="R48" i="109"/>
  <c r="R47" i="109"/>
  <c r="R57" i="109"/>
  <c r="P17" i="109"/>
  <c r="R39" i="109"/>
  <c r="R36" i="109"/>
  <c r="R33" i="109"/>
  <c r="R29" i="109"/>
  <c r="R20" i="109"/>
  <c r="R19" i="109"/>
  <c r="R69" i="109"/>
  <c r="R52" i="109"/>
  <c r="R23" i="109"/>
  <c r="R49" i="109"/>
  <c r="R39" i="105"/>
  <c r="J55" i="107"/>
  <c r="J47" i="107"/>
  <c r="J56" i="107"/>
  <c r="J48" i="107"/>
  <c r="J30" i="107"/>
  <c r="J67" i="107"/>
  <c r="J57" i="107"/>
  <c r="J58" i="107"/>
  <c r="J50" i="107"/>
  <c r="J26" i="107"/>
  <c r="J22" i="107"/>
  <c r="J51" i="107"/>
  <c r="J69" i="107"/>
  <c r="J72" i="107"/>
  <c r="J59" i="107"/>
  <c r="J41" i="107"/>
  <c r="J27" i="107"/>
  <c r="J23" i="107"/>
  <c r="L12" i="107"/>
  <c r="J60" i="107"/>
  <c r="J61" i="107"/>
  <c r="J53" i="107"/>
  <c r="J43" i="107"/>
  <c r="J37" i="107"/>
  <c r="J33" i="107"/>
  <c r="J19" i="107"/>
  <c r="J18" i="107"/>
  <c r="J38" i="107"/>
  <c r="J63" i="107"/>
  <c r="R50" i="109"/>
  <c r="R22" i="105"/>
  <c r="R26" i="105"/>
  <c r="R49" i="105"/>
  <c r="R52" i="105"/>
  <c r="J21" i="107"/>
  <c r="J35" i="107"/>
  <c r="L41" i="107"/>
  <c r="N41" i="107" s="1"/>
  <c r="F29" i="109"/>
  <c r="F39" i="109"/>
  <c r="F55" i="109"/>
  <c r="L12" i="104"/>
  <c r="V31" i="105"/>
  <c r="V35" i="105"/>
  <c r="R38" i="105"/>
  <c r="R44" i="105"/>
  <c r="V57" i="105"/>
  <c r="R72" i="105"/>
  <c r="J28" i="107"/>
  <c r="P24" i="108"/>
  <c r="L19" i="109"/>
  <c r="N19" i="109" s="1"/>
  <c r="R27" i="109"/>
  <c r="F49" i="109"/>
  <c r="F28" i="104"/>
  <c r="R21" i="105"/>
  <c r="R25" i="105"/>
  <c r="R29" i="105"/>
  <c r="R30" i="105"/>
  <c r="V38" i="105"/>
  <c r="V45" i="105"/>
  <c r="N59" i="105"/>
  <c r="V60" i="105"/>
  <c r="R65" i="105"/>
  <c r="V72" i="105"/>
  <c r="H16" i="107"/>
  <c r="Z18" i="107"/>
  <c r="J40" i="107"/>
  <c r="N43" i="107"/>
  <c r="J46" i="107"/>
  <c r="J54" i="107"/>
  <c r="V21" i="107"/>
  <c r="V25" i="107"/>
  <c r="V29" i="107"/>
  <c r="R34" i="107"/>
  <c r="R38" i="107"/>
  <c r="F41" i="107"/>
  <c r="F42" i="107"/>
  <c r="R46" i="107"/>
  <c r="R47" i="107"/>
  <c r="V49" i="107"/>
  <c r="R54" i="107"/>
  <c r="R55" i="107"/>
  <c r="V57" i="107"/>
  <c r="R65" i="107"/>
  <c r="F72" i="107"/>
  <c r="F21" i="108"/>
  <c r="F26" i="108"/>
  <c r="R16" i="108"/>
  <c r="V20" i="108"/>
  <c r="H17" i="109"/>
  <c r="J17" i="109" s="1"/>
  <c r="V40" i="109"/>
  <c r="J48" i="109"/>
  <c r="Z58" i="109"/>
  <c r="R63" i="107"/>
  <c r="J22" i="108"/>
  <c r="H16" i="108"/>
  <c r="X14" i="108"/>
  <c r="T16" i="108"/>
  <c r="X16" i="108" s="1"/>
  <c r="J69" i="109"/>
  <c r="J57" i="109"/>
  <c r="J45" i="109"/>
  <c r="J29" i="109"/>
  <c r="J25" i="109"/>
  <c r="J21" i="109"/>
  <c r="J19" i="109"/>
  <c r="J15" i="109"/>
  <c r="J58" i="109"/>
  <c r="J59" i="109"/>
  <c r="J49" i="109"/>
  <c r="J31" i="109"/>
  <c r="J60" i="109"/>
  <c r="J61" i="109"/>
  <c r="J51" i="109"/>
  <c r="J62" i="109"/>
  <c r="J52" i="109"/>
  <c r="J53" i="109"/>
  <c r="J43" i="109"/>
  <c r="P16" i="107"/>
  <c r="R20" i="107"/>
  <c r="R24" i="107"/>
  <c r="R28" i="107"/>
  <c r="F32" i="107"/>
  <c r="F36" i="107"/>
  <c r="F40" i="107"/>
  <c r="R44" i="107"/>
  <c r="R45" i="107"/>
  <c r="V47" i="107"/>
  <c r="F51" i="107"/>
  <c r="F52" i="107"/>
  <c r="V55" i="107"/>
  <c r="V65" i="107"/>
  <c r="L12" i="108"/>
  <c r="V16" i="108"/>
  <c r="F22" i="108"/>
  <c r="N12" i="109"/>
  <c r="V23" i="109"/>
  <c r="J32" i="109"/>
  <c r="J47" i="109"/>
  <c r="N54" i="109"/>
  <c r="N61" i="109"/>
  <c r="Z64" i="109"/>
  <c r="J31" i="108"/>
  <c r="Z19" i="109"/>
  <c r="J22" i="109"/>
  <c r="J28" i="109"/>
  <c r="V29" i="109"/>
  <c r="J35" i="109"/>
  <c r="V36" i="109"/>
  <c r="J38" i="109"/>
  <c r="V39" i="109"/>
  <c r="J42" i="109"/>
  <c r="V44" i="109"/>
  <c r="J54" i="109"/>
  <c r="T16" i="107"/>
  <c r="R19" i="107"/>
  <c r="V33" i="107"/>
  <c r="V37" i="107"/>
  <c r="R42" i="107"/>
  <c r="R43" i="107"/>
  <c r="V45" i="107"/>
  <c r="F49" i="107"/>
  <c r="F50" i="107"/>
  <c r="V53" i="107"/>
  <c r="F57" i="107"/>
  <c r="F58" i="107"/>
  <c r="V61" i="107"/>
  <c r="R26" i="108"/>
  <c r="X12" i="108"/>
  <c r="V14" i="108"/>
  <c r="J21" i="108"/>
  <c r="V61" i="109"/>
  <c r="V49" i="109"/>
  <c r="V60" i="109"/>
  <c r="V64" i="109"/>
  <c r="V62" i="109"/>
  <c r="V67" i="109"/>
  <c r="V65" i="109"/>
  <c r="V53" i="109"/>
  <c r="V41" i="109"/>
  <c r="V37" i="109"/>
  <c r="V33" i="109"/>
  <c r="V55" i="109"/>
  <c r="V58" i="109"/>
  <c r="V46" i="109"/>
  <c r="V38" i="109"/>
  <c r="V69" i="109"/>
  <c r="V57" i="109"/>
  <c r="V19" i="109"/>
  <c r="V20" i="109"/>
  <c r="L42" i="109"/>
  <c r="N42" i="109" s="1"/>
  <c r="V43" i="109"/>
  <c r="Z52" i="109"/>
  <c r="D64" i="109"/>
  <c r="L65" i="109"/>
  <c r="N65" i="109" s="1"/>
  <c r="V14" i="107"/>
  <c r="V16" i="107"/>
  <c r="V18" i="107"/>
  <c r="R23" i="107"/>
  <c r="R27" i="107"/>
  <c r="V42" i="107"/>
  <c r="R59" i="107"/>
  <c r="R60" i="107"/>
  <c r="F67" i="107"/>
  <c r="V24" i="108"/>
  <c r="J28" i="108"/>
  <c r="T67" i="109"/>
  <c r="J41" i="109"/>
  <c r="J46" i="109"/>
  <c r="J56" i="109"/>
  <c r="V59" i="109"/>
  <c r="R72" i="107"/>
  <c r="D24" i="108"/>
  <c r="J20" i="108"/>
  <c r="R22" i="108"/>
  <c r="R31" i="108"/>
  <c r="V17" i="109"/>
  <c r="V22" i="109"/>
  <c r="J24" i="109"/>
  <c r="V25" i="109"/>
  <c r="J27" i="109"/>
  <c r="V32" i="109"/>
  <c r="J34" i="109"/>
  <c r="V35" i="109"/>
  <c r="V48" i="109"/>
  <c r="J50" i="109"/>
  <c r="Z54" i="109"/>
  <c r="J65" i="109"/>
  <c r="Z12" i="107"/>
  <c r="V32" i="107"/>
  <c r="V36" i="107"/>
  <c r="V40" i="107"/>
  <c r="V52" i="107"/>
  <c r="V60" i="107"/>
  <c r="L63" i="107"/>
  <c r="R69" i="107"/>
  <c r="V72" i="107"/>
  <c r="F16" i="108"/>
  <c r="J18" i="108"/>
  <c r="V22" i="108"/>
  <c r="V28" i="109"/>
  <c r="J30" i="109"/>
  <c r="X48" i="109"/>
  <c r="Z48" i="109" s="1"/>
  <c r="V54" i="109"/>
  <c r="R58" i="107"/>
  <c r="J16" i="108"/>
  <c r="J26" i="108"/>
  <c r="J37" i="109"/>
  <c r="J40" i="109"/>
  <c r="Z17" i="56" l="1"/>
  <c r="T68" i="56"/>
  <c r="X17" i="56"/>
  <c r="P68" i="56"/>
  <c r="T22" i="54"/>
  <c r="Z16" i="54"/>
  <c r="H93" i="45"/>
  <c r="N21" i="45"/>
  <c r="D109" i="39"/>
  <c r="L21" i="39"/>
  <c r="F152" i="30"/>
  <c r="F140" i="30"/>
  <c r="F139" i="30"/>
  <c r="F146" i="30"/>
  <c r="F143" i="30"/>
  <c r="F131" i="30"/>
  <c r="F127" i="30"/>
  <c r="F115" i="30"/>
  <c r="F114" i="30"/>
  <c r="F103" i="30"/>
  <c r="F95" i="30"/>
  <c r="F94" i="30"/>
  <c r="F71" i="30"/>
  <c r="F67" i="30"/>
  <c r="F147" i="30"/>
  <c r="F136" i="30"/>
  <c r="F58" i="30"/>
  <c r="F54" i="30"/>
  <c r="F50" i="30"/>
  <c r="F121" i="30"/>
  <c r="F105" i="30"/>
  <c r="F104" i="30"/>
  <c r="F97" i="30"/>
  <c r="F96" i="30"/>
  <c r="F85" i="30"/>
  <c r="F81" i="30"/>
  <c r="F77" i="30"/>
  <c r="F132" i="30"/>
  <c r="F128" i="30"/>
  <c r="F116" i="30"/>
  <c r="F72" i="30"/>
  <c r="F68" i="30"/>
  <c r="F123" i="30"/>
  <c r="F122" i="30"/>
  <c r="F107" i="30"/>
  <c r="F106" i="30"/>
  <c r="F99" i="30"/>
  <c r="F98" i="30"/>
  <c r="F87" i="30"/>
  <c r="F86" i="30"/>
  <c r="F59" i="30"/>
  <c r="F55" i="30"/>
  <c r="F51" i="30"/>
  <c r="F148" i="30"/>
  <c r="F137" i="30"/>
  <c r="F82" i="30"/>
  <c r="F78" i="30"/>
  <c r="L12" i="30"/>
  <c r="N12" i="30" s="1"/>
  <c r="F145" i="30"/>
  <c r="F133" i="30"/>
  <c r="F129" i="30"/>
  <c r="F117" i="30"/>
  <c r="F109" i="30"/>
  <c r="F108" i="30"/>
  <c r="F89" i="30"/>
  <c r="F88" i="30"/>
  <c r="F73" i="30"/>
  <c r="F69" i="30"/>
  <c r="F141" i="30"/>
  <c r="F124" i="30"/>
  <c r="F100" i="30"/>
  <c r="F60" i="30"/>
  <c r="F56" i="30"/>
  <c r="F52" i="30"/>
  <c r="F48" i="30"/>
  <c r="F47" i="30"/>
  <c r="F142" i="30"/>
  <c r="F113" i="30"/>
  <c r="F112" i="30"/>
  <c r="F93" i="30"/>
  <c r="F92" i="30"/>
  <c r="F64" i="30"/>
  <c r="F62" i="30"/>
  <c r="F57" i="30"/>
  <c r="F53" i="30"/>
  <c r="F49" i="30"/>
  <c r="F130" i="30"/>
  <c r="F79" i="30"/>
  <c r="F75" i="30"/>
  <c r="D62" i="30"/>
  <c r="F134" i="30"/>
  <c r="F111" i="30"/>
  <c r="F101" i="30"/>
  <c r="F91" i="30"/>
  <c r="F138" i="30"/>
  <c r="F83" i="30"/>
  <c r="F65" i="30"/>
  <c r="F119" i="30"/>
  <c r="F125" i="30"/>
  <c r="F76" i="30"/>
  <c r="F80" i="30"/>
  <c r="F135" i="30"/>
  <c r="F110" i="30"/>
  <c r="F102" i="30"/>
  <c r="F90" i="30"/>
  <c r="F70" i="30"/>
  <c r="F74" i="30"/>
  <c r="F118" i="30"/>
  <c r="F120" i="30"/>
  <c r="F84" i="30"/>
  <c r="F66" i="30"/>
  <c r="F126" i="30"/>
  <c r="D105" i="9"/>
  <c r="P26" i="6"/>
  <c r="T27" i="52"/>
  <c r="Z18" i="52"/>
  <c r="L18" i="49"/>
  <c r="D27" i="49"/>
  <c r="T27" i="46"/>
  <c r="Z18" i="46"/>
  <c r="T27" i="38"/>
  <c r="Z18" i="38"/>
  <c r="L18" i="32"/>
  <c r="D27" i="32"/>
  <c r="T27" i="26"/>
  <c r="Z18" i="26"/>
  <c r="H27" i="19"/>
  <c r="N18" i="19"/>
  <c r="X18" i="19"/>
  <c r="P27" i="19"/>
  <c r="L18" i="14"/>
  <c r="D27" i="14"/>
  <c r="H27" i="4"/>
  <c r="N18" i="4"/>
  <c r="T27" i="10"/>
  <c r="Z18" i="10"/>
  <c r="L18" i="10"/>
  <c r="D27" i="10"/>
  <c r="T27" i="4"/>
  <c r="Z18" i="4"/>
  <c r="N16" i="108"/>
  <c r="H24" i="108"/>
  <c r="L16" i="108"/>
  <c r="N21" i="103"/>
  <c r="H81" i="103"/>
  <c r="P58" i="99"/>
  <c r="T54" i="99"/>
  <c r="Z16" i="99"/>
  <c r="X16" i="99"/>
  <c r="H71" i="94"/>
  <c r="N20" i="94"/>
  <c r="Z17" i="93"/>
  <c r="T61" i="93"/>
  <c r="Z18" i="92"/>
  <c r="T74" i="92"/>
  <c r="X30" i="88"/>
  <c r="P34" i="88"/>
  <c r="Z16" i="83"/>
  <c r="T71" i="83"/>
  <c r="R130" i="74"/>
  <c r="R99" i="74"/>
  <c r="R98" i="74"/>
  <c r="R109" i="74"/>
  <c r="R90" i="74"/>
  <c r="R89" i="74"/>
  <c r="R73" i="74"/>
  <c r="R69" i="74"/>
  <c r="R121" i="74"/>
  <c r="R120" i="74"/>
  <c r="R116" i="74"/>
  <c r="R101" i="74"/>
  <c r="R100" i="74"/>
  <c r="R92" i="74"/>
  <c r="R91" i="74"/>
  <c r="R134" i="74"/>
  <c r="R123" i="74"/>
  <c r="R122" i="74"/>
  <c r="R111" i="74"/>
  <c r="R110" i="74"/>
  <c r="R103" i="74"/>
  <c r="R102" i="74"/>
  <c r="R75" i="74"/>
  <c r="R74" i="74"/>
  <c r="R70" i="74"/>
  <c r="R124" i="74"/>
  <c r="R113" i="74"/>
  <c r="R112" i="74"/>
  <c r="R105" i="74"/>
  <c r="R104" i="74"/>
  <c r="R127" i="74"/>
  <c r="R78" i="74"/>
  <c r="R65" i="74"/>
  <c r="R60" i="74"/>
  <c r="R56" i="74"/>
  <c r="R52" i="74"/>
  <c r="R114" i="74"/>
  <c r="R106" i="74"/>
  <c r="R96" i="74"/>
  <c r="R85" i="74"/>
  <c r="R72" i="74"/>
  <c r="R64" i="74"/>
  <c r="R119" i="74"/>
  <c r="R66" i="74"/>
  <c r="P62" i="74"/>
  <c r="R62" i="74" s="1"/>
  <c r="R107" i="74"/>
  <c r="R86" i="74"/>
  <c r="R82" i="74"/>
  <c r="R79" i="74"/>
  <c r="R76" i="74"/>
  <c r="R57" i="74"/>
  <c r="R53" i="74"/>
  <c r="R49" i="74"/>
  <c r="R128" i="74"/>
  <c r="R117" i="74"/>
  <c r="R93" i="74"/>
  <c r="R94" i="74"/>
  <c r="R67" i="74"/>
  <c r="R125" i="74"/>
  <c r="R115" i="74"/>
  <c r="R87" i="74"/>
  <c r="R83" i="74"/>
  <c r="R80" i="74"/>
  <c r="R58" i="74"/>
  <c r="R54" i="74"/>
  <c r="R50" i="74"/>
  <c r="R81" i="74"/>
  <c r="R77" i="74"/>
  <c r="R59" i="74"/>
  <c r="R47" i="74"/>
  <c r="R108" i="74"/>
  <c r="R71" i="74"/>
  <c r="R55" i="74"/>
  <c r="R84" i="74"/>
  <c r="R129" i="74"/>
  <c r="R48" i="74"/>
  <c r="X12" i="74"/>
  <c r="Z12" i="74" s="1"/>
  <c r="R68" i="74"/>
  <c r="R95" i="74"/>
  <c r="R51" i="74"/>
  <c r="R118" i="74"/>
  <c r="R88" i="74"/>
  <c r="R97" i="74"/>
  <c r="P52" i="69"/>
  <c r="X16" i="69"/>
  <c r="H94" i="63"/>
  <c r="N16" i="63"/>
  <c r="R95" i="51"/>
  <c r="R37" i="51"/>
  <c r="R33" i="51"/>
  <c r="R84" i="51"/>
  <c r="R65" i="51"/>
  <c r="R64" i="51"/>
  <c r="R60" i="51"/>
  <c r="R56" i="51"/>
  <c r="R29" i="51"/>
  <c r="R76" i="51"/>
  <c r="R75" i="51"/>
  <c r="R51" i="51"/>
  <c r="R47" i="51"/>
  <c r="R67" i="51"/>
  <c r="R66" i="51"/>
  <c r="R43" i="51"/>
  <c r="R38" i="51"/>
  <c r="R34" i="51"/>
  <c r="R30" i="51"/>
  <c r="R86" i="51"/>
  <c r="R85" i="51"/>
  <c r="R78" i="51"/>
  <c r="R77" i="51"/>
  <c r="R61" i="51"/>
  <c r="R57" i="51"/>
  <c r="R42" i="51"/>
  <c r="R69" i="51"/>
  <c r="R68" i="51"/>
  <c r="R52" i="51"/>
  <c r="R48" i="51"/>
  <c r="R44" i="51"/>
  <c r="P40" i="51"/>
  <c r="R87" i="51"/>
  <c r="R80" i="51"/>
  <c r="R79" i="51"/>
  <c r="R35" i="51"/>
  <c r="R31" i="51"/>
  <c r="R90" i="51"/>
  <c r="R89" i="51"/>
  <c r="R71" i="51"/>
  <c r="R70" i="51"/>
  <c r="R62" i="51"/>
  <c r="R58" i="51"/>
  <c r="X12" i="51"/>
  <c r="Z12" i="51" s="1"/>
  <c r="R91" i="51"/>
  <c r="R82" i="51"/>
  <c r="R81" i="51"/>
  <c r="R54" i="51"/>
  <c r="R53" i="51"/>
  <c r="R49" i="51"/>
  <c r="R45" i="51"/>
  <c r="R73" i="51"/>
  <c r="R72" i="51"/>
  <c r="R36" i="51"/>
  <c r="R32" i="51"/>
  <c r="R83" i="51"/>
  <c r="R63" i="51"/>
  <c r="R59" i="51"/>
  <c r="R55" i="51"/>
  <c r="R74" i="51"/>
  <c r="R46" i="51"/>
  <c r="R50" i="51"/>
  <c r="T74" i="48"/>
  <c r="P67" i="48"/>
  <c r="X17" i="48"/>
  <c r="Z17" i="48" s="1"/>
  <c r="R46" i="33"/>
  <c r="R45" i="33"/>
  <c r="R41" i="33"/>
  <c r="R37" i="33"/>
  <c r="R64" i="33"/>
  <c r="R57" i="33"/>
  <c r="R56" i="33"/>
  <c r="R32" i="33"/>
  <c r="R28" i="33"/>
  <c r="R48" i="33"/>
  <c r="R47" i="33"/>
  <c r="R59" i="33"/>
  <c r="R58" i="33"/>
  <c r="R42" i="33"/>
  <c r="R38" i="33"/>
  <c r="R61" i="33"/>
  <c r="R60" i="33"/>
  <c r="R70" i="33"/>
  <c r="R69" i="33"/>
  <c r="R62" i="33"/>
  <c r="R35" i="33"/>
  <c r="R34" i="33"/>
  <c r="R30" i="33"/>
  <c r="R26" i="33"/>
  <c r="P22" i="33"/>
  <c r="R54" i="33"/>
  <c r="R53" i="33"/>
  <c r="R44" i="33"/>
  <c r="R40" i="33"/>
  <c r="R36" i="33"/>
  <c r="X12" i="33"/>
  <c r="Z12" i="33" s="1"/>
  <c r="R39" i="33"/>
  <c r="R74" i="33"/>
  <c r="R65" i="33"/>
  <c r="R51" i="33"/>
  <c r="R66" i="33"/>
  <c r="R49" i="33"/>
  <c r="R33" i="33"/>
  <c r="R31" i="33"/>
  <c r="R24" i="33"/>
  <c r="R20" i="33"/>
  <c r="R52" i="33"/>
  <c r="R50" i="33"/>
  <c r="R27" i="33"/>
  <c r="R67" i="33"/>
  <c r="R63" i="33"/>
  <c r="R43" i="33"/>
  <c r="R29" i="33"/>
  <c r="R55" i="33"/>
  <c r="R25" i="33"/>
  <c r="F21" i="39"/>
  <c r="H100" i="27"/>
  <c r="R105" i="42"/>
  <c r="R80" i="42"/>
  <c r="R79" i="42"/>
  <c r="R67" i="42"/>
  <c r="R56" i="42"/>
  <c r="R55" i="42"/>
  <c r="R48" i="42"/>
  <c r="R47" i="42"/>
  <c r="R31" i="42"/>
  <c r="R27" i="42"/>
  <c r="R106" i="42"/>
  <c r="R95" i="42"/>
  <c r="R94" i="42"/>
  <c r="R74" i="42"/>
  <c r="R23" i="42"/>
  <c r="R89" i="42"/>
  <c r="R85" i="42"/>
  <c r="R81" i="42"/>
  <c r="R58" i="42"/>
  <c r="R57" i="42"/>
  <c r="R50" i="42"/>
  <c r="R49" i="42"/>
  <c r="R41" i="42"/>
  <c r="R37" i="42"/>
  <c r="R22" i="42"/>
  <c r="R97" i="42"/>
  <c r="R96" i="42"/>
  <c r="R69" i="42"/>
  <c r="R68" i="42"/>
  <c r="R33" i="42"/>
  <c r="R32" i="42"/>
  <c r="R28" i="42"/>
  <c r="R24" i="42"/>
  <c r="R75" i="42"/>
  <c r="R60" i="42"/>
  <c r="R59" i="42"/>
  <c r="R51" i="42"/>
  <c r="R110" i="42"/>
  <c r="R98" i="42"/>
  <c r="R90" i="42"/>
  <c r="R86" i="42"/>
  <c r="R82" i="42"/>
  <c r="R70" i="42"/>
  <c r="R42" i="42"/>
  <c r="R38" i="42"/>
  <c r="R34" i="42"/>
  <c r="R100" i="42"/>
  <c r="R99" i="42"/>
  <c r="R92" i="42"/>
  <c r="R91" i="42"/>
  <c r="R87" i="42"/>
  <c r="R83" i="42"/>
  <c r="R72" i="42"/>
  <c r="R71" i="42"/>
  <c r="R64" i="42"/>
  <c r="R63" i="42"/>
  <c r="R44" i="42"/>
  <c r="R43" i="42"/>
  <c r="R39" i="42"/>
  <c r="R35" i="42"/>
  <c r="R30" i="42"/>
  <c r="R26" i="42"/>
  <c r="R101" i="42"/>
  <c r="R93" i="42"/>
  <c r="R78" i="42"/>
  <c r="R77" i="42"/>
  <c r="R73" i="42"/>
  <c r="R66" i="42"/>
  <c r="R65" i="42"/>
  <c r="R54" i="42"/>
  <c r="R53" i="42"/>
  <c r="R46" i="42"/>
  <c r="R45" i="42"/>
  <c r="R88" i="42"/>
  <c r="R52" i="42"/>
  <c r="R29" i="42"/>
  <c r="R25" i="42"/>
  <c r="R18" i="42"/>
  <c r="R61" i="42"/>
  <c r="R103" i="42"/>
  <c r="R40" i="42"/>
  <c r="R36" i="42"/>
  <c r="P20" i="42"/>
  <c r="R20" i="42" s="1"/>
  <c r="R76" i="42"/>
  <c r="R62" i="42"/>
  <c r="X12" i="42"/>
  <c r="Z12" i="42" s="1"/>
  <c r="R84" i="42"/>
  <c r="R104" i="42"/>
  <c r="R17" i="42"/>
  <c r="X18" i="24"/>
  <c r="P62" i="24"/>
  <c r="T27" i="112"/>
  <c r="Z18" i="112"/>
  <c r="H27" i="49"/>
  <c r="N18" i="49"/>
  <c r="L18" i="52"/>
  <c r="D27" i="52"/>
  <c r="H27" i="41"/>
  <c r="N18" i="41"/>
  <c r="X18" i="37"/>
  <c r="P27" i="37"/>
  <c r="X18" i="35"/>
  <c r="P27" i="35"/>
  <c r="P27" i="38"/>
  <c r="X18" i="38"/>
  <c r="D27" i="35"/>
  <c r="L18" i="35"/>
  <c r="L18" i="34"/>
  <c r="D27" i="34"/>
  <c r="T27" i="35"/>
  <c r="Z18" i="35"/>
  <c r="X18" i="25"/>
  <c r="P27" i="25"/>
  <c r="T27" i="16"/>
  <c r="Z18" i="16"/>
  <c r="P27" i="13"/>
  <c r="X18" i="13"/>
  <c r="L18" i="7"/>
  <c r="D27" i="7"/>
  <c r="T27" i="5"/>
  <c r="Z18" i="5"/>
  <c r="H54" i="102"/>
  <c r="N16" i="102"/>
  <c r="R60" i="92"/>
  <c r="R41" i="92"/>
  <c r="R40" i="92"/>
  <c r="R36" i="92"/>
  <c r="R32" i="92"/>
  <c r="R67" i="92"/>
  <c r="R52" i="92"/>
  <c r="R51" i="92"/>
  <c r="R27" i="92"/>
  <c r="R23" i="92"/>
  <c r="R43" i="92"/>
  <c r="R42" i="92"/>
  <c r="R61" i="92"/>
  <c r="R54" i="92"/>
  <c r="R53" i="92"/>
  <c r="R37" i="92"/>
  <c r="R33" i="92"/>
  <c r="R69" i="92"/>
  <c r="R68" i="92"/>
  <c r="R56" i="92"/>
  <c r="R55" i="92"/>
  <c r="R74" i="92"/>
  <c r="R72" i="92"/>
  <c r="R58" i="92"/>
  <c r="R57" i="92"/>
  <c r="R30" i="92"/>
  <c r="R29" i="92"/>
  <c r="R25" i="92"/>
  <c r="R35" i="92"/>
  <c r="R15" i="92"/>
  <c r="R81" i="92"/>
  <c r="R20" i="92"/>
  <c r="R62" i="92"/>
  <c r="R49" i="92"/>
  <c r="R44" i="92"/>
  <c r="R38" i="92"/>
  <c r="R28" i="92"/>
  <c r="X12" i="92"/>
  <c r="R70" i="92"/>
  <c r="R65" i="92"/>
  <c r="R63" i="92"/>
  <c r="R45" i="92"/>
  <c r="R31" i="92"/>
  <c r="R21" i="92"/>
  <c r="R16" i="92"/>
  <c r="R47" i="92"/>
  <c r="R26" i="92"/>
  <c r="R78" i="92"/>
  <c r="R50" i="92"/>
  <c r="R34" i="92"/>
  <c r="R24" i="92"/>
  <c r="R66" i="92"/>
  <c r="R48" i="92"/>
  <c r="R39" i="92"/>
  <c r="R64" i="92"/>
  <c r="R46" i="92"/>
  <c r="P18" i="92"/>
  <c r="R76" i="92"/>
  <c r="R59" i="92"/>
  <c r="R18" i="92"/>
  <c r="R22" i="92"/>
  <c r="P85" i="21"/>
  <c r="Z16" i="6"/>
  <c r="T22" i="6"/>
  <c r="X22" i="6" s="1"/>
  <c r="H196" i="12"/>
  <c r="L18" i="112"/>
  <c r="D27" i="112"/>
  <c r="H27" i="44"/>
  <c r="N18" i="44"/>
  <c r="X18" i="26"/>
  <c r="P27" i="26"/>
  <c r="H27" i="28"/>
  <c r="N18" i="28"/>
  <c r="H27" i="10"/>
  <c r="N18" i="10"/>
  <c r="T71" i="109"/>
  <c r="P24" i="104"/>
  <c r="X16" i="104"/>
  <c r="R74" i="103"/>
  <c r="R70" i="103"/>
  <c r="R18" i="103"/>
  <c r="R65" i="103"/>
  <c r="R58" i="103"/>
  <c r="R57" i="103"/>
  <c r="R46" i="103"/>
  <c r="R45" i="103"/>
  <c r="R41" i="103"/>
  <c r="R37" i="103"/>
  <c r="R76" i="103"/>
  <c r="R67" i="103"/>
  <c r="R66" i="103"/>
  <c r="R77" i="103"/>
  <c r="R62" i="103"/>
  <c r="R61" i="103"/>
  <c r="R50" i="103"/>
  <c r="R49" i="103"/>
  <c r="R33" i="103"/>
  <c r="R29" i="103"/>
  <c r="R25" i="103"/>
  <c r="R79" i="103"/>
  <c r="R72" i="103"/>
  <c r="R68" i="103"/>
  <c r="R63" i="103"/>
  <c r="R52" i="103"/>
  <c r="R51" i="103"/>
  <c r="R43" i="103"/>
  <c r="R39" i="103"/>
  <c r="R35" i="103"/>
  <c r="R34" i="103"/>
  <c r="R30" i="103"/>
  <c r="R26" i="103"/>
  <c r="R38" i="103"/>
  <c r="R31" i="103"/>
  <c r="R19" i="103"/>
  <c r="R36" i="103"/>
  <c r="R64" i="103"/>
  <c r="R59" i="103"/>
  <c r="R54" i="103"/>
  <c r="R27" i="103"/>
  <c r="R83" i="103"/>
  <c r="R21" i="103"/>
  <c r="P21" i="103"/>
  <c r="R17" i="103"/>
  <c r="R60" i="103"/>
  <c r="R32" i="103"/>
  <c r="R44" i="103"/>
  <c r="R73" i="103"/>
  <c r="R69" i="103"/>
  <c r="R47" i="103"/>
  <c r="R23" i="103"/>
  <c r="X12" i="103"/>
  <c r="R75" i="103"/>
  <c r="R71" i="103"/>
  <c r="R55" i="103"/>
  <c r="R28" i="103"/>
  <c r="R56" i="103"/>
  <c r="R53" i="103"/>
  <c r="R24" i="103"/>
  <c r="R48" i="103"/>
  <c r="R42" i="103"/>
  <c r="R40" i="103"/>
  <c r="D34" i="101"/>
  <c r="L16" i="101"/>
  <c r="H65" i="105"/>
  <c r="N16" i="105"/>
  <c r="T69" i="105"/>
  <c r="P65" i="105"/>
  <c r="X16" i="105"/>
  <c r="D22" i="98"/>
  <c r="L16" i="98"/>
  <c r="X61" i="93"/>
  <c r="P65" i="93"/>
  <c r="X16" i="98"/>
  <c r="P22" i="98"/>
  <c r="T72" i="75"/>
  <c r="V22" i="75"/>
  <c r="T52" i="69"/>
  <c r="Z16" i="69"/>
  <c r="D94" i="63"/>
  <c r="L16" i="63"/>
  <c r="P71" i="58"/>
  <c r="X16" i="58"/>
  <c r="Z17" i="57"/>
  <c r="T72" i="57"/>
  <c r="X16" i="60"/>
  <c r="P54" i="60"/>
  <c r="T104" i="27"/>
  <c r="V100" i="27"/>
  <c r="F52" i="27"/>
  <c r="F48" i="27"/>
  <c r="F96" i="27"/>
  <c r="F87" i="27"/>
  <c r="F79" i="27"/>
  <c r="F78" i="27"/>
  <c r="F67" i="27"/>
  <c r="F66" i="27"/>
  <c r="F39" i="27"/>
  <c r="F35" i="27"/>
  <c r="F31" i="27"/>
  <c r="F97" i="27"/>
  <c r="F95" i="27"/>
  <c r="F62" i="27"/>
  <c r="F58" i="27"/>
  <c r="F98" i="27"/>
  <c r="F81" i="27"/>
  <c r="F80" i="27"/>
  <c r="F69" i="27"/>
  <c r="F68" i="27"/>
  <c r="F53" i="27"/>
  <c r="F49" i="27"/>
  <c r="F45" i="27"/>
  <c r="F44" i="27"/>
  <c r="F102" i="27"/>
  <c r="F90" i="27"/>
  <c r="F89" i="27"/>
  <c r="F82" i="27"/>
  <c r="F54" i="27"/>
  <c r="F50" i="27"/>
  <c r="F46" i="27"/>
  <c r="F73" i="27"/>
  <c r="F72" i="27"/>
  <c r="F37" i="27"/>
  <c r="F33" i="27"/>
  <c r="F29" i="27"/>
  <c r="F28" i="27"/>
  <c r="F86" i="27"/>
  <c r="F85" i="27"/>
  <c r="F38" i="27"/>
  <c r="F34" i="27"/>
  <c r="F30" i="27"/>
  <c r="F91" i="27"/>
  <c r="F75" i="27"/>
  <c r="F61" i="27"/>
  <c r="F63" i="27"/>
  <c r="L12" i="27"/>
  <c r="N12" i="27" s="1"/>
  <c r="F55" i="27"/>
  <c r="F92" i="27"/>
  <c r="F71" i="27"/>
  <c r="F41" i="27"/>
  <c r="F83" i="27"/>
  <c r="F76" i="27"/>
  <c r="D41" i="27"/>
  <c r="F36" i="27"/>
  <c r="F64" i="27"/>
  <c r="F60" i="27"/>
  <c r="F56" i="27"/>
  <c r="F51" i="27"/>
  <c r="F93" i="27"/>
  <c r="F77" i="27"/>
  <c r="F74" i="27"/>
  <c r="F32" i="27"/>
  <c r="F88" i="27"/>
  <c r="F84" i="27"/>
  <c r="F59" i="27"/>
  <c r="F57" i="27"/>
  <c r="F43" i="27"/>
  <c r="F65" i="27"/>
  <c r="F70" i="27"/>
  <c r="F47" i="27"/>
  <c r="T72" i="33"/>
  <c r="T212" i="18"/>
  <c r="D62" i="24"/>
  <c r="L18" i="24"/>
  <c r="J192" i="12"/>
  <c r="H101" i="9"/>
  <c r="L101" i="9" s="1"/>
  <c r="N17" i="9"/>
  <c r="H225" i="3"/>
  <c r="X18" i="112"/>
  <c r="P27" i="112"/>
  <c r="P27" i="110"/>
  <c r="X18" i="110"/>
  <c r="X18" i="53"/>
  <c r="P27" i="53"/>
  <c r="X18" i="50"/>
  <c r="P27" i="50"/>
  <c r="T27" i="49"/>
  <c r="Z18" i="49"/>
  <c r="T27" i="20"/>
  <c r="Z18" i="20"/>
  <c r="X18" i="11"/>
  <c r="P27" i="11"/>
  <c r="X18" i="10"/>
  <c r="P27" i="10"/>
  <c r="P27" i="4"/>
  <c r="X18" i="4"/>
  <c r="T22" i="77"/>
  <c r="Z16" i="77"/>
  <c r="H54" i="60"/>
  <c r="N16" i="60"/>
  <c r="P28" i="108"/>
  <c r="F91" i="76"/>
  <c r="F89" i="76"/>
  <c r="F72" i="76"/>
  <c r="F71" i="76"/>
  <c r="F36" i="76"/>
  <c r="F32" i="76"/>
  <c r="F83" i="76"/>
  <c r="F82" i="76"/>
  <c r="F63" i="76"/>
  <c r="F59" i="76"/>
  <c r="F55" i="76"/>
  <c r="F54" i="76"/>
  <c r="F74" i="76"/>
  <c r="F73" i="76"/>
  <c r="F50" i="76"/>
  <c r="F46" i="76"/>
  <c r="F95" i="76"/>
  <c r="F37" i="76"/>
  <c r="F33" i="76"/>
  <c r="F84" i="76"/>
  <c r="F64" i="76"/>
  <c r="F60" i="76"/>
  <c r="F56" i="76"/>
  <c r="F66" i="76"/>
  <c r="F65" i="76"/>
  <c r="F38" i="76"/>
  <c r="F34" i="76"/>
  <c r="F30" i="76"/>
  <c r="F29" i="76"/>
  <c r="F85" i="76"/>
  <c r="F77" i="76"/>
  <c r="F76" i="76"/>
  <c r="F61" i="76"/>
  <c r="F57" i="76"/>
  <c r="F69" i="76"/>
  <c r="F40" i="76"/>
  <c r="L12" i="76"/>
  <c r="N12" i="76" s="1"/>
  <c r="F86" i="76"/>
  <c r="D40" i="76"/>
  <c r="F79" i="76"/>
  <c r="F67" i="76"/>
  <c r="F62" i="76"/>
  <c r="F58" i="76"/>
  <c r="F52" i="76"/>
  <c r="F44" i="76"/>
  <c r="F48" i="76"/>
  <c r="F35" i="76"/>
  <c r="F90" i="76"/>
  <c r="F75" i="76"/>
  <c r="F87" i="76"/>
  <c r="F80" i="76"/>
  <c r="F70" i="76"/>
  <c r="F68" i="76"/>
  <c r="F42" i="76"/>
  <c r="F78" i="76"/>
  <c r="F45" i="76"/>
  <c r="F43" i="76"/>
  <c r="F51" i="76"/>
  <c r="F49" i="76"/>
  <c r="F31" i="76"/>
  <c r="F81" i="76"/>
  <c r="F53" i="76"/>
  <c r="F47" i="76"/>
  <c r="N16" i="55"/>
  <c r="H31" i="55"/>
  <c r="X18" i="111"/>
  <c r="P27" i="111"/>
  <c r="T27" i="53"/>
  <c r="Z18" i="53"/>
  <c r="H27" i="52"/>
  <c r="N18" i="52"/>
  <c r="D27" i="38"/>
  <c r="L18" i="38"/>
  <c r="Z18" i="40"/>
  <c r="T27" i="40"/>
  <c r="L18" i="28"/>
  <c r="D27" i="28"/>
  <c r="D27" i="17"/>
  <c r="L18" i="17"/>
  <c r="T27" i="13"/>
  <c r="Z18" i="13"/>
  <c r="X18" i="8"/>
  <c r="P27" i="8"/>
  <c r="X18" i="5"/>
  <c r="P27" i="5"/>
  <c r="P67" i="109"/>
  <c r="X17" i="109"/>
  <c r="Z17" i="109" s="1"/>
  <c r="D81" i="103"/>
  <c r="L21" i="103"/>
  <c r="H22" i="98"/>
  <c r="N16" i="98"/>
  <c r="P75" i="91"/>
  <c r="X16" i="91"/>
  <c r="X18" i="85"/>
  <c r="X16" i="83"/>
  <c r="L18" i="72"/>
  <c r="D60" i="72"/>
  <c r="R96" i="70"/>
  <c r="R86" i="70"/>
  <c r="R79" i="70"/>
  <c r="R78" i="70"/>
  <c r="R67" i="70"/>
  <c r="R66" i="70"/>
  <c r="R43" i="70"/>
  <c r="R38" i="70"/>
  <c r="R34" i="70"/>
  <c r="R30" i="70"/>
  <c r="R80" i="70"/>
  <c r="R69" i="70"/>
  <c r="R68" i="70"/>
  <c r="R52" i="70"/>
  <c r="R48" i="70"/>
  <c r="R44" i="70"/>
  <c r="P40" i="70"/>
  <c r="R40" i="70" s="1"/>
  <c r="R94" i="70"/>
  <c r="R87" i="70"/>
  <c r="R55" i="70"/>
  <c r="R90" i="70"/>
  <c r="R76" i="70"/>
  <c r="R51" i="70"/>
  <c r="R35" i="70"/>
  <c r="R95" i="70"/>
  <c r="R85" i="70"/>
  <c r="R62" i="70"/>
  <c r="R59" i="70"/>
  <c r="R32" i="70"/>
  <c r="R77" i="70"/>
  <c r="R72" i="70"/>
  <c r="R29" i="70"/>
  <c r="R101" i="70"/>
  <c r="R63" i="70"/>
  <c r="R36" i="70"/>
  <c r="R81" i="70"/>
  <c r="R60" i="70"/>
  <c r="R33" i="70"/>
  <c r="X12" i="70"/>
  <c r="Z12" i="70" s="1"/>
  <c r="R97" i="70"/>
  <c r="R82" i="70"/>
  <c r="R57" i="70"/>
  <c r="R27" i="70"/>
  <c r="R83" i="70"/>
  <c r="R75" i="70"/>
  <c r="R61" i="70"/>
  <c r="R31" i="70"/>
  <c r="R84" i="70"/>
  <c r="R71" i="70"/>
  <c r="R70" i="70"/>
  <c r="R65" i="70"/>
  <c r="R58" i="70"/>
  <c r="R45" i="70"/>
  <c r="R28" i="70"/>
  <c r="R73" i="70"/>
  <c r="R91" i="70"/>
  <c r="R89" i="70"/>
  <c r="R49" i="70"/>
  <c r="R37" i="70"/>
  <c r="R47" i="70"/>
  <c r="R88" i="70"/>
  <c r="R74" i="70"/>
  <c r="R92" i="70"/>
  <c r="R50" i="70"/>
  <c r="R56" i="70"/>
  <c r="R54" i="70"/>
  <c r="R42" i="70"/>
  <c r="R64" i="70"/>
  <c r="R53" i="70"/>
  <c r="R46" i="70"/>
  <c r="D68" i="59"/>
  <c r="L16" i="59"/>
  <c r="X68" i="59"/>
  <c r="P72" i="59"/>
  <c r="L31" i="55"/>
  <c r="D35" i="55"/>
  <c r="F70" i="45"/>
  <c r="F34" i="45"/>
  <c r="F30" i="45"/>
  <c r="F26" i="45"/>
  <c r="F85" i="45"/>
  <c r="F65" i="45"/>
  <c r="F64" i="45"/>
  <c r="F53" i="45"/>
  <c r="F52" i="45"/>
  <c r="F80" i="45"/>
  <c r="F76" i="45"/>
  <c r="F44" i="45"/>
  <c r="F40" i="45"/>
  <c r="F36" i="45"/>
  <c r="F35" i="45"/>
  <c r="F87" i="45"/>
  <c r="F86" i="45"/>
  <c r="F71" i="45"/>
  <c r="F55" i="45"/>
  <c r="F54" i="45"/>
  <c r="F31" i="45"/>
  <c r="F27" i="45"/>
  <c r="F66" i="45"/>
  <c r="F18" i="45"/>
  <c r="F17" i="45"/>
  <c r="F89" i="45"/>
  <c r="F88" i="45"/>
  <c r="F81" i="45"/>
  <c r="F77" i="45"/>
  <c r="F57" i="45"/>
  <c r="F56" i="45"/>
  <c r="F45" i="45"/>
  <c r="F41" i="45"/>
  <c r="F37" i="45"/>
  <c r="F72" i="45"/>
  <c r="F67" i="45"/>
  <c r="F59" i="45"/>
  <c r="F58" i="45"/>
  <c r="F47" i="45"/>
  <c r="F46" i="45"/>
  <c r="F19" i="45"/>
  <c r="F91" i="45"/>
  <c r="F82" i="45"/>
  <c r="F78" i="45"/>
  <c r="F74" i="45"/>
  <c r="F73" i="45"/>
  <c r="F42" i="45"/>
  <c r="F38" i="45"/>
  <c r="L12" i="45"/>
  <c r="F95" i="45"/>
  <c r="F69" i="45"/>
  <c r="F68" i="45"/>
  <c r="F61" i="45"/>
  <c r="F60" i="45"/>
  <c r="F49" i="45"/>
  <c r="F48" i="45"/>
  <c r="F33" i="45"/>
  <c r="F29" i="45"/>
  <c r="F25" i="45"/>
  <c r="F24" i="45"/>
  <c r="F84" i="45"/>
  <c r="F83" i="45"/>
  <c r="F23" i="45"/>
  <c r="F39" i="45"/>
  <c r="F43" i="45"/>
  <c r="F51" i="45"/>
  <c r="F28" i="45"/>
  <c r="F79" i="45"/>
  <c r="F32" i="45"/>
  <c r="F63" i="45"/>
  <c r="F50" i="45"/>
  <c r="F75" i="45"/>
  <c r="F62" i="45"/>
  <c r="D21" i="45"/>
  <c r="F21" i="45" s="1"/>
  <c r="H154" i="30"/>
  <c r="J150" i="30"/>
  <c r="F212" i="3"/>
  <c r="F200" i="3"/>
  <c r="F196" i="3"/>
  <c r="F180" i="3"/>
  <c r="F164" i="3"/>
  <c r="F163" i="3"/>
  <c r="F156" i="3"/>
  <c r="F155" i="3"/>
  <c r="F132" i="3"/>
  <c r="F128" i="3"/>
  <c r="D110" i="3"/>
  <c r="F110" i="3" s="1"/>
  <c r="F227" i="3"/>
  <c r="F191" i="3"/>
  <c r="F175" i="3"/>
  <c r="F147" i="3"/>
  <c r="F146" i="3"/>
  <c r="F139" i="3"/>
  <c r="F123" i="3"/>
  <c r="F119" i="3"/>
  <c r="F115" i="3"/>
  <c r="F214" i="3"/>
  <c r="F213" i="3"/>
  <c r="F206" i="3"/>
  <c r="F186" i="3"/>
  <c r="F166" i="3"/>
  <c r="F165" i="3"/>
  <c r="F106" i="3"/>
  <c r="F102" i="3"/>
  <c r="F98" i="3"/>
  <c r="F94" i="3"/>
  <c r="F90" i="3"/>
  <c r="F86" i="3"/>
  <c r="F82" i="3"/>
  <c r="F201" i="3"/>
  <c r="F197" i="3"/>
  <c r="F193" i="3"/>
  <c r="F192" i="3"/>
  <c r="F181" i="3"/>
  <c r="F157" i="3"/>
  <c r="F149" i="3"/>
  <c r="F148" i="3"/>
  <c r="F141" i="3"/>
  <c r="F140" i="3"/>
  <c r="F133" i="3"/>
  <c r="F129" i="3"/>
  <c r="F125" i="3"/>
  <c r="F124" i="3"/>
  <c r="F218" i="3"/>
  <c r="F216" i="3"/>
  <c r="F187" i="3"/>
  <c r="F159" i="3"/>
  <c r="F158" i="3"/>
  <c r="F220" i="3"/>
  <c r="F177" i="3"/>
  <c r="F121" i="3"/>
  <c r="F117" i="3"/>
  <c r="F221" i="3"/>
  <c r="F188" i="3"/>
  <c r="F184" i="3"/>
  <c r="F183" i="3"/>
  <c r="F172" i="3"/>
  <c r="F171" i="3"/>
  <c r="F160" i="3"/>
  <c r="F152" i="3"/>
  <c r="F151" i="3"/>
  <c r="F144" i="3"/>
  <c r="F136" i="3"/>
  <c r="F135" i="3"/>
  <c r="F108" i="3"/>
  <c r="F104" i="3"/>
  <c r="F100" i="3"/>
  <c r="F96" i="3"/>
  <c r="F92" i="3"/>
  <c r="F88" i="3"/>
  <c r="F84" i="3"/>
  <c r="F80" i="3"/>
  <c r="F223" i="3"/>
  <c r="F190" i="3"/>
  <c r="F189" i="3"/>
  <c r="F174" i="3"/>
  <c r="F173" i="3"/>
  <c r="F162" i="3"/>
  <c r="F161" i="3"/>
  <c r="F154" i="3"/>
  <c r="F153" i="3"/>
  <c r="F138" i="3"/>
  <c r="F137" i="3"/>
  <c r="F122" i="3"/>
  <c r="F118" i="3"/>
  <c r="F114" i="3"/>
  <c r="F113" i="3"/>
  <c r="F222" i="3"/>
  <c r="F198" i="3"/>
  <c r="F185" i="3"/>
  <c r="F145" i="3"/>
  <c r="F87" i="3"/>
  <c r="F81" i="3"/>
  <c r="F78" i="3"/>
  <c r="L12" i="3"/>
  <c r="N12" i="3" s="1"/>
  <c r="F208" i="3"/>
  <c r="F169" i="3"/>
  <c r="F150" i="3"/>
  <c r="F143" i="3"/>
  <c r="F101" i="3"/>
  <c r="F89" i="3"/>
  <c r="F204" i="3"/>
  <c r="F202" i="3"/>
  <c r="F93" i="3"/>
  <c r="F195" i="3"/>
  <c r="F167" i="3"/>
  <c r="F134" i="3"/>
  <c r="F99" i="3"/>
  <c r="F79" i="3"/>
  <c r="F232" i="3"/>
  <c r="F178" i="3"/>
  <c r="F127" i="3"/>
  <c r="F107" i="3"/>
  <c r="F85" i="3"/>
  <c r="F211" i="3"/>
  <c r="F209" i="3"/>
  <c r="F176" i="3"/>
  <c r="F130" i="3"/>
  <c r="F126" i="3"/>
  <c r="F91" i="3"/>
  <c r="F182" i="3"/>
  <c r="F170" i="3"/>
  <c r="F120" i="3"/>
  <c r="F203" i="3"/>
  <c r="F179" i="3"/>
  <c r="F112" i="3"/>
  <c r="F103" i="3"/>
  <c r="F219" i="3"/>
  <c r="F207" i="3"/>
  <c r="F199" i="3"/>
  <c r="F116" i="3"/>
  <c r="F105" i="3"/>
  <c r="F97" i="3"/>
  <c r="F205" i="3"/>
  <c r="F194" i="3"/>
  <c r="F142" i="3"/>
  <c r="F83" i="3"/>
  <c r="F168" i="3"/>
  <c r="F231" i="3"/>
  <c r="F217" i="3"/>
  <c r="F210" i="3"/>
  <c r="F131" i="3"/>
  <c r="F95" i="3"/>
  <c r="H27" i="50"/>
  <c r="N18" i="50"/>
  <c r="X18" i="49"/>
  <c r="P27" i="49"/>
  <c r="X18" i="47"/>
  <c r="P27" i="47"/>
  <c r="X18" i="40"/>
  <c r="P27" i="40"/>
  <c r="X18" i="34"/>
  <c r="P27" i="34"/>
  <c r="H27" i="40"/>
  <c r="N18" i="40"/>
  <c r="H27" i="35"/>
  <c r="N18" i="35"/>
  <c r="X18" i="28"/>
  <c r="P27" i="28"/>
  <c r="D27" i="26"/>
  <c r="L18" i="26"/>
  <c r="D27" i="29"/>
  <c r="L18" i="29"/>
  <c r="T27" i="22"/>
  <c r="Z18" i="22"/>
  <c r="T27" i="17"/>
  <c r="Z18" i="17"/>
  <c r="R186" i="15"/>
  <c r="R176" i="15"/>
  <c r="R168" i="15"/>
  <c r="R164" i="15"/>
  <c r="R148" i="15"/>
  <c r="R141" i="15"/>
  <c r="R140" i="15"/>
  <c r="R80" i="15"/>
  <c r="R76" i="15"/>
  <c r="R72" i="15"/>
  <c r="R68" i="15"/>
  <c r="R64" i="15"/>
  <c r="R160" i="15"/>
  <c r="R159" i="15"/>
  <c r="R132" i="15"/>
  <c r="R131" i="15"/>
  <c r="R123" i="15"/>
  <c r="R107" i="15"/>
  <c r="R103" i="15"/>
  <c r="R154" i="15"/>
  <c r="R143" i="15"/>
  <c r="R142" i="15"/>
  <c r="R115" i="15"/>
  <c r="R114" i="15"/>
  <c r="R99" i="15"/>
  <c r="R98" i="15"/>
  <c r="R94" i="15"/>
  <c r="R90" i="15"/>
  <c r="R177" i="15"/>
  <c r="R170" i="15"/>
  <c r="R169" i="15"/>
  <c r="R165" i="15"/>
  <c r="R161" i="15"/>
  <c r="R149" i="15"/>
  <c r="R133" i="15"/>
  <c r="R81" i="15"/>
  <c r="R77" i="15"/>
  <c r="R73" i="15"/>
  <c r="R69" i="15"/>
  <c r="R65" i="15"/>
  <c r="R190" i="15"/>
  <c r="R171" i="15"/>
  <c r="R155" i="15"/>
  <c r="R179" i="15"/>
  <c r="R178" i="15"/>
  <c r="R166" i="15"/>
  <c r="R162" i="15"/>
  <c r="R150" i="15"/>
  <c r="R135" i="15"/>
  <c r="R134" i="15"/>
  <c r="R145" i="15"/>
  <c r="R110" i="15"/>
  <c r="R109" i="15"/>
  <c r="R105" i="15"/>
  <c r="R101" i="15"/>
  <c r="R184" i="15"/>
  <c r="R175" i="15"/>
  <c r="R174" i="15"/>
  <c r="R158" i="15"/>
  <c r="R147" i="15"/>
  <c r="R146" i="15"/>
  <c r="R139" i="15"/>
  <c r="R138" i="15"/>
  <c r="R130" i="15"/>
  <c r="R106" i="15"/>
  <c r="R102" i="15"/>
  <c r="R87" i="15"/>
  <c r="R157" i="15"/>
  <c r="R128" i="15"/>
  <c r="R112" i="15"/>
  <c r="R82" i="15"/>
  <c r="R70" i="15"/>
  <c r="R121" i="15"/>
  <c r="R89" i="15"/>
  <c r="R75" i="15"/>
  <c r="R61" i="15"/>
  <c r="R182" i="15"/>
  <c r="R173" i="15"/>
  <c r="R163" i="15"/>
  <c r="R63" i="15"/>
  <c r="R153" i="15"/>
  <c r="R137" i="15"/>
  <c r="R119" i="15"/>
  <c r="R117" i="15"/>
  <c r="R92" i="15"/>
  <c r="R151" i="15"/>
  <c r="R126" i="15"/>
  <c r="R78" i="15"/>
  <c r="R66" i="15"/>
  <c r="R129" i="15"/>
  <c r="R124" i="15"/>
  <c r="R83" i="15"/>
  <c r="R71" i="15"/>
  <c r="R167" i="15"/>
  <c r="R144" i="15"/>
  <c r="R122" i="15"/>
  <c r="R120" i="15"/>
  <c r="R108" i="15"/>
  <c r="R104" i="15"/>
  <c r="R97" i="15"/>
  <c r="R180" i="15"/>
  <c r="R156" i="15"/>
  <c r="R152" i="15"/>
  <c r="R127" i="15"/>
  <c r="R113" i="15"/>
  <c r="R100" i="15"/>
  <c r="R95" i="15"/>
  <c r="R88" i="15"/>
  <c r="R183" i="15"/>
  <c r="R74" i="15"/>
  <c r="R62" i="15"/>
  <c r="R172" i="15"/>
  <c r="R136" i="15"/>
  <c r="R93" i="15"/>
  <c r="R116" i="15"/>
  <c r="R91" i="15"/>
  <c r="P85" i="15"/>
  <c r="R118" i="15"/>
  <c r="R111" i="15"/>
  <c r="R79" i="15"/>
  <c r="R67" i="15"/>
  <c r="X12" i="15"/>
  <c r="Z12" i="15" s="1"/>
  <c r="R185" i="15"/>
  <c r="R96" i="15"/>
  <c r="R125" i="15"/>
  <c r="T27" i="34"/>
  <c r="Z18" i="34"/>
  <c r="T27" i="31"/>
  <c r="Z18" i="31"/>
  <c r="D27" i="19"/>
  <c r="L18" i="19"/>
  <c r="H27" i="25"/>
  <c r="N18" i="25"/>
  <c r="L18" i="25"/>
  <c r="D27" i="25"/>
  <c r="L18" i="13"/>
  <c r="D27" i="13"/>
  <c r="T27" i="11"/>
  <c r="Z18" i="11"/>
  <c r="H27" i="8"/>
  <c r="N18" i="8"/>
  <c r="H27" i="7"/>
  <c r="N18" i="7"/>
  <c r="H64" i="61"/>
  <c r="P34" i="101"/>
  <c r="X16" i="101"/>
  <c r="P30" i="85"/>
  <c r="T62" i="68"/>
  <c r="Z18" i="68"/>
  <c r="R17" i="109"/>
  <c r="H24" i="104"/>
  <c r="N16" i="104"/>
  <c r="P54" i="102"/>
  <c r="X16" i="102"/>
  <c r="F49" i="94"/>
  <c r="F48" i="94"/>
  <c r="F41" i="94"/>
  <c r="F37" i="94"/>
  <c r="F69" i="94"/>
  <c r="F60" i="94"/>
  <c r="F32" i="94"/>
  <c r="F73" i="94"/>
  <c r="F51" i="94"/>
  <c r="F50" i="94"/>
  <c r="F22" i="94"/>
  <c r="F20" i="94"/>
  <c r="F61" i="94"/>
  <c r="F53" i="94"/>
  <c r="F52" i="94"/>
  <c r="F46" i="94"/>
  <c r="F36" i="94"/>
  <c r="L12" i="94"/>
  <c r="F63" i="94"/>
  <c r="F57" i="94"/>
  <c r="F26" i="94"/>
  <c r="F43" i="94"/>
  <c r="F33" i="94"/>
  <c r="F40" i="94"/>
  <c r="F30" i="94"/>
  <c r="D20" i="94"/>
  <c r="F67" i="94"/>
  <c r="F54" i="94"/>
  <c r="F34" i="94"/>
  <c r="F27" i="94"/>
  <c r="F64" i="94"/>
  <c r="F58" i="94"/>
  <c r="F47" i="94"/>
  <c r="F24" i="94"/>
  <c r="F23" i="94"/>
  <c r="F44" i="94"/>
  <c r="F65" i="94"/>
  <c r="F55" i="94"/>
  <c r="F38" i="94"/>
  <c r="F31" i="94"/>
  <c r="F28" i="94"/>
  <c r="F45" i="94"/>
  <c r="F62" i="94"/>
  <c r="F17" i="94"/>
  <c r="F29" i="94"/>
  <c r="F18" i="94"/>
  <c r="F39" i="94"/>
  <c r="F25" i="94"/>
  <c r="F56" i="94"/>
  <c r="F42" i="94"/>
  <c r="F66" i="94"/>
  <c r="F59" i="94"/>
  <c r="F35" i="94"/>
  <c r="X20" i="94"/>
  <c r="P71" i="94"/>
  <c r="R42" i="82"/>
  <c r="R38" i="82"/>
  <c r="R20" i="82"/>
  <c r="R43" i="82"/>
  <c r="R35" i="82"/>
  <c r="R34" i="82"/>
  <c r="R30" i="82"/>
  <c r="R44" i="82"/>
  <c r="R40" i="82"/>
  <c r="R36" i="82"/>
  <c r="R25" i="82"/>
  <c r="R23" i="82"/>
  <c r="R31" i="82"/>
  <c r="R27" i="82"/>
  <c r="P23" i="82"/>
  <c r="X12" i="82"/>
  <c r="Z12" i="82" s="1"/>
  <c r="R47" i="82"/>
  <c r="R39" i="82"/>
  <c r="R37" i="82"/>
  <c r="R32" i="82"/>
  <c r="R18" i="82"/>
  <c r="R51" i="82"/>
  <c r="R33" i="82"/>
  <c r="R28" i="82"/>
  <c r="R26" i="82"/>
  <c r="R45" i="82"/>
  <c r="R41" i="82"/>
  <c r="R29" i="82"/>
  <c r="R21" i="82"/>
  <c r="R19" i="82"/>
  <c r="T132" i="74"/>
  <c r="F90" i="70"/>
  <c r="F74" i="70"/>
  <c r="F73" i="70"/>
  <c r="F50" i="70"/>
  <c r="F46" i="70"/>
  <c r="L12" i="70"/>
  <c r="N12" i="70" s="1"/>
  <c r="F92" i="70"/>
  <c r="F91" i="70"/>
  <c r="F76" i="70"/>
  <c r="F75" i="70"/>
  <c r="F64" i="70"/>
  <c r="F60" i="70"/>
  <c r="F56" i="70"/>
  <c r="F97" i="70"/>
  <c r="F80" i="70"/>
  <c r="F79" i="70"/>
  <c r="F87" i="70"/>
  <c r="F53" i="70"/>
  <c r="F37" i="70"/>
  <c r="F82" i="70"/>
  <c r="F69" i="70"/>
  <c r="F61" i="70"/>
  <c r="F34" i="70"/>
  <c r="F27" i="70"/>
  <c r="F83" i="70"/>
  <c r="F31" i="70"/>
  <c r="F70" i="70"/>
  <c r="F65" i="70"/>
  <c r="F58" i="70"/>
  <c r="F54" i="70"/>
  <c r="F51" i="70"/>
  <c r="F45" i="70"/>
  <c r="F28" i="70"/>
  <c r="F85" i="70"/>
  <c r="F84" i="70"/>
  <c r="F71" i="70"/>
  <c r="F66" i="70"/>
  <c r="F35" i="70"/>
  <c r="F95" i="70"/>
  <c r="F62" i="70"/>
  <c r="F59" i="70"/>
  <c r="F32" i="70"/>
  <c r="F29" i="70"/>
  <c r="F77" i="70"/>
  <c r="F72" i="70"/>
  <c r="F86" i="70"/>
  <c r="F78" i="70"/>
  <c r="F68" i="70"/>
  <c r="F42" i="70"/>
  <c r="F30" i="70"/>
  <c r="F89" i="70"/>
  <c r="F57" i="70"/>
  <c r="F47" i="70"/>
  <c r="F44" i="70"/>
  <c r="F81" i="70"/>
  <c r="F36" i="70"/>
  <c r="F43" i="70"/>
  <c r="F96" i="70"/>
  <c r="F94" i="70"/>
  <c r="F67" i="70"/>
  <c r="F55" i="70"/>
  <c r="F49" i="70"/>
  <c r="F63" i="70"/>
  <c r="F33" i="70"/>
  <c r="F52" i="70"/>
  <c r="F48" i="70"/>
  <c r="F38" i="70"/>
  <c r="F88" i="70"/>
  <c r="F101" i="70"/>
  <c r="D40" i="70"/>
  <c r="V40" i="70"/>
  <c r="T99" i="70"/>
  <c r="X18" i="72"/>
  <c r="P60" i="72"/>
  <c r="N16" i="59"/>
  <c r="H68" i="59"/>
  <c r="Z16" i="58"/>
  <c r="T71" i="58"/>
  <c r="D54" i="60"/>
  <c r="L16" i="60"/>
  <c r="H109" i="39"/>
  <c r="J21" i="39"/>
  <c r="N21" i="39"/>
  <c r="Z25" i="36"/>
  <c r="T117" i="36"/>
  <c r="R89" i="27"/>
  <c r="R88" i="27"/>
  <c r="R36" i="27"/>
  <c r="R32" i="27"/>
  <c r="X12" i="27"/>
  <c r="Z12" i="27" s="1"/>
  <c r="R72" i="27"/>
  <c r="R71" i="27"/>
  <c r="R63" i="27"/>
  <c r="R59" i="27"/>
  <c r="R28" i="27"/>
  <c r="R102" i="27"/>
  <c r="R90" i="27"/>
  <c r="R83" i="27"/>
  <c r="R82" i="27"/>
  <c r="R55" i="27"/>
  <c r="R54" i="27"/>
  <c r="R50" i="27"/>
  <c r="R46" i="27"/>
  <c r="R74" i="27"/>
  <c r="R73" i="27"/>
  <c r="R37" i="27"/>
  <c r="R33" i="27"/>
  <c r="R29" i="27"/>
  <c r="R86" i="27"/>
  <c r="R38" i="27"/>
  <c r="R34" i="27"/>
  <c r="R30" i="27"/>
  <c r="R93" i="27"/>
  <c r="R78" i="27"/>
  <c r="R77" i="27"/>
  <c r="R66" i="27"/>
  <c r="R65" i="27"/>
  <c r="R61" i="27"/>
  <c r="R57" i="27"/>
  <c r="R98" i="27"/>
  <c r="R62" i="27"/>
  <c r="R58" i="27"/>
  <c r="R43" i="27"/>
  <c r="R41" i="27"/>
  <c r="R87" i="27"/>
  <c r="R53" i="27"/>
  <c r="R44" i="27"/>
  <c r="R31" i="27"/>
  <c r="R96" i="27"/>
  <c r="R81" i="27"/>
  <c r="R51" i="27"/>
  <c r="P41" i="27"/>
  <c r="R79" i="27"/>
  <c r="R64" i="27"/>
  <c r="R60" i="27"/>
  <c r="R56" i="27"/>
  <c r="R69" i="27"/>
  <c r="R49" i="27"/>
  <c r="R84" i="27"/>
  <c r="R47" i="27"/>
  <c r="R52" i="27"/>
  <c r="R45" i="27"/>
  <c r="R80" i="27"/>
  <c r="R67" i="27"/>
  <c r="R97" i="27"/>
  <c r="R91" i="27"/>
  <c r="R70" i="27"/>
  <c r="R39" i="27"/>
  <c r="R48" i="27"/>
  <c r="R92" i="27"/>
  <c r="R68" i="27"/>
  <c r="R75" i="27"/>
  <c r="R95" i="27"/>
  <c r="R85" i="27"/>
  <c r="R35" i="27"/>
  <c r="R76" i="27"/>
  <c r="J19" i="21"/>
  <c r="H81" i="21"/>
  <c r="D108" i="42"/>
  <c r="L20" i="42"/>
  <c r="N20" i="42" s="1"/>
  <c r="L16" i="6"/>
  <c r="D22" i="6"/>
  <c r="F180" i="15"/>
  <c r="F179" i="15"/>
  <c r="F172" i="15"/>
  <c r="F156" i="15"/>
  <c r="F136" i="15"/>
  <c r="F135" i="15"/>
  <c r="F128" i="15"/>
  <c r="F127" i="15"/>
  <c r="F96" i="15"/>
  <c r="F92" i="15"/>
  <c r="F167" i="15"/>
  <c r="F163" i="15"/>
  <c r="F151" i="15"/>
  <c r="F119" i="15"/>
  <c r="F111" i="15"/>
  <c r="F110" i="15"/>
  <c r="F83" i="15"/>
  <c r="F79" i="15"/>
  <c r="F75" i="15"/>
  <c r="F71" i="15"/>
  <c r="F67" i="15"/>
  <c r="F63" i="15"/>
  <c r="F183" i="15"/>
  <c r="F174" i="15"/>
  <c r="F173" i="15"/>
  <c r="F158" i="15"/>
  <c r="F157" i="15"/>
  <c r="F146" i="15"/>
  <c r="F138" i="15"/>
  <c r="F137" i="15"/>
  <c r="F130" i="15"/>
  <c r="F129" i="15"/>
  <c r="F106" i="15"/>
  <c r="F102" i="15"/>
  <c r="F184" i="15"/>
  <c r="F182" i="15"/>
  <c r="F153" i="15"/>
  <c r="F152" i="15"/>
  <c r="F121" i="15"/>
  <c r="F120" i="15"/>
  <c r="F113" i="15"/>
  <c r="F112" i="15"/>
  <c r="F97" i="15"/>
  <c r="F93" i="15"/>
  <c r="F89" i="15"/>
  <c r="F88" i="15"/>
  <c r="F185" i="15"/>
  <c r="F176" i="15"/>
  <c r="F175" i="15"/>
  <c r="F168" i="15"/>
  <c r="F164" i="15"/>
  <c r="F186" i="15"/>
  <c r="F159" i="15"/>
  <c r="F131" i="15"/>
  <c r="F123" i="15"/>
  <c r="F122" i="15"/>
  <c r="F154" i="15"/>
  <c r="F142" i="15"/>
  <c r="F141" i="15"/>
  <c r="F177" i="15"/>
  <c r="F169" i="15"/>
  <c r="F165" i="15"/>
  <c r="F161" i="15"/>
  <c r="F160" i="15"/>
  <c r="F149" i="15"/>
  <c r="F133" i="15"/>
  <c r="F132" i="15"/>
  <c r="F81" i="15"/>
  <c r="F77" i="15"/>
  <c r="F73" i="15"/>
  <c r="F69" i="15"/>
  <c r="F65" i="15"/>
  <c r="F178" i="15"/>
  <c r="F166" i="15"/>
  <c r="F162" i="15"/>
  <c r="F150" i="15"/>
  <c r="F134" i="15"/>
  <c r="F126" i="15"/>
  <c r="F125" i="15"/>
  <c r="F118" i="15"/>
  <c r="F117" i="15"/>
  <c r="F82" i="15"/>
  <c r="F78" i="15"/>
  <c r="F74" i="15"/>
  <c r="F70" i="15"/>
  <c r="F66" i="15"/>
  <c r="F62" i="15"/>
  <c r="F61" i="15"/>
  <c r="L12" i="15"/>
  <c r="N12" i="15" s="1"/>
  <c r="F85" i="15"/>
  <c r="F72" i="15"/>
  <c r="F116" i="15"/>
  <c r="D85" i="15"/>
  <c r="F147" i="15"/>
  <c r="F109" i="15"/>
  <c r="F98" i="15"/>
  <c r="F170" i="15"/>
  <c r="F145" i="15"/>
  <c r="F143" i="15"/>
  <c r="F114" i="15"/>
  <c r="F107" i="15"/>
  <c r="F105" i="15"/>
  <c r="F103" i="15"/>
  <c r="F91" i="15"/>
  <c r="F139" i="15"/>
  <c r="F101" i="15"/>
  <c r="F80" i="15"/>
  <c r="F68" i="15"/>
  <c r="F155" i="15"/>
  <c r="F94" i="15"/>
  <c r="F87" i="15"/>
  <c r="F124" i="15"/>
  <c r="F99" i="15"/>
  <c r="F190" i="15"/>
  <c r="F148" i="15"/>
  <c r="F144" i="15"/>
  <c r="F76" i="15"/>
  <c r="F140" i="15"/>
  <c r="F100" i="15"/>
  <c r="F64" i="15"/>
  <c r="F95" i="15"/>
  <c r="F171" i="15"/>
  <c r="F104" i="15"/>
  <c r="F90" i="15"/>
  <c r="F115" i="15"/>
  <c r="F108" i="15"/>
  <c r="T101" i="9"/>
  <c r="Z17" i="9"/>
  <c r="P101" i="9"/>
  <c r="X17" i="9"/>
  <c r="H27" i="110"/>
  <c r="N18" i="110"/>
  <c r="L18" i="110"/>
  <c r="D27" i="110"/>
  <c r="L18" i="50"/>
  <c r="D27" i="50"/>
  <c r="D27" i="37"/>
  <c r="L18" i="37"/>
  <c r="L18" i="40"/>
  <c r="D27" i="40"/>
  <c r="H27" i="29"/>
  <c r="N18" i="29"/>
  <c r="T27" i="25"/>
  <c r="Z18" i="25"/>
  <c r="H27" i="20"/>
  <c r="N18" i="20"/>
  <c r="L18" i="23"/>
  <c r="D27" i="23"/>
  <c r="L18" i="22"/>
  <c r="D27" i="22"/>
  <c r="Z18" i="32"/>
  <c r="T27" i="32"/>
  <c r="T27" i="23"/>
  <c r="Z18" i="23"/>
  <c r="P27" i="32"/>
  <c r="X18" i="32"/>
  <c r="H84" i="95"/>
  <c r="T76" i="97"/>
  <c r="Z72" i="97"/>
  <c r="D91" i="95"/>
  <c r="L74" i="92"/>
  <c r="D78" i="92"/>
  <c r="N18" i="97"/>
  <c r="H72" i="97"/>
  <c r="L18" i="97"/>
  <c r="D72" i="97"/>
  <c r="D75" i="91"/>
  <c r="L16" i="91"/>
  <c r="N16" i="88"/>
  <c r="H30" i="88"/>
  <c r="L16" i="88"/>
  <c r="H72" i="75"/>
  <c r="J22" i="75"/>
  <c r="P60" i="61"/>
  <c r="X16" i="61"/>
  <c r="L17" i="56"/>
  <c r="D68" i="56"/>
  <c r="X16" i="55"/>
  <c r="P31" i="55"/>
  <c r="Z21" i="45"/>
  <c r="T93" i="45"/>
  <c r="Z16" i="55"/>
  <c r="T31" i="55"/>
  <c r="V71" i="48"/>
  <c r="H108" i="42"/>
  <c r="J20" i="42"/>
  <c r="R77" i="39"/>
  <c r="R53" i="39"/>
  <c r="R101" i="39"/>
  <c r="R100" i="39"/>
  <c r="R93" i="39"/>
  <c r="R92" i="39"/>
  <c r="R88" i="39"/>
  <c r="R84" i="39"/>
  <c r="R73" i="39"/>
  <c r="R72" i="39"/>
  <c r="R65" i="39"/>
  <c r="R64" i="39"/>
  <c r="R45" i="39"/>
  <c r="R44" i="39"/>
  <c r="R40" i="39"/>
  <c r="R36" i="39"/>
  <c r="R17" i="39"/>
  <c r="R31" i="39"/>
  <c r="R27" i="39"/>
  <c r="R105" i="39"/>
  <c r="R104" i="39"/>
  <c r="R89" i="39"/>
  <c r="R85" i="39"/>
  <c r="R41" i="39"/>
  <c r="R37" i="39"/>
  <c r="R106" i="39"/>
  <c r="R81" i="39"/>
  <c r="R80" i="39"/>
  <c r="R68" i="39"/>
  <c r="R57" i="39"/>
  <c r="R56" i="39"/>
  <c r="R49" i="39"/>
  <c r="R48" i="39"/>
  <c r="R32" i="39"/>
  <c r="R28" i="39"/>
  <c r="R107" i="39"/>
  <c r="R96" i="39"/>
  <c r="R95" i="39"/>
  <c r="R75" i="39"/>
  <c r="R90" i="39"/>
  <c r="R86" i="39"/>
  <c r="R82" i="39"/>
  <c r="R59" i="39"/>
  <c r="R58" i="39"/>
  <c r="R51" i="39"/>
  <c r="R50" i="39"/>
  <c r="R42" i="39"/>
  <c r="R38" i="39"/>
  <c r="R23" i="39"/>
  <c r="R21" i="39"/>
  <c r="X12" i="39"/>
  <c r="Z12" i="39" s="1"/>
  <c r="R98" i="39"/>
  <c r="R97" i="39"/>
  <c r="R70" i="39"/>
  <c r="R69" i="39"/>
  <c r="R34" i="39"/>
  <c r="R33" i="39"/>
  <c r="R29" i="39"/>
  <c r="R25" i="39"/>
  <c r="P21" i="39"/>
  <c r="R111" i="39"/>
  <c r="R99" i="39"/>
  <c r="R91" i="39"/>
  <c r="R87" i="39"/>
  <c r="R83" i="39"/>
  <c r="R71" i="39"/>
  <c r="R43" i="39"/>
  <c r="R39" i="39"/>
  <c r="R35" i="39"/>
  <c r="R74" i="39"/>
  <c r="R94" i="39"/>
  <c r="R78" i="39"/>
  <c r="R63" i="39"/>
  <c r="R76" i="39"/>
  <c r="R61" i="39"/>
  <c r="R46" i="39"/>
  <c r="R19" i="39"/>
  <c r="R79" i="39"/>
  <c r="R54" i="39"/>
  <c r="R66" i="39"/>
  <c r="R47" i="39"/>
  <c r="R62" i="39"/>
  <c r="R52" i="39"/>
  <c r="R30" i="39"/>
  <c r="R26" i="39"/>
  <c r="R24" i="39"/>
  <c r="R18" i="39"/>
  <c r="R67" i="39"/>
  <c r="R55" i="39"/>
  <c r="R102" i="39"/>
  <c r="R60" i="39"/>
  <c r="X25" i="36"/>
  <c r="P117" i="36"/>
  <c r="F20" i="42"/>
  <c r="F103" i="42"/>
  <c r="V208" i="18"/>
  <c r="T66" i="24"/>
  <c r="R187" i="12"/>
  <c r="R186" i="12"/>
  <c r="R171" i="12"/>
  <c r="R167" i="12"/>
  <c r="R151" i="12"/>
  <c r="R188" i="12"/>
  <c r="R179" i="12"/>
  <c r="R178" i="12"/>
  <c r="R189" i="12"/>
  <c r="R190" i="12"/>
  <c r="R180" i="12"/>
  <c r="R194" i="12"/>
  <c r="R148" i="12"/>
  <c r="R163" i="12"/>
  <c r="R142" i="12"/>
  <c r="R141" i="12"/>
  <c r="R81" i="12"/>
  <c r="R77" i="12"/>
  <c r="R73" i="12"/>
  <c r="R69" i="12"/>
  <c r="R65" i="12"/>
  <c r="R181" i="12"/>
  <c r="R164" i="12"/>
  <c r="R156" i="12"/>
  <c r="R149" i="12"/>
  <c r="R133" i="12"/>
  <c r="R132" i="12"/>
  <c r="R124" i="12"/>
  <c r="R108" i="12"/>
  <c r="R104" i="12"/>
  <c r="R61" i="12"/>
  <c r="R176" i="12"/>
  <c r="R170" i="12"/>
  <c r="R144" i="12"/>
  <c r="R143" i="12"/>
  <c r="R116" i="12"/>
  <c r="R115" i="12"/>
  <c r="R100" i="12"/>
  <c r="R99" i="12"/>
  <c r="R95" i="12"/>
  <c r="R91" i="12"/>
  <c r="R173" i="12"/>
  <c r="R150" i="12"/>
  <c r="R134" i="12"/>
  <c r="R82" i="12"/>
  <c r="R78" i="12"/>
  <c r="R74" i="12"/>
  <c r="R70" i="12"/>
  <c r="R66" i="12"/>
  <c r="R62" i="12"/>
  <c r="X12" i="12"/>
  <c r="Z12" i="12" s="1"/>
  <c r="R174" i="12"/>
  <c r="R161" i="12"/>
  <c r="R160" i="12"/>
  <c r="R157" i="12"/>
  <c r="R153" i="12"/>
  <c r="R146" i="12"/>
  <c r="R145" i="12"/>
  <c r="R126" i="12"/>
  <c r="R125" i="12"/>
  <c r="R118" i="12"/>
  <c r="R117" i="12"/>
  <c r="R109" i="12"/>
  <c r="R105" i="12"/>
  <c r="R101" i="12"/>
  <c r="R184" i="12"/>
  <c r="R168" i="12"/>
  <c r="R165" i="12"/>
  <c r="R96" i="12"/>
  <c r="R92" i="12"/>
  <c r="R177" i="12"/>
  <c r="R147" i="12"/>
  <c r="R136" i="12"/>
  <c r="R135" i="12"/>
  <c r="R128" i="12"/>
  <c r="R127" i="12"/>
  <c r="R119" i="12"/>
  <c r="R83" i="12"/>
  <c r="R79" i="12"/>
  <c r="R75" i="12"/>
  <c r="R71" i="12"/>
  <c r="R67" i="12"/>
  <c r="R63" i="12"/>
  <c r="R162" i="12"/>
  <c r="R158" i="12"/>
  <c r="R111" i="12"/>
  <c r="R110" i="12"/>
  <c r="R106" i="12"/>
  <c r="R102" i="12"/>
  <c r="R182" i="12"/>
  <c r="R175" i="12"/>
  <c r="R154" i="12"/>
  <c r="R138" i="12"/>
  <c r="R137" i="12"/>
  <c r="R130" i="12"/>
  <c r="R129" i="12"/>
  <c r="R97" i="12"/>
  <c r="R93" i="12"/>
  <c r="R172" i="12"/>
  <c r="R169" i="12"/>
  <c r="R140" i="12"/>
  <c r="R139" i="12"/>
  <c r="R131" i="12"/>
  <c r="R107" i="12"/>
  <c r="R103" i="12"/>
  <c r="R88" i="12"/>
  <c r="R122" i="12"/>
  <c r="R113" i="12"/>
  <c r="R68" i="12"/>
  <c r="R120" i="12"/>
  <c r="R90" i="12"/>
  <c r="R64" i="12"/>
  <c r="R80" i="12"/>
  <c r="R159" i="12"/>
  <c r="R166" i="12"/>
  <c r="R183" i="12"/>
  <c r="R152" i="12"/>
  <c r="R121" i="12"/>
  <c r="P86" i="12"/>
  <c r="R86" i="12" s="1"/>
  <c r="R123" i="12"/>
  <c r="R89" i="12"/>
  <c r="R114" i="12"/>
  <c r="R94" i="12"/>
  <c r="R112" i="12"/>
  <c r="R84" i="12"/>
  <c r="R155" i="12"/>
  <c r="R98" i="12"/>
  <c r="R76" i="12"/>
  <c r="R72" i="12"/>
  <c r="L18" i="111"/>
  <c r="D27" i="111"/>
  <c r="T27" i="110"/>
  <c r="Z18" i="110"/>
  <c r="L18" i="53"/>
  <c r="D27" i="53"/>
  <c r="T27" i="44"/>
  <c r="Z18" i="44"/>
  <c r="L18" i="44"/>
  <c r="D27" i="44"/>
  <c r="P27" i="44"/>
  <c r="X18" i="44"/>
  <c r="L18" i="46"/>
  <c r="D27" i="46"/>
  <c r="H27" i="17"/>
  <c r="N18" i="17"/>
  <c r="Z18" i="19"/>
  <c r="T27" i="19"/>
  <c r="L18" i="20"/>
  <c r="D27" i="20"/>
  <c r="T27" i="8"/>
  <c r="Z18" i="8"/>
  <c r="L18" i="4"/>
  <c r="D27" i="4"/>
  <c r="H27" i="26"/>
  <c r="N18" i="26"/>
  <c r="H27" i="14"/>
  <c r="N18" i="14"/>
  <c r="D27" i="8"/>
  <c r="L18" i="8"/>
  <c r="H71" i="83"/>
  <c r="N16" i="83"/>
  <c r="Z21" i="103"/>
  <c r="T81" i="103"/>
  <c r="T84" i="95"/>
  <c r="T38" i="101"/>
  <c r="H74" i="92"/>
  <c r="N18" i="92"/>
  <c r="H132" i="74"/>
  <c r="H64" i="72"/>
  <c r="P75" i="83"/>
  <c r="X71" i="83"/>
  <c r="T108" i="42"/>
  <c r="L24" i="108"/>
  <c r="D28" i="108"/>
  <c r="H65" i="107"/>
  <c r="N16" i="107"/>
  <c r="D67" i="109"/>
  <c r="L17" i="109"/>
  <c r="T54" i="102"/>
  <c r="Z16" i="102"/>
  <c r="T35" i="100"/>
  <c r="L18" i="92"/>
  <c r="D65" i="105"/>
  <c r="L16" i="105"/>
  <c r="F88" i="84"/>
  <c r="F87" i="84"/>
  <c r="F80" i="84"/>
  <c r="F79" i="84"/>
  <c r="F44" i="84"/>
  <c r="F40" i="84"/>
  <c r="F108" i="84"/>
  <c r="F99" i="84"/>
  <c r="F71" i="84"/>
  <c r="F70" i="84"/>
  <c r="F59" i="84"/>
  <c r="F58" i="84"/>
  <c r="F112" i="84"/>
  <c r="F94" i="84"/>
  <c r="F101" i="84"/>
  <c r="F100" i="84"/>
  <c r="F89" i="84"/>
  <c r="F61" i="84"/>
  <c r="F60" i="84"/>
  <c r="F45" i="84"/>
  <c r="F41" i="84"/>
  <c r="F103" i="84"/>
  <c r="F102" i="84"/>
  <c r="F95" i="84"/>
  <c r="F91" i="84"/>
  <c r="F90" i="84"/>
  <c r="F63" i="84"/>
  <c r="F62" i="84"/>
  <c r="F55" i="84"/>
  <c r="F51" i="84"/>
  <c r="F74" i="84"/>
  <c r="F73" i="84"/>
  <c r="F46" i="84"/>
  <c r="F42" i="84"/>
  <c r="F38" i="84"/>
  <c r="F37" i="84"/>
  <c r="F104" i="84"/>
  <c r="F96" i="84"/>
  <c r="F92" i="84"/>
  <c r="F76" i="84"/>
  <c r="F75" i="84"/>
  <c r="F56" i="84"/>
  <c r="F52" i="84"/>
  <c r="F48" i="84"/>
  <c r="F47" i="84"/>
  <c r="F67" i="84"/>
  <c r="F66" i="84"/>
  <c r="F54" i="84"/>
  <c r="F49" i="84"/>
  <c r="F39" i="84"/>
  <c r="F84" i="84"/>
  <c r="F81" i="84"/>
  <c r="F69" i="84"/>
  <c r="F64" i="84"/>
  <c r="F36" i="84"/>
  <c r="D34" i="84"/>
  <c r="F57" i="84"/>
  <c r="F98" i="84"/>
  <c r="F82" i="84"/>
  <c r="F77" i="84"/>
  <c r="F72" i="84"/>
  <c r="F65" i="84"/>
  <c r="F50" i="84"/>
  <c r="F106" i="84"/>
  <c r="F85" i="84"/>
  <c r="L12" i="84"/>
  <c r="N12" i="84" s="1"/>
  <c r="F93" i="84"/>
  <c r="F31" i="84"/>
  <c r="F30" i="84"/>
  <c r="F68" i="84"/>
  <c r="F53" i="84"/>
  <c r="F97" i="84"/>
  <c r="F83" i="84"/>
  <c r="F78" i="84"/>
  <c r="F43" i="84"/>
  <c r="F86" i="84"/>
  <c r="F32" i="84"/>
  <c r="F105" i="84"/>
  <c r="L16" i="83"/>
  <c r="H55" i="79"/>
  <c r="N16" i="79"/>
  <c r="P59" i="79"/>
  <c r="H100" i="76"/>
  <c r="L16" i="61"/>
  <c r="D60" i="61"/>
  <c r="H76" i="57"/>
  <c r="D71" i="48"/>
  <c r="X21" i="45"/>
  <c r="P93" i="45"/>
  <c r="R143" i="30"/>
  <c r="R135" i="30"/>
  <c r="R139" i="30"/>
  <c r="R138" i="30"/>
  <c r="R123" i="30"/>
  <c r="R108" i="30"/>
  <c r="R107" i="30"/>
  <c r="R99" i="30"/>
  <c r="R88" i="30"/>
  <c r="R87" i="30"/>
  <c r="R59" i="30"/>
  <c r="R55" i="30"/>
  <c r="R51" i="30"/>
  <c r="R148" i="30"/>
  <c r="R145" i="30"/>
  <c r="R137" i="30"/>
  <c r="R82" i="30"/>
  <c r="R78" i="30"/>
  <c r="R47" i="30"/>
  <c r="X12" i="30"/>
  <c r="Z12" i="30" s="1"/>
  <c r="R134" i="30"/>
  <c r="R133" i="30"/>
  <c r="R129" i="30"/>
  <c r="R118" i="30"/>
  <c r="R117" i="30"/>
  <c r="R110" i="30"/>
  <c r="R109" i="30"/>
  <c r="R90" i="30"/>
  <c r="R89" i="30"/>
  <c r="R73" i="30"/>
  <c r="R69" i="30"/>
  <c r="R141" i="30"/>
  <c r="R125" i="30"/>
  <c r="R124" i="30"/>
  <c r="R101" i="30"/>
  <c r="R100" i="30"/>
  <c r="R65" i="30"/>
  <c r="R60" i="30"/>
  <c r="R56" i="30"/>
  <c r="R52" i="30"/>
  <c r="R48" i="30"/>
  <c r="R119" i="30"/>
  <c r="R112" i="30"/>
  <c r="R111" i="30"/>
  <c r="R92" i="30"/>
  <c r="R91" i="30"/>
  <c r="R83" i="30"/>
  <c r="R79" i="30"/>
  <c r="R64" i="30"/>
  <c r="R146" i="30"/>
  <c r="R142" i="30"/>
  <c r="R130" i="30"/>
  <c r="R126" i="30"/>
  <c r="R102" i="30"/>
  <c r="R75" i="30"/>
  <c r="R74" i="30"/>
  <c r="R70" i="30"/>
  <c r="R66" i="30"/>
  <c r="P62" i="30"/>
  <c r="R62" i="30" s="1"/>
  <c r="R114" i="30"/>
  <c r="R113" i="30"/>
  <c r="R94" i="30"/>
  <c r="R93" i="30"/>
  <c r="R57" i="30"/>
  <c r="R53" i="30"/>
  <c r="R49" i="30"/>
  <c r="R120" i="30"/>
  <c r="R84" i="30"/>
  <c r="R80" i="30"/>
  <c r="R76" i="30"/>
  <c r="R147" i="30"/>
  <c r="R136" i="30"/>
  <c r="R122" i="30"/>
  <c r="R121" i="30"/>
  <c r="R106" i="30"/>
  <c r="R105" i="30"/>
  <c r="R98" i="30"/>
  <c r="R97" i="30"/>
  <c r="R86" i="30"/>
  <c r="R85" i="30"/>
  <c r="R81" i="30"/>
  <c r="R77" i="30"/>
  <c r="R115" i="30"/>
  <c r="R103" i="30"/>
  <c r="R71" i="30"/>
  <c r="R67" i="30"/>
  <c r="R152" i="30"/>
  <c r="R127" i="30"/>
  <c r="R96" i="30"/>
  <c r="R131" i="30"/>
  <c r="R104" i="30"/>
  <c r="R58" i="30"/>
  <c r="R54" i="30"/>
  <c r="R72" i="30"/>
  <c r="R68" i="30"/>
  <c r="R50" i="30"/>
  <c r="R116" i="30"/>
  <c r="R132" i="30"/>
  <c r="R140" i="30"/>
  <c r="R95" i="30"/>
  <c r="R128" i="30"/>
  <c r="R210" i="18"/>
  <c r="R163" i="18"/>
  <c r="R144" i="18"/>
  <c r="R143" i="18"/>
  <c r="R136" i="18"/>
  <c r="R135" i="18"/>
  <c r="R127" i="18"/>
  <c r="R123" i="18"/>
  <c r="R119" i="18"/>
  <c r="R190" i="18"/>
  <c r="R174" i="18"/>
  <c r="R114" i="18"/>
  <c r="R110" i="18"/>
  <c r="R198" i="18"/>
  <c r="R197" i="18"/>
  <c r="R185" i="18"/>
  <c r="R181" i="18"/>
  <c r="R169" i="18"/>
  <c r="R154" i="18"/>
  <c r="R153" i="18"/>
  <c r="R146" i="18"/>
  <c r="R145" i="18"/>
  <c r="R137" i="18"/>
  <c r="R101" i="18"/>
  <c r="R97" i="18"/>
  <c r="R93" i="18"/>
  <c r="R89" i="18"/>
  <c r="R85" i="18"/>
  <c r="R81" i="18"/>
  <c r="R77" i="18"/>
  <c r="R164" i="18"/>
  <c r="R129" i="18"/>
  <c r="R128" i="18"/>
  <c r="R124" i="18"/>
  <c r="R120" i="18"/>
  <c r="X12" i="18"/>
  <c r="Z12" i="18" s="1"/>
  <c r="R199" i="18"/>
  <c r="R192" i="18"/>
  <c r="R191" i="18"/>
  <c r="R176" i="18"/>
  <c r="R175" i="18"/>
  <c r="R156" i="18"/>
  <c r="R155" i="18"/>
  <c r="R148" i="18"/>
  <c r="R147" i="18"/>
  <c r="R115" i="18"/>
  <c r="R111" i="18"/>
  <c r="R202" i="18"/>
  <c r="R201" i="18"/>
  <c r="R203" i="18"/>
  <c r="R194" i="18"/>
  <c r="R193" i="18"/>
  <c r="R177" i="18"/>
  <c r="R166" i="18"/>
  <c r="R165" i="18"/>
  <c r="R204" i="18"/>
  <c r="R172" i="18"/>
  <c r="R141" i="18"/>
  <c r="R140" i="18"/>
  <c r="R132" i="18"/>
  <c r="R116" i="18"/>
  <c r="R112" i="18"/>
  <c r="R108" i="18"/>
  <c r="P104" i="18"/>
  <c r="R205" i="18"/>
  <c r="R195" i="18"/>
  <c r="R187" i="18"/>
  <c r="R183" i="18"/>
  <c r="R167" i="18"/>
  <c r="R160" i="18"/>
  <c r="R159" i="18"/>
  <c r="R99" i="18"/>
  <c r="R95" i="18"/>
  <c r="R91" i="18"/>
  <c r="R87" i="18"/>
  <c r="R83" i="18"/>
  <c r="R79" i="18"/>
  <c r="R75" i="18"/>
  <c r="R173" i="18"/>
  <c r="R162" i="18"/>
  <c r="R161" i="18"/>
  <c r="R134" i="18"/>
  <c r="R133" i="18"/>
  <c r="R118" i="18"/>
  <c r="R117" i="18"/>
  <c r="R113" i="18"/>
  <c r="R109" i="18"/>
  <c r="R158" i="18"/>
  <c r="R100" i="18"/>
  <c r="R98" i="18"/>
  <c r="R168" i="18"/>
  <c r="R130" i="18"/>
  <c r="R74" i="18"/>
  <c r="R170" i="18"/>
  <c r="R139" i="18"/>
  <c r="R96" i="18"/>
  <c r="R94" i="18"/>
  <c r="R76" i="18"/>
  <c r="R189" i="18"/>
  <c r="R152" i="18"/>
  <c r="R107" i="18"/>
  <c r="R92" i="18"/>
  <c r="R90" i="18"/>
  <c r="R180" i="18"/>
  <c r="R150" i="18"/>
  <c r="R131" i="18"/>
  <c r="R126" i="18"/>
  <c r="R122" i="18"/>
  <c r="R104" i="18"/>
  <c r="R206" i="18"/>
  <c r="R182" i="18"/>
  <c r="R171" i="18"/>
  <c r="R88" i="18"/>
  <c r="R86" i="18"/>
  <c r="R178" i="18"/>
  <c r="R142" i="18"/>
  <c r="R188" i="18"/>
  <c r="R149" i="18"/>
  <c r="R138" i="18"/>
  <c r="R125" i="18"/>
  <c r="R102" i="18"/>
  <c r="R186" i="18"/>
  <c r="R151" i="18"/>
  <c r="R121" i="18"/>
  <c r="R106" i="18"/>
  <c r="R84" i="18"/>
  <c r="R82" i="18"/>
  <c r="R196" i="18"/>
  <c r="R157" i="18"/>
  <c r="R80" i="18"/>
  <c r="R78" i="18"/>
  <c r="R184" i="18"/>
  <c r="R179" i="18"/>
  <c r="T196" i="12"/>
  <c r="R216" i="3"/>
  <c r="X18" i="43"/>
  <c r="P27" i="43"/>
  <c r="L18" i="47"/>
  <c r="D27" i="47"/>
  <c r="H27" i="46"/>
  <c r="N18" i="46"/>
  <c r="N18" i="37"/>
  <c r="H27" i="37"/>
  <c r="X18" i="22"/>
  <c r="P27" i="22"/>
  <c r="T27" i="14"/>
  <c r="Z18" i="14"/>
  <c r="D27" i="5"/>
  <c r="L18" i="5"/>
  <c r="P27" i="7"/>
  <c r="X18" i="7"/>
  <c r="P65" i="107"/>
  <c r="X16" i="107"/>
  <c r="D37" i="88"/>
  <c r="P94" i="63"/>
  <c r="X16" i="63"/>
  <c r="H65" i="93"/>
  <c r="N61" i="93"/>
  <c r="T88" i="87"/>
  <c r="L16" i="99"/>
  <c r="D54" i="99"/>
  <c r="H58" i="99"/>
  <c r="X17" i="93"/>
  <c r="Z30" i="88"/>
  <c r="T34" i="88"/>
  <c r="L18" i="85"/>
  <c r="D26" i="85"/>
  <c r="T75" i="91"/>
  <c r="Z16" i="91"/>
  <c r="H26" i="85"/>
  <c r="N18" i="85"/>
  <c r="R84" i="84"/>
  <c r="R73" i="84"/>
  <c r="R72" i="84"/>
  <c r="R37" i="84"/>
  <c r="R103" i="84"/>
  <c r="R95" i="84"/>
  <c r="R91" i="84"/>
  <c r="R64" i="84"/>
  <c r="R63" i="84"/>
  <c r="R55" i="84"/>
  <c r="R51" i="84"/>
  <c r="R36" i="84"/>
  <c r="R85" i="84"/>
  <c r="R66" i="84"/>
  <c r="R65" i="84"/>
  <c r="R105" i="84"/>
  <c r="R104" i="84"/>
  <c r="R97" i="84"/>
  <c r="R96" i="84"/>
  <c r="R92" i="84"/>
  <c r="R68" i="84"/>
  <c r="R67" i="84"/>
  <c r="R106" i="84"/>
  <c r="R98" i="84"/>
  <c r="R87" i="84"/>
  <c r="R86" i="84"/>
  <c r="R79" i="84"/>
  <c r="R78" i="84"/>
  <c r="R108" i="84"/>
  <c r="R93" i="84"/>
  <c r="R88" i="84"/>
  <c r="R81" i="84"/>
  <c r="R80" i="84"/>
  <c r="R44" i="84"/>
  <c r="R40" i="84"/>
  <c r="R100" i="84"/>
  <c r="R99" i="84"/>
  <c r="R71" i="84"/>
  <c r="R60" i="84"/>
  <c r="R59" i="84"/>
  <c r="R102" i="84"/>
  <c r="R62" i="84"/>
  <c r="R52" i="84"/>
  <c r="R47" i="84"/>
  <c r="R112" i="84"/>
  <c r="R77" i="84"/>
  <c r="R74" i="84"/>
  <c r="R70" i="84"/>
  <c r="R42" i="84"/>
  <c r="R30" i="84"/>
  <c r="R82" i="84"/>
  <c r="R58" i="84"/>
  <c r="R50" i="84"/>
  <c r="X12" i="84"/>
  <c r="Z12" i="84" s="1"/>
  <c r="R45" i="84"/>
  <c r="R31" i="84"/>
  <c r="R89" i="84"/>
  <c r="R53" i="84"/>
  <c r="R48" i="84"/>
  <c r="R38" i="84"/>
  <c r="R83" i="84"/>
  <c r="R75" i="84"/>
  <c r="R43" i="84"/>
  <c r="R32" i="84"/>
  <c r="R90" i="84"/>
  <c r="R56" i="84"/>
  <c r="R41" i="84"/>
  <c r="R61" i="84"/>
  <c r="P34" i="84"/>
  <c r="R101" i="84"/>
  <c r="R76" i="84"/>
  <c r="R54" i="84"/>
  <c r="R49" i="84"/>
  <c r="R46" i="84"/>
  <c r="R94" i="84"/>
  <c r="R57" i="84"/>
  <c r="R39" i="84"/>
  <c r="R69" i="84"/>
  <c r="D84" i="87"/>
  <c r="L19" i="87"/>
  <c r="L71" i="83"/>
  <c r="D75" i="83"/>
  <c r="T56" i="82"/>
  <c r="F25" i="82"/>
  <c r="F32" i="82"/>
  <c r="F28" i="82"/>
  <c r="L12" i="82"/>
  <c r="N12" i="82" s="1"/>
  <c r="F47" i="82"/>
  <c r="F42" i="82"/>
  <c r="F38" i="82"/>
  <c r="F51" i="82"/>
  <c r="F20" i="82"/>
  <c r="F43" i="82"/>
  <c r="F39" i="82"/>
  <c r="F34" i="82"/>
  <c r="F30" i="82"/>
  <c r="F45" i="82"/>
  <c r="F21" i="82"/>
  <c r="F31" i="82"/>
  <c r="F19" i="82"/>
  <c r="F41" i="82"/>
  <c r="F36" i="82"/>
  <c r="F29" i="82"/>
  <c r="F26" i="82"/>
  <c r="F27" i="82"/>
  <c r="F37" i="82"/>
  <c r="D23" i="82"/>
  <c r="F23" i="82" s="1"/>
  <c r="F44" i="82"/>
  <c r="F18" i="82"/>
  <c r="F40" i="82"/>
  <c r="F35" i="82"/>
  <c r="F33" i="82"/>
  <c r="P72" i="75"/>
  <c r="X22" i="75"/>
  <c r="Z22" i="75" s="1"/>
  <c r="H99" i="70"/>
  <c r="J40" i="70"/>
  <c r="F118" i="74"/>
  <c r="F114" i="74"/>
  <c r="F113" i="74"/>
  <c r="F106" i="74"/>
  <c r="F105" i="74"/>
  <c r="F125" i="74"/>
  <c r="F97" i="74"/>
  <c r="F96" i="74"/>
  <c r="F85" i="74"/>
  <c r="F81" i="74"/>
  <c r="F77" i="74"/>
  <c r="F108" i="74"/>
  <c r="F107" i="74"/>
  <c r="F128" i="74"/>
  <c r="F119" i="74"/>
  <c r="F115" i="74"/>
  <c r="F87" i="74"/>
  <c r="F86" i="74"/>
  <c r="F129" i="74"/>
  <c r="F127" i="74"/>
  <c r="F98" i="74"/>
  <c r="F82" i="74"/>
  <c r="F78" i="74"/>
  <c r="F120" i="74"/>
  <c r="F116" i="74"/>
  <c r="F100" i="74"/>
  <c r="F99" i="74"/>
  <c r="F123" i="74"/>
  <c r="F94" i="74"/>
  <c r="F88" i="74"/>
  <c r="F68" i="74"/>
  <c r="F84" i="74"/>
  <c r="F74" i="74"/>
  <c r="F71" i="74"/>
  <c r="F59" i="74"/>
  <c r="F55" i="74"/>
  <c r="F51" i="74"/>
  <c r="F134" i="74"/>
  <c r="F130" i="74"/>
  <c r="F121" i="74"/>
  <c r="F95" i="74"/>
  <c r="F89" i="74"/>
  <c r="F111" i="74"/>
  <c r="F103" i="74"/>
  <c r="F92" i="74"/>
  <c r="F124" i="74"/>
  <c r="F109" i="74"/>
  <c r="F72" i="74"/>
  <c r="F69" i="74"/>
  <c r="F60" i="74"/>
  <c r="F56" i="74"/>
  <c r="F52" i="74"/>
  <c r="F48" i="74"/>
  <c r="F47" i="74"/>
  <c r="F75" i="74"/>
  <c r="F122" i="74"/>
  <c r="F101" i="74"/>
  <c r="F79" i="74"/>
  <c r="F66" i="74"/>
  <c r="F65" i="74"/>
  <c r="F58" i="74"/>
  <c r="F83" i="74"/>
  <c r="F49" i="74"/>
  <c r="F112" i="74"/>
  <c r="F110" i="74"/>
  <c r="F67" i="74"/>
  <c r="F104" i="74"/>
  <c r="F102" i="74"/>
  <c r="F90" i="74"/>
  <c r="F57" i="74"/>
  <c r="F93" i="74"/>
  <c r="F80" i="74"/>
  <c r="L12" i="74"/>
  <c r="N12" i="74" s="1"/>
  <c r="F117" i="74"/>
  <c r="F91" i="74"/>
  <c r="F76" i="74"/>
  <c r="F70" i="74"/>
  <c r="F64" i="74"/>
  <c r="F53" i="74"/>
  <c r="F73" i="74"/>
  <c r="F54" i="74"/>
  <c r="F50" i="74"/>
  <c r="D62" i="74"/>
  <c r="Z16" i="60"/>
  <c r="T54" i="60"/>
  <c r="P72" i="57"/>
  <c r="X17" i="57"/>
  <c r="P22" i="54"/>
  <c r="X16" i="54"/>
  <c r="T150" i="30"/>
  <c r="H66" i="24"/>
  <c r="N26" i="6"/>
  <c r="H31" i="6"/>
  <c r="T229" i="3"/>
  <c r="Z18" i="47"/>
  <c r="T27" i="47"/>
  <c r="X18" i="46"/>
  <c r="P27" i="46"/>
  <c r="H27" i="43"/>
  <c r="N18" i="43"/>
  <c r="D27" i="41"/>
  <c r="L18" i="41"/>
  <c r="T27" i="43"/>
  <c r="Z18" i="43"/>
  <c r="X18" i="31"/>
  <c r="P27" i="31"/>
  <c r="N18" i="32"/>
  <c r="H27" i="32"/>
  <c r="H27" i="31"/>
  <c r="N18" i="31"/>
  <c r="Z18" i="37"/>
  <c r="T27" i="37"/>
  <c r="D27" i="31"/>
  <c r="L18" i="31"/>
  <c r="D27" i="16"/>
  <c r="L18" i="16"/>
  <c r="H27" i="13"/>
  <c r="N18" i="13"/>
  <c r="P27" i="17"/>
  <c r="X18" i="17"/>
  <c r="D55" i="79"/>
  <c r="L16" i="79"/>
  <c r="Z16" i="63"/>
  <c r="T94" i="63"/>
  <c r="L16" i="104"/>
  <c r="D24" i="104"/>
  <c r="N16" i="101"/>
  <c r="H34" i="101"/>
  <c r="T64" i="72"/>
  <c r="D72" i="57"/>
  <c r="L17" i="57"/>
  <c r="T24" i="104"/>
  <c r="Z16" i="104"/>
  <c r="D64" i="80"/>
  <c r="L17" i="80"/>
  <c r="Z16" i="107"/>
  <c r="T65" i="107"/>
  <c r="D65" i="107"/>
  <c r="L16" i="107"/>
  <c r="L16" i="102"/>
  <c r="D54" i="102"/>
  <c r="H32" i="100"/>
  <c r="R84" i="95"/>
  <c r="R91" i="95"/>
  <c r="R88" i="95"/>
  <c r="R76" i="95"/>
  <c r="R75" i="95"/>
  <c r="R71" i="95"/>
  <c r="R56" i="95"/>
  <c r="R55" i="95"/>
  <c r="R39" i="95"/>
  <c r="R35" i="95"/>
  <c r="R16" i="95"/>
  <c r="R47" i="95"/>
  <c r="R46" i="95"/>
  <c r="R30" i="95"/>
  <c r="R26" i="95"/>
  <c r="R77" i="95"/>
  <c r="R65" i="95"/>
  <c r="R58" i="95"/>
  <c r="R57" i="95"/>
  <c r="R22" i="95"/>
  <c r="R17" i="95"/>
  <c r="R72" i="95"/>
  <c r="R49" i="95"/>
  <c r="R48" i="95"/>
  <c r="R40" i="95"/>
  <c r="R36" i="95"/>
  <c r="R21" i="95"/>
  <c r="R19" i="95"/>
  <c r="R60" i="95"/>
  <c r="R59" i="95"/>
  <c r="R32" i="95"/>
  <c r="R31" i="95"/>
  <c r="R27" i="95"/>
  <c r="R23" i="95"/>
  <c r="P19" i="95"/>
  <c r="R86" i="95"/>
  <c r="R79" i="95"/>
  <c r="R78" i="95"/>
  <c r="R66" i="95"/>
  <c r="R50" i="95"/>
  <c r="R73" i="95"/>
  <c r="R61" i="95"/>
  <c r="R41" i="95"/>
  <c r="R37" i="95"/>
  <c r="R80" i="95"/>
  <c r="R28" i="95"/>
  <c r="R24" i="95"/>
  <c r="R68" i="95"/>
  <c r="R67" i="95"/>
  <c r="R52" i="95"/>
  <c r="R51" i="95"/>
  <c r="R53" i="95"/>
  <c r="R44" i="95"/>
  <c r="R42" i="95"/>
  <c r="R70" i="95"/>
  <c r="R64" i="95"/>
  <c r="R38" i="95"/>
  <c r="R34" i="95"/>
  <c r="R62" i="95"/>
  <c r="R54" i="95"/>
  <c r="R45" i="95"/>
  <c r="R74" i="95"/>
  <c r="R43" i="95"/>
  <c r="R25" i="95"/>
  <c r="R82" i="95"/>
  <c r="R33" i="95"/>
  <c r="R29" i="95"/>
  <c r="R63" i="95"/>
  <c r="X12" i="95"/>
  <c r="Z12" i="95" s="1"/>
  <c r="R69" i="95"/>
  <c r="L19" i="95"/>
  <c r="N19" i="95" s="1"/>
  <c r="Z22" i="98"/>
  <c r="T26" i="98"/>
  <c r="L61" i="93"/>
  <c r="H110" i="84"/>
  <c r="J34" i="84"/>
  <c r="N16" i="77"/>
  <c r="H22" i="77"/>
  <c r="T93" i="76"/>
  <c r="Z40" i="76"/>
  <c r="L16" i="69"/>
  <c r="D52" i="69"/>
  <c r="H62" i="68"/>
  <c r="N18" i="68"/>
  <c r="N16" i="69"/>
  <c r="H52" i="69"/>
  <c r="L16" i="58"/>
  <c r="D71" i="58"/>
  <c r="D62" i="68"/>
  <c r="L18" i="68"/>
  <c r="T93" i="51"/>
  <c r="N16" i="54"/>
  <c r="H22" i="54"/>
  <c r="L16" i="54"/>
  <c r="D22" i="54"/>
  <c r="H93" i="51"/>
  <c r="F119" i="36"/>
  <c r="F107" i="36"/>
  <c r="F106" i="36"/>
  <c r="F99" i="36"/>
  <c r="F95" i="36"/>
  <c r="F91" i="36"/>
  <c r="F79" i="36"/>
  <c r="F78" i="36"/>
  <c r="F85" i="36"/>
  <c r="F73" i="36"/>
  <c r="F72" i="36"/>
  <c r="F110" i="36"/>
  <c r="F109" i="36"/>
  <c r="F102" i="36"/>
  <c r="F101" i="36"/>
  <c r="F86" i="36"/>
  <c r="F82" i="36"/>
  <c r="F81" i="36"/>
  <c r="F113" i="36"/>
  <c r="F88" i="36"/>
  <c r="F87" i="36"/>
  <c r="F76" i="36"/>
  <c r="F114" i="36"/>
  <c r="F112" i="36"/>
  <c r="F103" i="36"/>
  <c r="F83" i="36"/>
  <c r="F67" i="36"/>
  <c r="F66" i="36"/>
  <c r="F105" i="36"/>
  <c r="F104" i="36"/>
  <c r="F77" i="36"/>
  <c r="F69" i="36"/>
  <c r="F68" i="36"/>
  <c r="F38" i="36"/>
  <c r="F34" i="36"/>
  <c r="F30" i="36"/>
  <c r="F80" i="36"/>
  <c r="F61" i="36"/>
  <c r="F57" i="36"/>
  <c r="F56" i="36"/>
  <c r="F21" i="36"/>
  <c r="F20" i="36"/>
  <c r="F115" i="36"/>
  <c r="F90" i="36"/>
  <c r="F75" i="36"/>
  <c r="F48" i="36"/>
  <c r="F44" i="36"/>
  <c r="F40" i="36"/>
  <c r="F39" i="36"/>
  <c r="L12" i="36"/>
  <c r="N12" i="36" s="1"/>
  <c r="F100" i="36"/>
  <c r="F94" i="36"/>
  <c r="F92" i="36"/>
  <c r="F35" i="36"/>
  <c r="F31" i="36"/>
  <c r="F98" i="36"/>
  <c r="F96" i="36"/>
  <c r="F62" i="36"/>
  <c r="F58" i="36"/>
  <c r="F22" i="36"/>
  <c r="F49" i="36"/>
  <c r="F45" i="36"/>
  <c r="F41" i="36"/>
  <c r="F63" i="36"/>
  <c r="F36" i="36"/>
  <c r="F32" i="36"/>
  <c r="F59" i="36"/>
  <c r="F51" i="36"/>
  <c r="F50" i="36"/>
  <c r="F23" i="36"/>
  <c r="F70" i="36"/>
  <c r="F64" i="36"/>
  <c r="F46" i="36"/>
  <c r="F42" i="36"/>
  <c r="F53" i="36"/>
  <c r="F52" i="36"/>
  <c r="F37" i="36"/>
  <c r="F33" i="36"/>
  <c r="F29" i="36"/>
  <c r="F28" i="36"/>
  <c r="F93" i="36"/>
  <c r="F54" i="36"/>
  <c r="F60" i="36"/>
  <c r="F74" i="36"/>
  <c r="F108" i="36"/>
  <c r="F43" i="36"/>
  <c r="F71" i="36"/>
  <c r="F97" i="36"/>
  <c r="D25" i="36"/>
  <c r="F47" i="36"/>
  <c r="F55" i="36"/>
  <c r="F65" i="36"/>
  <c r="F27" i="36"/>
  <c r="F89" i="36"/>
  <c r="F84" i="36"/>
  <c r="T113" i="39"/>
  <c r="T81" i="21"/>
  <c r="X81" i="21" s="1"/>
  <c r="Z19" i="21"/>
  <c r="V19" i="21"/>
  <c r="F83" i="21"/>
  <c r="F65" i="21"/>
  <c r="F57" i="21"/>
  <c r="F56" i="21"/>
  <c r="F17" i="21"/>
  <c r="F72" i="21"/>
  <c r="F59" i="21"/>
  <c r="F58" i="21"/>
  <c r="F31" i="21"/>
  <c r="F27" i="21"/>
  <c r="F23" i="21"/>
  <c r="F22" i="21"/>
  <c r="F88" i="21"/>
  <c r="F85" i="21"/>
  <c r="F74" i="21"/>
  <c r="F73" i="21"/>
  <c r="F66" i="21"/>
  <c r="F50" i="21"/>
  <c r="F49" i="21"/>
  <c r="F21" i="21"/>
  <c r="F19" i="21"/>
  <c r="F77" i="21"/>
  <c r="F76" i="21"/>
  <c r="F53" i="21"/>
  <c r="F52" i="21"/>
  <c r="F29" i="21"/>
  <c r="F25" i="21"/>
  <c r="F75" i="21"/>
  <c r="F70" i="21"/>
  <c r="F62" i="21"/>
  <c r="F36" i="21"/>
  <c r="F30" i="21"/>
  <c r="L12" i="21"/>
  <c r="N12" i="21" s="1"/>
  <c r="F67" i="21"/>
  <c r="F24" i="21"/>
  <c r="F15" i="21"/>
  <c r="F79" i="21"/>
  <c r="F45" i="21"/>
  <c r="D19" i="21"/>
  <c r="F39" i="21"/>
  <c r="F34" i="21"/>
  <c r="F16" i="21"/>
  <c r="F63" i="21"/>
  <c r="F60" i="21"/>
  <c r="F42" i="21"/>
  <c r="F71" i="21"/>
  <c r="F68" i="21"/>
  <c r="F46" i="21"/>
  <c r="F37" i="21"/>
  <c r="F28" i="21"/>
  <c r="F40" i="21"/>
  <c r="F81" i="21"/>
  <c r="F54" i="21"/>
  <c r="F32" i="21"/>
  <c r="F61" i="21"/>
  <c r="F51" i="21"/>
  <c r="F47" i="21"/>
  <c r="F43" i="21"/>
  <c r="F69" i="21"/>
  <c r="F44" i="21"/>
  <c r="F38" i="21"/>
  <c r="F33" i="21"/>
  <c r="F26" i="21"/>
  <c r="F35" i="21"/>
  <c r="F64" i="21"/>
  <c r="F55" i="21"/>
  <c r="F41" i="21"/>
  <c r="F48" i="21"/>
  <c r="H72" i="33"/>
  <c r="J22" i="33"/>
  <c r="H212" i="18"/>
  <c r="L86" i="12"/>
  <c r="N86" i="12" s="1"/>
  <c r="D192" i="12"/>
  <c r="F186" i="12"/>
  <c r="X110" i="3"/>
  <c r="Z110" i="3" s="1"/>
  <c r="P225" i="3"/>
  <c r="H27" i="111"/>
  <c r="N18" i="111"/>
  <c r="T27" i="50"/>
  <c r="Z18" i="50"/>
  <c r="X18" i="41"/>
  <c r="P27" i="41"/>
  <c r="T27" i="41"/>
  <c r="Z18" i="41"/>
  <c r="N18" i="34"/>
  <c r="H27" i="34"/>
  <c r="H27" i="22"/>
  <c r="N18" i="22"/>
  <c r="L18" i="43"/>
  <c r="D27" i="43"/>
  <c r="X18" i="20"/>
  <c r="P27" i="20"/>
  <c r="X18" i="14"/>
  <c r="P27" i="14"/>
  <c r="T27" i="7"/>
  <c r="Z18" i="7"/>
  <c r="H27" i="11"/>
  <c r="N18" i="11"/>
  <c r="X18" i="16"/>
  <c r="P27" i="16"/>
  <c r="N16" i="58"/>
  <c r="H71" i="58"/>
  <c r="X18" i="68"/>
  <c r="P62" i="68"/>
  <c r="L64" i="109"/>
  <c r="N64" i="109" s="1"/>
  <c r="F64" i="109"/>
  <c r="L16" i="100"/>
  <c r="D28" i="100"/>
  <c r="Z18" i="85"/>
  <c r="T26" i="85"/>
  <c r="X26" i="85" s="1"/>
  <c r="F90" i="51"/>
  <c r="F81" i="51"/>
  <c r="F80" i="51"/>
  <c r="F53" i="51"/>
  <c r="F49" i="51"/>
  <c r="F45" i="51"/>
  <c r="F91" i="51"/>
  <c r="F89" i="51"/>
  <c r="F72" i="51"/>
  <c r="F71" i="51"/>
  <c r="F36" i="51"/>
  <c r="F32" i="51"/>
  <c r="F83" i="51"/>
  <c r="F82" i="51"/>
  <c r="F63" i="51"/>
  <c r="F59" i="51"/>
  <c r="F55" i="51"/>
  <c r="F54" i="51"/>
  <c r="F74" i="51"/>
  <c r="F73" i="51"/>
  <c r="F50" i="51"/>
  <c r="F46" i="51"/>
  <c r="F95" i="51"/>
  <c r="F37" i="51"/>
  <c r="F33" i="51"/>
  <c r="F84" i="51"/>
  <c r="F64" i="51"/>
  <c r="F60" i="51"/>
  <c r="F56" i="51"/>
  <c r="F75" i="51"/>
  <c r="F51" i="51"/>
  <c r="F47" i="51"/>
  <c r="F66" i="51"/>
  <c r="F65" i="51"/>
  <c r="F38" i="51"/>
  <c r="F34" i="51"/>
  <c r="F30" i="51"/>
  <c r="F29" i="51"/>
  <c r="F85" i="51"/>
  <c r="F77" i="51"/>
  <c r="F76" i="51"/>
  <c r="F61" i="51"/>
  <c r="F57" i="51"/>
  <c r="F68" i="51"/>
  <c r="F67" i="51"/>
  <c r="F52" i="51"/>
  <c r="F48" i="51"/>
  <c r="F44" i="51"/>
  <c r="F43" i="51"/>
  <c r="F87" i="51"/>
  <c r="F86" i="51"/>
  <c r="F79" i="51"/>
  <c r="F78" i="51"/>
  <c r="F42" i="51"/>
  <c r="F35" i="51"/>
  <c r="F31" i="51"/>
  <c r="F62" i="51"/>
  <c r="L12" i="51"/>
  <c r="N12" i="51" s="1"/>
  <c r="F70" i="51"/>
  <c r="D40" i="51"/>
  <c r="F58" i="51"/>
  <c r="F69" i="51"/>
  <c r="H67" i="109"/>
  <c r="N17" i="109"/>
  <c r="T24" i="108"/>
  <c r="X24" i="108" s="1"/>
  <c r="Z16" i="108"/>
  <c r="X28" i="100"/>
  <c r="Z28" i="100" s="1"/>
  <c r="P32" i="100"/>
  <c r="X76" i="97"/>
  <c r="P79" i="97"/>
  <c r="H75" i="91"/>
  <c r="N16" i="91"/>
  <c r="D68" i="93"/>
  <c r="L65" i="93"/>
  <c r="P84" i="87"/>
  <c r="X19" i="87"/>
  <c r="T78" i="94"/>
  <c r="T110" i="84"/>
  <c r="T55" i="79"/>
  <c r="Z16" i="79"/>
  <c r="H53" i="82"/>
  <c r="F64" i="75"/>
  <c r="F56" i="75"/>
  <c r="F32" i="75"/>
  <c r="F28" i="75"/>
  <c r="F47" i="75"/>
  <c r="F46" i="75"/>
  <c r="F58" i="75"/>
  <c r="F57" i="75"/>
  <c r="F42" i="75"/>
  <c r="F38" i="75"/>
  <c r="F65" i="75"/>
  <c r="F49" i="75"/>
  <c r="F48" i="75"/>
  <c r="F33" i="75"/>
  <c r="F29" i="75"/>
  <c r="F60" i="75"/>
  <c r="F59" i="75"/>
  <c r="F62" i="75"/>
  <c r="F61" i="75"/>
  <c r="F34" i="75"/>
  <c r="F30" i="75"/>
  <c r="F26" i="75"/>
  <c r="F25" i="75"/>
  <c r="F45" i="75"/>
  <c r="F54" i="75"/>
  <c r="F43" i="75"/>
  <c r="D22" i="75"/>
  <c r="F36" i="75"/>
  <c r="F52" i="75"/>
  <c r="F69" i="75"/>
  <c r="F41" i="75"/>
  <c r="F31" i="75"/>
  <c r="F55" i="75"/>
  <c r="F39" i="75"/>
  <c r="F53" i="75"/>
  <c r="F24" i="75"/>
  <c r="L12" i="75"/>
  <c r="N12" i="75" s="1"/>
  <c r="F70" i="75"/>
  <c r="F63" i="75"/>
  <c r="F44" i="75"/>
  <c r="F37" i="75"/>
  <c r="F27" i="75"/>
  <c r="F20" i="75"/>
  <c r="F66" i="75"/>
  <c r="F50" i="75"/>
  <c r="F74" i="75"/>
  <c r="F67" i="75"/>
  <c r="F40" i="75"/>
  <c r="F35" i="75"/>
  <c r="F51" i="75"/>
  <c r="X40" i="76"/>
  <c r="P93" i="76"/>
  <c r="D22" i="77"/>
  <c r="L16" i="77"/>
  <c r="T67" i="61"/>
  <c r="T68" i="59"/>
  <c r="Z16" i="59"/>
  <c r="H68" i="56"/>
  <c r="N17" i="56"/>
  <c r="H67" i="48"/>
  <c r="N17" i="48"/>
  <c r="H117" i="36"/>
  <c r="F70" i="33"/>
  <c r="F53" i="33"/>
  <c r="F52" i="33"/>
  <c r="F24" i="33"/>
  <c r="F20" i="33"/>
  <c r="F69" i="33"/>
  <c r="F44" i="33"/>
  <c r="F40" i="33"/>
  <c r="F36" i="33"/>
  <c r="F35" i="33"/>
  <c r="D22" i="33"/>
  <c r="L12" i="33"/>
  <c r="N12" i="33" s="1"/>
  <c r="F63" i="33"/>
  <c r="F55" i="33"/>
  <c r="F54" i="33"/>
  <c r="F31" i="33"/>
  <c r="F27" i="33"/>
  <c r="F74" i="33"/>
  <c r="F64" i="33"/>
  <c r="F56" i="33"/>
  <c r="F58" i="33"/>
  <c r="F57" i="33"/>
  <c r="F42" i="33"/>
  <c r="F38" i="33"/>
  <c r="F65" i="33"/>
  <c r="F49" i="33"/>
  <c r="F48" i="33"/>
  <c r="F33" i="33"/>
  <c r="F29" i="33"/>
  <c r="F60" i="33"/>
  <c r="F59" i="33"/>
  <c r="F45" i="33"/>
  <c r="F25" i="33"/>
  <c r="F67" i="33"/>
  <c r="F61" i="33"/>
  <c r="F43" i="33"/>
  <c r="F34" i="33"/>
  <c r="F32" i="33"/>
  <c r="F41" i="33"/>
  <c r="F39" i="33"/>
  <c r="F37" i="33"/>
  <c r="F51" i="33"/>
  <c r="F46" i="33"/>
  <c r="F30" i="33"/>
  <c r="F28" i="33"/>
  <c r="F26" i="33"/>
  <c r="F66" i="33"/>
  <c r="F50" i="33"/>
  <c r="F62" i="33"/>
  <c r="F47" i="33"/>
  <c r="V22" i="33"/>
  <c r="H188" i="15"/>
  <c r="F204" i="18"/>
  <c r="F195" i="18"/>
  <c r="F194" i="18"/>
  <c r="F187" i="18"/>
  <c r="F183" i="18"/>
  <c r="F167" i="18"/>
  <c r="F166" i="18"/>
  <c r="F159" i="18"/>
  <c r="F158" i="18"/>
  <c r="F106" i="18"/>
  <c r="F99" i="18"/>
  <c r="F95" i="18"/>
  <c r="F91" i="18"/>
  <c r="F87" i="18"/>
  <c r="F83" i="18"/>
  <c r="F79" i="18"/>
  <c r="F75" i="18"/>
  <c r="F74" i="18"/>
  <c r="F205" i="18"/>
  <c r="F178" i="18"/>
  <c r="F150" i="18"/>
  <c r="F142" i="18"/>
  <c r="F141" i="18"/>
  <c r="F126" i="18"/>
  <c r="F122" i="18"/>
  <c r="D104" i="18"/>
  <c r="F104" i="18" s="1"/>
  <c r="F206" i="18"/>
  <c r="F173" i="18"/>
  <c r="F161" i="18"/>
  <c r="F160" i="18"/>
  <c r="F133" i="18"/>
  <c r="F117" i="18"/>
  <c r="F113" i="18"/>
  <c r="F109" i="18"/>
  <c r="F196" i="18"/>
  <c r="F188" i="18"/>
  <c r="F184" i="18"/>
  <c r="F180" i="18"/>
  <c r="F179" i="18"/>
  <c r="F168" i="18"/>
  <c r="F152" i="18"/>
  <c r="F151" i="18"/>
  <c r="F100" i="18"/>
  <c r="F96" i="18"/>
  <c r="F92" i="18"/>
  <c r="F88" i="18"/>
  <c r="F84" i="18"/>
  <c r="F80" i="18"/>
  <c r="F76" i="18"/>
  <c r="F163" i="18"/>
  <c r="F162" i="18"/>
  <c r="F143" i="18"/>
  <c r="F135" i="18"/>
  <c r="F134" i="18"/>
  <c r="F127" i="18"/>
  <c r="F123" i="18"/>
  <c r="F119" i="18"/>
  <c r="F118" i="18"/>
  <c r="F210" i="18"/>
  <c r="F197" i="18"/>
  <c r="F185" i="18"/>
  <c r="F181" i="18"/>
  <c r="F169" i="18"/>
  <c r="F164" i="18"/>
  <c r="F128" i="18"/>
  <c r="F124" i="18"/>
  <c r="F120" i="18"/>
  <c r="F199" i="18"/>
  <c r="F198" i="18"/>
  <c r="F191" i="18"/>
  <c r="F175" i="18"/>
  <c r="F155" i="18"/>
  <c r="F154" i="18"/>
  <c r="F147" i="18"/>
  <c r="F146" i="18"/>
  <c r="F115" i="18"/>
  <c r="F111" i="18"/>
  <c r="F202" i="18"/>
  <c r="F193" i="18"/>
  <c r="F192" i="18"/>
  <c r="F177" i="18"/>
  <c r="F176" i="18"/>
  <c r="F165" i="18"/>
  <c r="F157" i="18"/>
  <c r="F156" i="18"/>
  <c r="F149" i="18"/>
  <c r="F148" i="18"/>
  <c r="F125" i="18"/>
  <c r="F121" i="18"/>
  <c r="F186" i="18"/>
  <c r="F153" i="18"/>
  <c r="F129" i="18"/>
  <c r="F108" i="18"/>
  <c r="F93" i="18"/>
  <c r="F138" i="18"/>
  <c r="F110" i="18"/>
  <c r="F102" i="18"/>
  <c r="F145" i="18"/>
  <c r="F136" i="18"/>
  <c r="F132" i="18"/>
  <c r="F89" i="18"/>
  <c r="F78" i="18"/>
  <c r="F172" i="18"/>
  <c r="F98" i="18"/>
  <c r="F203" i="18"/>
  <c r="F201" i="18"/>
  <c r="F130" i="18"/>
  <c r="F112" i="18"/>
  <c r="F85" i="18"/>
  <c r="F174" i="18"/>
  <c r="F170" i="18"/>
  <c r="F114" i="18"/>
  <c r="F94" i="18"/>
  <c r="F189" i="18"/>
  <c r="F139" i="18"/>
  <c r="F116" i="18"/>
  <c r="F81" i="18"/>
  <c r="F107" i="18"/>
  <c r="F90" i="18"/>
  <c r="F171" i="18"/>
  <c r="F97" i="18"/>
  <c r="L12" i="18"/>
  <c r="N12" i="18" s="1"/>
  <c r="F137" i="18"/>
  <c r="F77" i="18"/>
  <c r="F190" i="18"/>
  <c r="F86" i="18"/>
  <c r="F101" i="18"/>
  <c r="F82" i="18"/>
  <c r="F182" i="18"/>
  <c r="F140" i="18"/>
  <c r="F144" i="18"/>
  <c r="F131" i="18"/>
  <c r="T192" i="15"/>
  <c r="V188" i="15"/>
  <c r="F86" i="12"/>
  <c r="X16" i="6"/>
  <c r="T27" i="111"/>
  <c r="Z18" i="111"/>
  <c r="H27" i="112"/>
  <c r="N18" i="112"/>
  <c r="X18" i="52"/>
  <c r="P27" i="52"/>
  <c r="H27" i="53"/>
  <c r="N18" i="53"/>
  <c r="H27" i="47"/>
  <c r="N18" i="47"/>
  <c r="H27" i="38"/>
  <c r="N18" i="38"/>
  <c r="T27" i="29"/>
  <c r="Z18" i="29"/>
  <c r="X18" i="29"/>
  <c r="P27" i="29"/>
  <c r="T27" i="28"/>
  <c r="Z18" i="28"/>
  <c r="H27" i="23"/>
  <c r="N18" i="23"/>
  <c r="X18" i="23"/>
  <c r="P27" i="23"/>
  <c r="H27" i="5"/>
  <c r="N18" i="5"/>
  <c r="D27" i="11"/>
  <c r="L18" i="11"/>
  <c r="H27" i="16"/>
  <c r="N18" i="16"/>
  <c r="D110" i="84" l="1"/>
  <c r="L34" i="84"/>
  <c r="N34" i="84" s="1"/>
  <c r="P75" i="59"/>
  <c r="N27" i="19"/>
  <c r="H31" i="19"/>
  <c r="N27" i="53"/>
  <c r="H31" i="53"/>
  <c r="L68" i="93"/>
  <c r="D68" i="80"/>
  <c r="L64" i="80"/>
  <c r="N64" i="80" s="1"/>
  <c r="H31" i="26"/>
  <c r="N27" i="26"/>
  <c r="T56" i="69"/>
  <c r="Z52" i="69"/>
  <c r="T74" i="109"/>
  <c r="V71" i="109"/>
  <c r="X22" i="33"/>
  <c r="Z22" i="33" s="1"/>
  <c r="P72" i="33"/>
  <c r="X34" i="88"/>
  <c r="P37" i="88"/>
  <c r="T58" i="99"/>
  <c r="X58" i="99" s="1"/>
  <c r="D31" i="10"/>
  <c r="L27" i="10"/>
  <c r="P31" i="52"/>
  <c r="X27" i="52"/>
  <c r="D72" i="33"/>
  <c r="L22" i="33"/>
  <c r="N22" i="33" s="1"/>
  <c r="P97" i="76"/>
  <c r="X93" i="76"/>
  <c r="Z93" i="76" s="1"/>
  <c r="R93" i="76"/>
  <c r="H71" i="109"/>
  <c r="J67" i="109"/>
  <c r="N27" i="22"/>
  <c r="H31" i="22"/>
  <c r="L62" i="68"/>
  <c r="D66" i="68"/>
  <c r="T97" i="76"/>
  <c r="V93" i="76"/>
  <c r="D58" i="102"/>
  <c r="L54" i="102"/>
  <c r="Z94" i="63"/>
  <c r="T98" i="63"/>
  <c r="X27" i="7"/>
  <c r="P31" i="7"/>
  <c r="F34" i="84"/>
  <c r="P78" i="83"/>
  <c r="L27" i="4"/>
  <c r="D31" i="4"/>
  <c r="T97" i="45"/>
  <c r="D81" i="92"/>
  <c r="Z27" i="32"/>
  <c r="T31" i="32"/>
  <c r="D31" i="40"/>
  <c r="L27" i="40"/>
  <c r="L85" i="15"/>
  <c r="N85" i="15" s="1"/>
  <c r="D188" i="15"/>
  <c r="H113" i="39"/>
  <c r="N109" i="39"/>
  <c r="J109" i="39"/>
  <c r="X23" i="82"/>
  <c r="Z23" i="82" s="1"/>
  <c r="P49" i="82"/>
  <c r="Z62" i="68"/>
  <c r="T66" i="68"/>
  <c r="N27" i="25"/>
  <c r="H31" i="25"/>
  <c r="X27" i="28"/>
  <c r="P31" i="28"/>
  <c r="X27" i="49"/>
  <c r="P31" i="49"/>
  <c r="H157" i="30"/>
  <c r="J154" i="30"/>
  <c r="P31" i="53"/>
  <c r="X27" i="53"/>
  <c r="D66" i="24"/>
  <c r="L62" i="24"/>
  <c r="N62" i="24" s="1"/>
  <c r="L41" i="27"/>
  <c r="N41" i="27" s="1"/>
  <c r="D100" i="27"/>
  <c r="T76" i="57"/>
  <c r="H69" i="105"/>
  <c r="X21" i="103"/>
  <c r="P81" i="103"/>
  <c r="H199" i="12"/>
  <c r="J196" i="12"/>
  <c r="L27" i="34"/>
  <c r="D31" i="34"/>
  <c r="L27" i="52"/>
  <c r="D31" i="52"/>
  <c r="P61" i="99"/>
  <c r="T31" i="26"/>
  <c r="Z27" i="26"/>
  <c r="H56" i="82"/>
  <c r="J53" i="82"/>
  <c r="H31" i="46"/>
  <c r="N27" i="46"/>
  <c r="H59" i="79"/>
  <c r="D31" i="111"/>
  <c r="L27" i="111"/>
  <c r="P58" i="60"/>
  <c r="X54" i="60"/>
  <c r="Z27" i="4"/>
  <c r="T31" i="4"/>
  <c r="H31" i="23"/>
  <c r="N27" i="23"/>
  <c r="X27" i="16"/>
  <c r="P31" i="16"/>
  <c r="D31" i="47"/>
  <c r="L27" i="47"/>
  <c r="T85" i="103"/>
  <c r="T31" i="23"/>
  <c r="Z27" i="23"/>
  <c r="D225" i="3"/>
  <c r="L110" i="3"/>
  <c r="N110" i="3" s="1"/>
  <c r="N27" i="52"/>
  <c r="H31" i="52"/>
  <c r="Z27" i="35"/>
  <c r="T31" i="35"/>
  <c r="N27" i="41"/>
  <c r="H31" i="41"/>
  <c r="Z27" i="28"/>
  <c r="T31" i="28"/>
  <c r="H121" i="36"/>
  <c r="J117" i="36"/>
  <c r="T59" i="79"/>
  <c r="H79" i="91"/>
  <c r="N27" i="34"/>
  <c r="H31" i="34"/>
  <c r="D75" i="58"/>
  <c r="L71" i="58"/>
  <c r="N71" i="58" s="1"/>
  <c r="N22" i="77"/>
  <c r="H26" i="77"/>
  <c r="L27" i="31"/>
  <c r="D31" i="31"/>
  <c r="D31" i="41"/>
  <c r="L27" i="41"/>
  <c r="H69" i="24"/>
  <c r="T79" i="91"/>
  <c r="X27" i="43"/>
  <c r="P31" i="43"/>
  <c r="L60" i="61"/>
  <c r="N60" i="61" s="1"/>
  <c r="D64" i="61"/>
  <c r="H67" i="72"/>
  <c r="X27" i="44"/>
  <c r="P31" i="44"/>
  <c r="T69" i="24"/>
  <c r="T105" i="9"/>
  <c r="T103" i="70"/>
  <c r="V99" i="70"/>
  <c r="D71" i="94"/>
  <c r="L20" i="94"/>
  <c r="D72" i="59"/>
  <c r="L68" i="59"/>
  <c r="P79" i="91"/>
  <c r="X75" i="91"/>
  <c r="Z75" i="91" s="1"/>
  <c r="Z27" i="13"/>
  <c r="T31" i="13"/>
  <c r="T31" i="53"/>
  <c r="Z27" i="53"/>
  <c r="P31" i="4"/>
  <c r="X27" i="4"/>
  <c r="P26" i="98"/>
  <c r="X22" i="98"/>
  <c r="T26" i="6"/>
  <c r="Z22" i="6"/>
  <c r="T31" i="5"/>
  <c r="Z27" i="5"/>
  <c r="X40" i="51"/>
  <c r="Z40" i="51" s="1"/>
  <c r="P93" i="51"/>
  <c r="H98" i="63"/>
  <c r="X54" i="99"/>
  <c r="Z54" i="99" s="1"/>
  <c r="L27" i="32"/>
  <c r="D31" i="32"/>
  <c r="D113" i="39"/>
  <c r="L109" i="39"/>
  <c r="F109" i="39"/>
  <c r="T31" i="52"/>
  <c r="Z27" i="52"/>
  <c r="P31" i="6"/>
  <c r="T91" i="87"/>
  <c r="L27" i="5"/>
  <c r="D31" i="5"/>
  <c r="D71" i="109"/>
  <c r="L67" i="109"/>
  <c r="N67" i="109" s="1"/>
  <c r="F67" i="109"/>
  <c r="D31" i="44"/>
  <c r="L27" i="44"/>
  <c r="X31" i="55"/>
  <c r="Z31" i="55" s="1"/>
  <c r="P35" i="55"/>
  <c r="L27" i="22"/>
  <c r="D31" i="22"/>
  <c r="D112" i="42"/>
  <c r="L108" i="42"/>
  <c r="F108" i="42"/>
  <c r="D58" i="60"/>
  <c r="L54" i="60"/>
  <c r="N54" i="60" s="1"/>
  <c r="N27" i="7"/>
  <c r="H31" i="7"/>
  <c r="L27" i="19"/>
  <c r="D31" i="19"/>
  <c r="L21" i="45"/>
  <c r="D93" i="45"/>
  <c r="X27" i="111"/>
  <c r="P31" i="111"/>
  <c r="X27" i="10"/>
  <c r="P31" i="10"/>
  <c r="T215" i="18"/>
  <c r="V212" i="18"/>
  <c r="D38" i="101"/>
  <c r="L34" i="101"/>
  <c r="N27" i="10"/>
  <c r="H31" i="10"/>
  <c r="L27" i="7"/>
  <c r="D31" i="7"/>
  <c r="R22" i="33"/>
  <c r="H85" i="103"/>
  <c r="Z27" i="10"/>
  <c r="T31" i="10"/>
  <c r="D108" i="9"/>
  <c r="D150" i="30"/>
  <c r="L62" i="30"/>
  <c r="N62" i="30" s="1"/>
  <c r="L65" i="107"/>
  <c r="D69" i="107"/>
  <c r="H31" i="43"/>
  <c r="N27" i="43"/>
  <c r="H103" i="70"/>
  <c r="J99" i="70"/>
  <c r="V56" i="82"/>
  <c r="J100" i="76"/>
  <c r="T31" i="8"/>
  <c r="Z27" i="8"/>
  <c r="L27" i="37"/>
  <c r="D31" i="37"/>
  <c r="H85" i="21"/>
  <c r="J81" i="21"/>
  <c r="T75" i="58"/>
  <c r="P188" i="15"/>
  <c r="X85" i="15"/>
  <c r="Z85" i="15" s="1"/>
  <c r="N27" i="35"/>
  <c r="H31" i="35"/>
  <c r="H31" i="50"/>
  <c r="N27" i="50"/>
  <c r="H26" i="98"/>
  <c r="N22" i="98"/>
  <c r="D31" i="17"/>
  <c r="L27" i="17"/>
  <c r="P31" i="108"/>
  <c r="X27" i="110"/>
  <c r="P31" i="110"/>
  <c r="T76" i="33"/>
  <c r="V72" i="33"/>
  <c r="P68" i="93"/>
  <c r="P88" i="21"/>
  <c r="L27" i="35"/>
  <c r="D31" i="35"/>
  <c r="N27" i="49"/>
  <c r="H31" i="49"/>
  <c r="P108" i="42"/>
  <c r="X20" i="42"/>
  <c r="Z20" i="42" s="1"/>
  <c r="X67" i="48"/>
  <c r="Z67" i="48" s="1"/>
  <c r="P71" i="48"/>
  <c r="R67" i="48"/>
  <c r="T78" i="92"/>
  <c r="H97" i="45"/>
  <c r="L62" i="74"/>
  <c r="N62" i="74" s="1"/>
  <c r="D132" i="74"/>
  <c r="D26" i="77"/>
  <c r="L22" i="77"/>
  <c r="P84" i="95"/>
  <c r="X19" i="95"/>
  <c r="Z19" i="95" s="1"/>
  <c r="L22" i="6"/>
  <c r="D26" i="6"/>
  <c r="L27" i="26"/>
  <c r="D31" i="26"/>
  <c r="L22" i="75"/>
  <c r="N22" i="75" s="1"/>
  <c r="D72" i="75"/>
  <c r="H71" i="48"/>
  <c r="J67" i="48"/>
  <c r="X62" i="68"/>
  <c r="P66" i="68"/>
  <c r="Z27" i="7"/>
  <c r="T31" i="7"/>
  <c r="Z27" i="41"/>
  <c r="T31" i="41"/>
  <c r="D117" i="36"/>
  <c r="L25" i="36"/>
  <c r="N25" i="36" s="1"/>
  <c r="X27" i="46"/>
  <c r="P31" i="46"/>
  <c r="Z34" i="88"/>
  <c r="T37" i="88"/>
  <c r="H68" i="93"/>
  <c r="N65" i="93"/>
  <c r="T31" i="14"/>
  <c r="Z27" i="14"/>
  <c r="T199" i="12"/>
  <c r="V196" i="12"/>
  <c r="X104" i="18"/>
  <c r="Z104" i="18" s="1"/>
  <c r="P208" i="18"/>
  <c r="H69" i="107"/>
  <c r="N65" i="107"/>
  <c r="H136" i="74"/>
  <c r="J132" i="74"/>
  <c r="L27" i="20"/>
  <c r="D31" i="20"/>
  <c r="D72" i="56"/>
  <c r="L68" i="56"/>
  <c r="N68" i="56" s="1"/>
  <c r="H34" i="88"/>
  <c r="N30" i="88"/>
  <c r="L30" i="88"/>
  <c r="L27" i="23"/>
  <c r="D31" i="23"/>
  <c r="L27" i="50"/>
  <c r="D31" i="50"/>
  <c r="L40" i="70"/>
  <c r="N40" i="70" s="1"/>
  <c r="D99" i="70"/>
  <c r="X30" i="85"/>
  <c r="P33" i="85"/>
  <c r="N27" i="8"/>
  <c r="H31" i="8"/>
  <c r="Z27" i="31"/>
  <c r="T31" i="31"/>
  <c r="L60" i="72"/>
  <c r="N60" i="72" s="1"/>
  <c r="D64" i="72"/>
  <c r="L27" i="28"/>
  <c r="D31" i="28"/>
  <c r="H35" i="55"/>
  <c r="N31" i="55"/>
  <c r="X27" i="11"/>
  <c r="P31" i="11"/>
  <c r="X27" i="112"/>
  <c r="P31" i="112"/>
  <c r="T76" i="75"/>
  <c r="Z72" i="75"/>
  <c r="V72" i="75"/>
  <c r="N27" i="28"/>
  <c r="H31" i="28"/>
  <c r="V74" i="48"/>
  <c r="N27" i="4"/>
  <c r="H31" i="4"/>
  <c r="Z27" i="38"/>
  <c r="T31" i="38"/>
  <c r="T195" i="15"/>
  <c r="V192" i="15"/>
  <c r="H31" i="111"/>
  <c r="N27" i="111"/>
  <c r="H76" i="97"/>
  <c r="D49" i="82"/>
  <c r="L23" i="82"/>
  <c r="N23" i="82" s="1"/>
  <c r="H30" i="85"/>
  <c r="J26" i="85"/>
  <c r="D81" i="21"/>
  <c r="L19" i="21"/>
  <c r="N19" i="21" s="1"/>
  <c r="N27" i="112"/>
  <c r="H31" i="112"/>
  <c r="D93" i="51"/>
  <c r="L40" i="51"/>
  <c r="N40" i="51" s="1"/>
  <c r="D31" i="11"/>
  <c r="L27" i="11"/>
  <c r="T31" i="29"/>
  <c r="Z27" i="29"/>
  <c r="Z27" i="111"/>
  <c r="T31" i="111"/>
  <c r="H72" i="56"/>
  <c r="F22" i="75"/>
  <c r="T114" i="84"/>
  <c r="V110" i="84"/>
  <c r="X32" i="100"/>
  <c r="Z32" i="100" s="1"/>
  <c r="P35" i="100"/>
  <c r="X35" i="100" s="1"/>
  <c r="Z35" i="100" s="1"/>
  <c r="H75" i="58"/>
  <c r="X27" i="14"/>
  <c r="P31" i="14"/>
  <c r="P31" i="41"/>
  <c r="X27" i="41"/>
  <c r="H215" i="18"/>
  <c r="J212" i="18"/>
  <c r="D26" i="54"/>
  <c r="L22" i="54"/>
  <c r="N52" i="69"/>
  <c r="H56" i="69"/>
  <c r="D76" i="57"/>
  <c r="L72" i="57"/>
  <c r="N72" i="57" s="1"/>
  <c r="L55" i="79"/>
  <c r="N55" i="79" s="1"/>
  <c r="D59" i="79"/>
  <c r="N27" i="31"/>
  <c r="H31" i="31"/>
  <c r="P26" i="54"/>
  <c r="X22" i="54"/>
  <c r="X72" i="75"/>
  <c r="P76" i="75"/>
  <c r="R72" i="75"/>
  <c r="X27" i="22"/>
  <c r="P31" i="22"/>
  <c r="D31" i="108"/>
  <c r="N71" i="83"/>
  <c r="H75" i="83"/>
  <c r="Z27" i="44"/>
  <c r="T31" i="44"/>
  <c r="X21" i="39"/>
  <c r="Z21" i="39" s="1"/>
  <c r="P109" i="39"/>
  <c r="Z76" i="97"/>
  <c r="T79" i="97"/>
  <c r="H72" i="59"/>
  <c r="N68" i="59"/>
  <c r="F40" i="70"/>
  <c r="P58" i="102"/>
  <c r="X54" i="102"/>
  <c r="Z54" i="102" s="1"/>
  <c r="R85" i="15"/>
  <c r="T31" i="17"/>
  <c r="Z27" i="17"/>
  <c r="N27" i="40"/>
  <c r="H31" i="40"/>
  <c r="D85" i="103"/>
  <c r="L81" i="103"/>
  <c r="N81" i="103" s="1"/>
  <c r="F81" i="103"/>
  <c r="H58" i="60"/>
  <c r="P31" i="26"/>
  <c r="X27" i="26"/>
  <c r="P31" i="13"/>
  <c r="X27" i="13"/>
  <c r="P31" i="38"/>
  <c r="X27" i="38"/>
  <c r="Z27" i="112"/>
  <c r="T31" i="112"/>
  <c r="H104" i="27"/>
  <c r="J100" i="27"/>
  <c r="P56" i="69"/>
  <c r="X52" i="69"/>
  <c r="T65" i="93"/>
  <c r="Z61" i="93"/>
  <c r="D31" i="14"/>
  <c r="L27" i="14"/>
  <c r="T26" i="54"/>
  <c r="Z22" i="54"/>
  <c r="P110" i="84"/>
  <c r="X34" i="84"/>
  <c r="Z34" i="84" s="1"/>
  <c r="X27" i="8"/>
  <c r="P31" i="8"/>
  <c r="D208" i="18"/>
  <c r="L104" i="18"/>
  <c r="N104" i="18" s="1"/>
  <c r="H35" i="100"/>
  <c r="H79" i="57"/>
  <c r="P192" i="12"/>
  <c r="X86" i="12"/>
  <c r="Z86" i="12" s="1"/>
  <c r="P105" i="9"/>
  <c r="X101" i="9"/>
  <c r="Z101" i="9" s="1"/>
  <c r="N27" i="16"/>
  <c r="H31" i="16"/>
  <c r="F25" i="36"/>
  <c r="T69" i="107"/>
  <c r="Z65" i="107"/>
  <c r="N27" i="32"/>
  <c r="H31" i="32"/>
  <c r="Z27" i="47"/>
  <c r="T31" i="47"/>
  <c r="P98" i="63"/>
  <c r="X94" i="63"/>
  <c r="P150" i="30"/>
  <c r="X62" i="30"/>
  <c r="Z62" i="30" s="1"/>
  <c r="H78" i="92"/>
  <c r="L78" i="92" s="1"/>
  <c r="N74" i="92"/>
  <c r="T31" i="19"/>
  <c r="Z27" i="19"/>
  <c r="L27" i="53"/>
  <c r="D31" i="53"/>
  <c r="X117" i="36"/>
  <c r="P121" i="36"/>
  <c r="R117" i="36"/>
  <c r="L27" i="110"/>
  <c r="D31" i="110"/>
  <c r="P75" i="94"/>
  <c r="X71" i="94"/>
  <c r="Z71" i="94" s="1"/>
  <c r="R71" i="94"/>
  <c r="X34" i="101"/>
  <c r="Z34" i="101" s="1"/>
  <c r="P38" i="101"/>
  <c r="Z27" i="11"/>
  <c r="T31" i="11"/>
  <c r="T31" i="34"/>
  <c r="Z27" i="34"/>
  <c r="P31" i="34"/>
  <c r="X27" i="34"/>
  <c r="Z27" i="40"/>
  <c r="T31" i="40"/>
  <c r="H229" i="3"/>
  <c r="J225" i="3"/>
  <c r="L22" i="98"/>
  <c r="D26" i="98"/>
  <c r="P31" i="35"/>
  <c r="X27" i="35"/>
  <c r="P66" i="24"/>
  <c r="X62" i="24"/>
  <c r="Z62" i="24" s="1"/>
  <c r="Z27" i="46"/>
  <c r="T31" i="46"/>
  <c r="P72" i="56"/>
  <c r="X68" i="56"/>
  <c r="Z68" i="56" s="1"/>
  <c r="P69" i="107"/>
  <c r="X65" i="107"/>
  <c r="D31" i="46"/>
  <c r="L27" i="46"/>
  <c r="X27" i="47"/>
  <c r="P31" i="47"/>
  <c r="X27" i="50"/>
  <c r="P31" i="50"/>
  <c r="L28" i="100"/>
  <c r="N28" i="100" s="1"/>
  <c r="D32" i="100"/>
  <c r="N27" i="29"/>
  <c r="H31" i="29"/>
  <c r="D196" i="12"/>
  <c r="L192" i="12"/>
  <c r="N192" i="12" s="1"/>
  <c r="F192" i="12"/>
  <c r="Z27" i="37"/>
  <c r="T31" i="37"/>
  <c r="L26" i="85"/>
  <c r="N26" i="85" s="1"/>
  <c r="D30" i="85"/>
  <c r="H192" i="15"/>
  <c r="J188" i="15"/>
  <c r="T28" i="104"/>
  <c r="Z24" i="104"/>
  <c r="N27" i="5"/>
  <c r="H31" i="5"/>
  <c r="H31" i="38"/>
  <c r="N27" i="38"/>
  <c r="F22" i="33"/>
  <c r="Z68" i="59"/>
  <c r="T72" i="59"/>
  <c r="X27" i="20"/>
  <c r="P31" i="20"/>
  <c r="Z81" i="21"/>
  <c r="T85" i="21"/>
  <c r="X85" i="21" s="1"/>
  <c r="V81" i="21"/>
  <c r="N22" i="54"/>
  <c r="H26" i="54"/>
  <c r="H114" i="84"/>
  <c r="J110" i="84"/>
  <c r="T67" i="72"/>
  <c r="X27" i="17"/>
  <c r="P31" i="17"/>
  <c r="P76" i="57"/>
  <c r="X72" i="57"/>
  <c r="Z72" i="57" s="1"/>
  <c r="N27" i="37"/>
  <c r="H31" i="37"/>
  <c r="P97" i="45"/>
  <c r="X93" i="45"/>
  <c r="Z93" i="45" s="1"/>
  <c r="R93" i="45"/>
  <c r="X55" i="79"/>
  <c r="Z55" i="79" s="1"/>
  <c r="T41" i="101"/>
  <c r="L27" i="8"/>
  <c r="D31" i="8"/>
  <c r="X60" i="61"/>
  <c r="Z60" i="61" s="1"/>
  <c r="P64" i="61"/>
  <c r="D79" i="91"/>
  <c r="L75" i="91"/>
  <c r="N75" i="91" s="1"/>
  <c r="H88" i="95"/>
  <c r="N84" i="95"/>
  <c r="L84" i="95"/>
  <c r="J84" i="95"/>
  <c r="H31" i="20"/>
  <c r="N27" i="20"/>
  <c r="P100" i="27"/>
  <c r="X41" i="27"/>
  <c r="Z41" i="27" s="1"/>
  <c r="T136" i="74"/>
  <c r="V132" i="74"/>
  <c r="N24" i="104"/>
  <c r="H28" i="104"/>
  <c r="H67" i="61"/>
  <c r="L27" i="13"/>
  <c r="D31" i="13"/>
  <c r="Z27" i="22"/>
  <c r="T31" i="22"/>
  <c r="X67" i="109"/>
  <c r="Z67" i="109" s="1"/>
  <c r="P71" i="109"/>
  <c r="R67" i="109"/>
  <c r="T31" i="20"/>
  <c r="Z27" i="20"/>
  <c r="X71" i="58"/>
  <c r="Z71" i="58" s="1"/>
  <c r="P75" i="58"/>
  <c r="N54" i="102"/>
  <c r="H58" i="102"/>
  <c r="Z27" i="16"/>
  <c r="T31" i="16"/>
  <c r="R40" i="51"/>
  <c r="H28" i="108"/>
  <c r="N24" i="108"/>
  <c r="P31" i="19"/>
  <c r="X27" i="19"/>
  <c r="L27" i="49"/>
  <c r="D31" i="49"/>
  <c r="P28" i="104"/>
  <c r="X24" i="104"/>
  <c r="X225" i="3"/>
  <c r="Z225" i="3" s="1"/>
  <c r="P229" i="3"/>
  <c r="R225" i="3"/>
  <c r="Z27" i="43"/>
  <c r="T31" i="43"/>
  <c r="D88" i="87"/>
  <c r="L84" i="87"/>
  <c r="N84" i="87" s="1"/>
  <c r="L65" i="105"/>
  <c r="N65" i="105" s="1"/>
  <c r="D69" i="105"/>
  <c r="X27" i="29"/>
  <c r="P31" i="29"/>
  <c r="N27" i="11"/>
  <c r="H31" i="11"/>
  <c r="H97" i="51"/>
  <c r="J93" i="51"/>
  <c r="X79" i="97"/>
  <c r="X27" i="23"/>
  <c r="P31" i="23"/>
  <c r="T28" i="108"/>
  <c r="Z24" i="108"/>
  <c r="Z27" i="50"/>
  <c r="T31" i="50"/>
  <c r="H76" i="33"/>
  <c r="J72" i="33"/>
  <c r="H66" i="68"/>
  <c r="N62" i="68"/>
  <c r="H38" i="101"/>
  <c r="N34" i="101"/>
  <c r="P31" i="31"/>
  <c r="X27" i="31"/>
  <c r="T234" i="3"/>
  <c r="V229" i="3"/>
  <c r="T58" i="60"/>
  <c r="Z54" i="60"/>
  <c r="L75" i="83"/>
  <c r="D78" i="83"/>
  <c r="H61" i="99"/>
  <c r="P62" i="79"/>
  <c r="X59" i="79"/>
  <c r="T58" i="102"/>
  <c r="T112" i="42"/>
  <c r="V108" i="42"/>
  <c r="N108" i="42"/>
  <c r="H112" i="42"/>
  <c r="J108" i="42"/>
  <c r="D76" i="97"/>
  <c r="L72" i="97"/>
  <c r="N72" i="97" s="1"/>
  <c r="T121" i="36"/>
  <c r="Z117" i="36"/>
  <c r="V117" i="36"/>
  <c r="P31" i="40"/>
  <c r="X27" i="40"/>
  <c r="L35" i="55"/>
  <c r="D38" i="55"/>
  <c r="X27" i="5"/>
  <c r="P31" i="5"/>
  <c r="D93" i="76"/>
  <c r="L40" i="76"/>
  <c r="N40" i="76" s="1"/>
  <c r="P69" i="105"/>
  <c r="X65" i="105"/>
  <c r="Z65" i="105" s="1"/>
  <c r="N27" i="44"/>
  <c r="H31" i="44"/>
  <c r="P31" i="25"/>
  <c r="X27" i="25"/>
  <c r="X27" i="37"/>
  <c r="P31" i="37"/>
  <c r="H75" i="94"/>
  <c r="T72" i="56"/>
  <c r="D28" i="104"/>
  <c r="L24" i="104"/>
  <c r="D74" i="48"/>
  <c r="F71" i="48"/>
  <c r="T35" i="55"/>
  <c r="P99" i="70"/>
  <c r="X40" i="70"/>
  <c r="Z40" i="70" s="1"/>
  <c r="P132" i="74"/>
  <c r="X62" i="74"/>
  <c r="Z62" i="74" s="1"/>
  <c r="D31" i="16"/>
  <c r="L27" i="16"/>
  <c r="H76" i="75"/>
  <c r="J72" i="75"/>
  <c r="T154" i="30"/>
  <c r="V150" i="30"/>
  <c r="H31" i="47"/>
  <c r="N27" i="47"/>
  <c r="P88" i="87"/>
  <c r="X84" i="87"/>
  <c r="Z84" i="87" s="1"/>
  <c r="F40" i="51"/>
  <c r="T30" i="85"/>
  <c r="Z26" i="85"/>
  <c r="V26" i="85"/>
  <c r="D31" i="43"/>
  <c r="L27" i="43"/>
  <c r="T116" i="39"/>
  <c r="V113" i="39"/>
  <c r="T97" i="51"/>
  <c r="V93" i="51"/>
  <c r="L52" i="69"/>
  <c r="D56" i="69"/>
  <c r="Z26" i="98"/>
  <c r="T29" i="98"/>
  <c r="Z29" i="98" s="1"/>
  <c r="H31" i="13"/>
  <c r="N27" i="13"/>
  <c r="F62" i="74"/>
  <c r="R34" i="84"/>
  <c r="L54" i="99"/>
  <c r="N54" i="99" s="1"/>
  <c r="D58" i="99"/>
  <c r="L67" i="48"/>
  <c r="N67" i="48" s="1"/>
  <c r="T88" i="95"/>
  <c r="V84" i="95"/>
  <c r="H31" i="14"/>
  <c r="N27" i="14"/>
  <c r="H31" i="17"/>
  <c r="N27" i="17"/>
  <c r="Z27" i="110"/>
  <c r="T31" i="110"/>
  <c r="P31" i="32"/>
  <c r="X27" i="32"/>
  <c r="T31" i="25"/>
  <c r="Z27" i="25"/>
  <c r="N27" i="110"/>
  <c r="H31" i="110"/>
  <c r="P64" i="72"/>
  <c r="X60" i="72"/>
  <c r="Z60" i="72" s="1"/>
  <c r="L27" i="25"/>
  <c r="D31" i="25"/>
  <c r="L27" i="29"/>
  <c r="D31" i="29"/>
  <c r="L27" i="38"/>
  <c r="D31" i="38"/>
  <c r="T26" i="77"/>
  <c r="Z22" i="77"/>
  <c r="X22" i="77"/>
  <c r="Z27" i="49"/>
  <c r="T31" i="49"/>
  <c r="N101" i="9"/>
  <c r="H105" i="9"/>
  <c r="T107" i="27"/>
  <c r="V104" i="27"/>
  <c r="D98" i="63"/>
  <c r="L94" i="63"/>
  <c r="N94" i="63" s="1"/>
  <c r="T72" i="105"/>
  <c r="D31" i="112"/>
  <c r="L27" i="112"/>
  <c r="P74" i="92"/>
  <c r="X18" i="92"/>
  <c r="T75" i="83"/>
  <c r="Z71" i="83"/>
  <c r="T36" i="25" l="1"/>
  <c r="Z36" i="25" s="1"/>
  <c r="Z31" i="25"/>
  <c r="D36" i="14"/>
  <c r="L31" i="14"/>
  <c r="H78" i="58"/>
  <c r="N31" i="35"/>
  <c r="H36" i="35"/>
  <c r="N36" i="35" s="1"/>
  <c r="L31" i="20"/>
  <c r="D36" i="20"/>
  <c r="H74" i="48"/>
  <c r="J71" i="48"/>
  <c r="L69" i="107"/>
  <c r="D72" i="107"/>
  <c r="X31" i="10"/>
  <c r="P36" i="10"/>
  <c r="X31" i="43"/>
  <c r="P36" i="43"/>
  <c r="P53" i="82"/>
  <c r="X49" i="82"/>
  <c r="Z49" i="82" s="1"/>
  <c r="R49" i="82"/>
  <c r="T78" i="83"/>
  <c r="L98" i="63"/>
  <c r="D101" i="63"/>
  <c r="P36" i="32"/>
  <c r="X31" i="32"/>
  <c r="P91" i="87"/>
  <c r="X91" i="87" s="1"/>
  <c r="X88" i="87"/>
  <c r="Z88" i="87" s="1"/>
  <c r="L31" i="16"/>
  <c r="D36" i="16"/>
  <c r="T115" i="42"/>
  <c r="V112" i="42"/>
  <c r="T61" i="60"/>
  <c r="X31" i="23"/>
  <c r="P36" i="23"/>
  <c r="L69" i="105"/>
  <c r="N69" i="105" s="1"/>
  <c r="D72" i="105"/>
  <c r="L72" i="105" s="1"/>
  <c r="X75" i="58"/>
  <c r="P78" i="58"/>
  <c r="L31" i="8"/>
  <c r="D36" i="8"/>
  <c r="X76" i="57"/>
  <c r="P79" i="57"/>
  <c r="D35" i="100"/>
  <c r="L35" i="100" s="1"/>
  <c r="L32" i="100"/>
  <c r="N32" i="100" s="1"/>
  <c r="Z31" i="46"/>
  <c r="T36" i="46"/>
  <c r="Z36" i="46" s="1"/>
  <c r="H234" i="3"/>
  <c r="J229" i="3"/>
  <c r="Z31" i="19"/>
  <c r="T36" i="19"/>
  <c r="Z36" i="19" s="1"/>
  <c r="Z31" i="47"/>
  <c r="T36" i="47"/>
  <c r="Z36" i="47" s="1"/>
  <c r="X76" i="75"/>
  <c r="P79" i="75"/>
  <c r="R76" i="75"/>
  <c r="D36" i="11"/>
  <c r="L31" i="11"/>
  <c r="D103" i="70"/>
  <c r="L99" i="70"/>
  <c r="N99" i="70" s="1"/>
  <c r="F99" i="70"/>
  <c r="V199" i="12"/>
  <c r="D76" i="75"/>
  <c r="L72" i="75"/>
  <c r="N72" i="75" s="1"/>
  <c r="F72" i="75"/>
  <c r="D136" i="74"/>
  <c r="L132" i="74"/>
  <c r="N132" i="74" s="1"/>
  <c r="F132" i="74"/>
  <c r="P112" i="42"/>
  <c r="X108" i="42"/>
  <c r="Z108" i="42" s="1"/>
  <c r="R108" i="42"/>
  <c r="X31" i="110"/>
  <c r="P36" i="110"/>
  <c r="L31" i="7"/>
  <c r="D36" i="7"/>
  <c r="D61" i="60"/>
  <c r="L58" i="60"/>
  <c r="L71" i="109"/>
  <c r="D74" i="109"/>
  <c r="F71" i="109"/>
  <c r="Z31" i="5"/>
  <c r="T36" i="5"/>
  <c r="Z36" i="5" s="1"/>
  <c r="P82" i="91"/>
  <c r="X79" i="91"/>
  <c r="D78" i="58"/>
  <c r="L78" i="58" s="1"/>
  <c r="L75" i="58"/>
  <c r="N75" i="58" s="1"/>
  <c r="H36" i="41"/>
  <c r="N36" i="41" s="1"/>
  <c r="N31" i="41"/>
  <c r="T36" i="26"/>
  <c r="Z36" i="26" s="1"/>
  <c r="Z31" i="26"/>
  <c r="T100" i="76"/>
  <c r="V97" i="76"/>
  <c r="N31" i="53"/>
  <c r="H36" i="53"/>
  <c r="N36" i="53" s="1"/>
  <c r="T31" i="108"/>
  <c r="Z31" i="108" s="1"/>
  <c r="Z28" i="108"/>
  <c r="X31" i="11"/>
  <c r="P36" i="11"/>
  <c r="H88" i="103"/>
  <c r="Z31" i="4"/>
  <c r="T36" i="4"/>
  <c r="Z36" i="4" s="1"/>
  <c r="D31" i="104"/>
  <c r="L28" i="104"/>
  <c r="P75" i="56"/>
  <c r="X72" i="56"/>
  <c r="X38" i="101"/>
  <c r="Z38" i="101" s="1"/>
  <c r="P41" i="101"/>
  <c r="X41" i="101" s="1"/>
  <c r="Z41" i="101" s="1"/>
  <c r="P113" i="39"/>
  <c r="X109" i="39"/>
  <c r="Z109" i="39" s="1"/>
  <c r="R109" i="39"/>
  <c r="T36" i="8"/>
  <c r="Z36" i="8" s="1"/>
  <c r="Z31" i="8"/>
  <c r="D229" i="3"/>
  <c r="L225" i="3"/>
  <c r="N225" i="3" s="1"/>
  <c r="F225" i="3"/>
  <c r="P36" i="53"/>
  <c r="X31" i="53"/>
  <c r="P100" i="76"/>
  <c r="X97" i="76"/>
  <c r="Z97" i="76" s="1"/>
  <c r="R97" i="76"/>
  <c r="L31" i="29"/>
  <c r="D36" i="29"/>
  <c r="Z31" i="110"/>
  <c r="T36" i="110"/>
  <c r="Z36" i="110" s="1"/>
  <c r="V116" i="39"/>
  <c r="X69" i="105"/>
  <c r="Z69" i="105" s="1"/>
  <c r="P72" i="105"/>
  <c r="X72" i="105" s="1"/>
  <c r="L31" i="13"/>
  <c r="D36" i="13"/>
  <c r="P104" i="27"/>
  <c r="X100" i="27"/>
  <c r="Z100" i="27" s="1"/>
  <c r="R100" i="27"/>
  <c r="X31" i="17"/>
  <c r="P36" i="17"/>
  <c r="X31" i="20"/>
  <c r="P36" i="20"/>
  <c r="H195" i="15"/>
  <c r="J192" i="15"/>
  <c r="T36" i="40"/>
  <c r="Z36" i="40" s="1"/>
  <c r="Z31" i="40"/>
  <c r="X105" i="9"/>
  <c r="P108" i="9"/>
  <c r="P36" i="13"/>
  <c r="X31" i="13"/>
  <c r="Z31" i="44"/>
  <c r="T36" i="44"/>
  <c r="Z36" i="44" s="1"/>
  <c r="D31" i="54"/>
  <c r="L26" i="54"/>
  <c r="N35" i="55"/>
  <c r="H38" i="55"/>
  <c r="N31" i="49"/>
  <c r="H36" i="49"/>
  <c r="N36" i="49" s="1"/>
  <c r="P192" i="15"/>
  <c r="X188" i="15"/>
  <c r="Z188" i="15" s="1"/>
  <c r="R188" i="15"/>
  <c r="X31" i="111"/>
  <c r="P36" i="111"/>
  <c r="L113" i="39"/>
  <c r="D116" i="39"/>
  <c r="F113" i="39"/>
  <c r="Z79" i="91"/>
  <c r="T82" i="91"/>
  <c r="N31" i="34"/>
  <c r="H36" i="34"/>
  <c r="N36" i="34" s="1"/>
  <c r="T36" i="23"/>
  <c r="Z36" i="23" s="1"/>
  <c r="Z31" i="23"/>
  <c r="P61" i="60"/>
  <c r="X61" i="60" s="1"/>
  <c r="X58" i="60"/>
  <c r="Z58" i="60" s="1"/>
  <c r="H72" i="105"/>
  <c r="D76" i="33"/>
  <c r="L72" i="33"/>
  <c r="N72" i="33" s="1"/>
  <c r="F72" i="33"/>
  <c r="X81" i="103"/>
  <c r="Z81" i="103" s="1"/>
  <c r="P85" i="103"/>
  <c r="R81" i="103"/>
  <c r="P36" i="38"/>
  <c r="X31" i="38"/>
  <c r="H36" i="47"/>
  <c r="N36" i="47" s="1"/>
  <c r="N31" i="47"/>
  <c r="P136" i="74"/>
  <c r="X132" i="74"/>
  <c r="Z132" i="74" s="1"/>
  <c r="R132" i="74"/>
  <c r="Z72" i="56"/>
  <c r="T75" i="56"/>
  <c r="Z121" i="36"/>
  <c r="T124" i="36"/>
  <c r="V121" i="36"/>
  <c r="Z58" i="102"/>
  <c r="T61" i="102"/>
  <c r="V234" i="3"/>
  <c r="H79" i="33"/>
  <c r="J76" i="33"/>
  <c r="X31" i="19"/>
  <c r="P36" i="19"/>
  <c r="X31" i="50"/>
  <c r="P36" i="50"/>
  <c r="N78" i="92"/>
  <c r="H81" i="92"/>
  <c r="L81" i="92" s="1"/>
  <c r="N31" i="32"/>
  <c r="H36" i="32"/>
  <c r="N36" i="32" s="1"/>
  <c r="T68" i="93"/>
  <c r="Z31" i="17"/>
  <c r="T36" i="17"/>
  <c r="Z36" i="17" s="1"/>
  <c r="T117" i="84"/>
  <c r="V114" i="84"/>
  <c r="L93" i="51"/>
  <c r="N93" i="51" s="1"/>
  <c r="D97" i="51"/>
  <c r="F93" i="51"/>
  <c r="H79" i="97"/>
  <c r="L31" i="28"/>
  <c r="D36" i="28"/>
  <c r="L31" i="50"/>
  <c r="D36" i="50"/>
  <c r="H139" i="74"/>
  <c r="J136" i="74"/>
  <c r="T36" i="14"/>
  <c r="Z36" i="14" s="1"/>
  <c r="Z31" i="14"/>
  <c r="L117" i="36"/>
  <c r="N117" i="36" s="1"/>
  <c r="D121" i="36"/>
  <c r="F117" i="36"/>
  <c r="L31" i="26"/>
  <c r="D36" i="26"/>
  <c r="H100" i="45"/>
  <c r="X28" i="108"/>
  <c r="Z75" i="58"/>
  <c r="T78" i="58"/>
  <c r="N31" i="10"/>
  <c r="H36" i="10"/>
  <c r="N36" i="10" s="1"/>
  <c r="L31" i="32"/>
  <c r="D36" i="32"/>
  <c r="T31" i="6"/>
  <c r="Z26" i="6"/>
  <c r="L72" i="59"/>
  <c r="D75" i="59"/>
  <c r="X31" i="44"/>
  <c r="P36" i="44"/>
  <c r="Z31" i="35"/>
  <c r="T36" i="35"/>
  <c r="Z36" i="35" s="1"/>
  <c r="T88" i="103"/>
  <c r="J157" i="30"/>
  <c r="L66" i="68"/>
  <c r="D69" i="68"/>
  <c r="N31" i="19"/>
  <c r="H36" i="19"/>
  <c r="N36" i="19" s="1"/>
  <c r="T36" i="29"/>
  <c r="Z36" i="29" s="1"/>
  <c r="Z31" i="29"/>
  <c r="V107" i="27"/>
  <c r="D36" i="25"/>
  <c r="L31" i="25"/>
  <c r="D97" i="76"/>
  <c r="L93" i="76"/>
  <c r="N93" i="76" s="1"/>
  <c r="F93" i="76"/>
  <c r="Z31" i="50"/>
  <c r="T36" i="50"/>
  <c r="Z36" i="50" s="1"/>
  <c r="D91" i="87"/>
  <c r="L91" i="87" s="1"/>
  <c r="N91" i="87" s="1"/>
  <c r="L88" i="87"/>
  <c r="N88" i="87" s="1"/>
  <c r="T36" i="20"/>
  <c r="Z36" i="20" s="1"/>
  <c r="Z31" i="20"/>
  <c r="H36" i="20"/>
  <c r="N36" i="20" s="1"/>
  <c r="N31" i="20"/>
  <c r="T75" i="59"/>
  <c r="L30" i="85"/>
  <c r="D33" i="85"/>
  <c r="P69" i="24"/>
  <c r="X69" i="24" s="1"/>
  <c r="Z69" i="24" s="1"/>
  <c r="X66" i="24"/>
  <c r="Z66" i="24" s="1"/>
  <c r="P78" i="94"/>
  <c r="X75" i="94"/>
  <c r="Z75" i="94" s="1"/>
  <c r="R75" i="94"/>
  <c r="X192" i="12"/>
  <c r="Z192" i="12" s="1"/>
  <c r="P196" i="12"/>
  <c r="R192" i="12"/>
  <c r="P36" i="26"/>
  <c r="X31" i="26"/>
  <c r="N75" i="83"/>
  <c r="H78" i="83"/>
  <c r="X26" i="54"/>
  <c r="P31" i="54"/>
  <c r="N31" i="112"/>
  <c r="H36" i="112"/>
  <c r="N36" i="112" s="1"/>
  <c r="N31" i="28"/>
  <c r="H36" i="28"/>
  <c r="N36" i="28" s="1"/>
  <c r="Z31" i="41"/>
  <c r="T36" i="41"/>
  <c r="Z36" i="41" s="1"/>
  <c r="L31" i="35"/>
  <c r="D36" i="35"/>
  <c r="X31" i="108"/>
  <c r="D97" i="45"/>
  <c r="L93" i="45"/>
  <c r="N93" i="45" s="1"/>
  <c r="F93" i="45"/>
  <c r="D115" i="42"/>
  <c r="L112" i="42"/>
  <c r="F112" i="42"/>
  <c r="L31" i="5"/>
  <c r="D36" i="5"/>
  <c r="D36" i="111"/>
  <c r="L31" i="111"/>
  <c r="L31" i="52"/>
  <c r="D36" i="52"/>
  <c r="X31" i="49"/>
  <c r="P36" i="49"/>
  <c r="T100" i="45"/>
  <c r="X31" i="7"/>
  <c r="P36" i="7"/>
  <c r="P36" i="52"/>
  <c r="X31" i="52"/>
  <c r="V74" i="109"/>
  <c r="X64" i="61"/>
  <c r="Z64" i="61" s="1"/>
  <c r="P67" i="61"/>
  <c r="X67" i="61" s="1"/>
  <c r="Z67" i="61" s="1"/>
  <c r="V215" i="18"/>
  <c r="Z31" i="28"/>
  <c r="T36" i="28"/>
  <c r="Z36" i="28" s="1"/>
  <c r="N31" i="17"/>
  <c r="H36" i="17"/>
  <c r="N36" i="17" s="1"/>
  <c r="P103" i="70"/>
  <c r="X99" i="70"/>
  <c r="Z99" i="70" s="1"/>
  <c r="R99" i="70"/>
  <c r="D79" i="97"/>
  <c r="L79" i="97" s="1"/>
  <c r="L76" i="97"/>
  <c r="N76" i="97" s="1"/>
  <c r="X31" i="47"/>
  <c r="P36" i="47"/>
  <c r="L31" i="110"/>
  <c r="D36" i="110"/>
  <c r="D67" i="72"/>
  <c r="L67" i="72" s="1"/>
  <c r="L64" i="72"/>
  <c r="N64" i="72" s="1"/>
  <c r="L150" i="30"/>
  <c r="N150" i="30" s="1"/>
  <c r="D154" i="30"/>
  <c r="F150" i="30"/>
  <c r="P29" i="98"/>
  <c r="X29" i="98" s="1"/>
  <c r="X26" i="98"/>
  <c r="D75" i="94"/>
  <c r="L71" i="94"/>
  <c r="N71" i="94" s="1"/>
  <c r="F71" i="94"/>
  <c r="H82" i="91"/>
  <c r="Z76" i="57"/>
  <c r="T79" i="57"/>
  <c r="L31" i="4"/>
  <c r="D36" i="4"/>
  <c r="N31" i="22"/>
  <c r="H36" i="22"/>
  <c r="N36" i="22" s="1"/>
  <c r="X31" i="8"/>
  <c r="P36" i="8"/>
  <c r="D61" i="102"/>
  <c r="L58" i="102"/>
  <c r="L31" i="38"/>
  <c r="D36" i="38"/>
  <c r="H69" i="68"/>
  <c r="N66" i="68"/>
  <c r="T31" i="104"/>
  <c r="Z31" i="104" s="1"/>
  <c r="Z28" i="104"/>
  <c r="H108" i="9"/>
  <c r="H36" i="13"/>
  <c r="N36" i="13" s="1"/>
  <c r="N31" i="13"/>
  <c r="T157" i="30"/>
  <c r="V154" i="30"/>
  <c r="Z31" i="43"/>
  <c r="T36" i="43"/>
  <c r="Z36" i="43" s="1"/>
  <c r="N28" i="108"/>
  <c r="H31" i="108"/>
  <c r="N31" i="108" s="1"/>
  <c r="X56" i="69"/>
  <c r="P59" i="69"/>
  <c r="N31" i="31"/>
  <c r="H36" i="31"/>
  <c r="N36" i="31" s="1"/>
  <c r="J215" i="18"/>
  <c r="L31" i="23"/>
  <c r="D36" i="23"/>
  <c r="N68" i="93"/>
  <c r="L26" i="6"/>
  <c r="D31" i="6"/>
  <c r="L31" i="6" s="1"/>
  <c r="N31" i="6" s="1"/>
  <c r="T81" i="92"/>
  <c r="L31" i="22"/>
  <c r="D36" i="22"/>
  <c r="H78" i="94"/>
  <c r="P36" i="31"/>
  <c r="X31" i="31"/>
  <c r="N28" i="104"/>
  <c r="H31" i="104"/>
  <c r="N31" i="104" s="1"/>
  <c r="T36" i="37"/>
  <c r="Z36" i="37" s="1"/>
  <c r="Z31" i="37"/>
  <c r="P36" i="35"/>
  <c r="X31" i="35"/>
  <c r="T72" i="107"/>
  <c r="Z69" i="107"/>
  <c r="P114" i="84"/>
  <c r="X110" i="84"/>
  <c r="Z110" i="84" s="1"/>
  <c r="R110" i="84"/>
  <c r="P61" i="102"/>
  <c r="X61" i="102" s="1"/>
  <c r="X58" i="102"/>
  <c r="H36" i="111"/>
  <c r="N36" i="111" s="1"/>
  <c r="N31" i="111"/>
  <c r="N69" i="107"/>
  <c r="H72" i="107"/>
  <c r="Z31" i="7"/>
  <c r="T36" i="7"/>
  <c r="Z36" i="7" s="1"/>
  <c r="D36" i="17"/>
  <c r="L31" i="17"/>
  <c r="L105" i="9"/>
  <c r="N105" i="9" s="1"/>
  <c r="L38" i="101"/>
  <c r="D41" i="101"/>
  <c r="L41" i="101" s="1"/>
  <c r="L31" i="19"/>
  <c r="D36" i="19"/>
  <c r="N67" i="72"/>
  <c r="L31" i="47"/>
  <c r="D36" i="47"/>
  <c r="H62" i="79"/>
  <c r="L31" i="34"/>
  <c r="D36" i="34"/>
  <c r="X31" i="28"/>
  <c r="P36" i="28"/>
  <c r="N113" i="39"/>
  <c r="H116" i="39"/>
  <c r="J113" i="39"/>
  <c r="Z98" i="63"/>
  <c r="T101" i="63"/>
  <c r="D36" i="10"/>
  <c r="L31" i="10"/>
  <c r="X72" i="59"/>
  <c r="Z72" i="59" s="1"/>
  <c r="X28" i="104"/>
  <c r="P31" i="104"/>
  <c r="N56" i="69"/>
  <c r="H59" i="69"/>
  <c r="N59" i="69" s="1"/>
  <c r="D71" i="80"/>
  <c r="L71" i="80" s="1"/>
  <c r="N71" i="80" s="1"/>
  <c r="L68" i="80"/>
  <c r="N68" i="80" s="1"/>
  <c r="D61" i="99"/>
  <c r="L61" i="99" s="1"/>
  <c r="L58" i="99"/>
  <c r="N58" i="99" s="1"/>
  <c r="Z31" i="22"/>
  <c r="T36" i="22"/>
  <c r="Z36" i="22" s="1"/>
  <c r="P78" i="92"/>
  <c r="X74" i="92"/>
  <c r="Z74" i="92" s="1"/>
  <c r="D36" i="43"/>
  <c r="L31" i="43"/>
  <c r="X31" i="5"/>
  <c r="P36" i="5"/>
  <c r="D36" i="112"/>
  <c r="L31" i="112"/>
  <c r="Z31" i="49"/>
  <c r="T36" i="49"/>
  <c r="Z36" i="49" s="1"/>
  <c r="P67" i="72"/>
  <c r="X67" i="72" s="1"/>
  <c r="Z67" i="72" s="1"/>
  <c r="X64" i="72"/>
  <c r="Z64" i="72" s="1"/>
  <c r="H36" i="14"/>
  <c r="N36" i="14" s="1"/>
  <c r="N31" i="14"/>
  <c r="T38" i="55"/>
  <c r="X31" i="37"/>
  <c r="P36" i="37"/>
  <c r="Z31" i="16"/>
  <c r="T36" i="16"/>
  <c r="Z36" i="16" s="1"/>
  <c r="L26" i="98"/>
  <c r="D29" i="98"/>
  <c r="L29" i="98" s="1"/>
  <c r="P36" i="34"/>
  <c r="X31" i="34"/>
  <c r="H107" i="27"/>
  <c r="J104" i="27"/>
  <c r="N58" i="60"/>
  <c r="H61" i="60"/>
  <c r="L28" i="108"/>
  <c r="L59" i="79"/>
  <c r="N59" i="79" s="1"/>
  <c r="D62" i="79"/>
  <c r="L62" i="79" s="1"/>
  <c r="X31" i="41"/>
  <c r="P36" i="41"/>
  <c r="N72" i="56"/>
  <c r="H75" i="56"/>
  <c r="D85" i="21"/>
  <c r="L81" i="21"/>
  <c r="N81" i="21" s="1"/>
  <c r="Z31" i="31"/>
  <c r="T36" i="31"/>
  <c r="Z36" i="31" s="1"/>
  <c r="H88" i="21"/>
  <c r="J85" i="21"/>
  <c r="L108" i="9"/>
  <c r="P38" i="55"/>
  <c r="X35" i="55"/>
  <c r="Z35" i="55" s="1"/>
  <c r="Z91" i="87"/>
  <c r="P36" i="4"/>
  <c r="X31" i="4"/>
  <c r="T106" i="70"/>
  <c r="V103" i="70"/>
  <c r="D36" i="41"/>
  <c r="L31" i="41"/>
  <c r="T62" i="79"/>
  <c r="Z59" i="79"/>
  <c r="X31" i="16"/>
  <c r="P36" i="16"/>
  <c r="L100" i="27"/>
  <c r="N100" i="27" s="1"/>
  <c r="D104" i="27"/>
  <c r="F100" i="27"/>
  <c r="D192" i="15"/>
  <c r="L188" i="15"/>
  <c r="N188" i="15" s="1"/>
  <c r="F188" i="15"/>
  <c r="X78" i="83"/>
  <c r="Z56" i="69"/>
  <c r="T59" i="69"/>
  <c r="Z59" i="69" s="1"/>
  <c r="X31" i="29"/>
  <c r="P36" i="29"/>
  <c r="T79" i="33"/>
  <c r="V76" i="33"/>
  <c r="Z31" i="32"/>
  <c r="T36" i="32"/>
  <c r="Z36" i="32" s="1"/>
  <c r="P36" i="40"/>
  <c r="X31" i="40"/>
  <c r="T88" i="21"/>
  <c r="X88" i="21" s="1"/>
  <c r="Z85" i="21"/>
  <c r="V85" i="21"/>
  <c r="N31" i="4"/>
  <c r="H36" i="4"/>
  <c r="N36" i="4" s="1"/>
  <c r="N38" i="101"/>
  <c r="H41" i="101"/>
  <c r="H100" i="51"/>
  <c r="J97" i="51"/>
  <c r="H91" i="95"/>
  <c r="J88" i="95"/>
  <c r="L88" i="95"/>
  <c r="N88" i="95" s="1"/>
  <c r="H117" i="84"/>
  <c r="J114" i="84"/>
  <c r="D36" i="46"/>
  <c r="L31" i="46"/>
  <c r="P124" i="36"/>
  <c r="X121" i="36"/>
  <c r="R121" i="36"/>
  <c r="N35" i="100"/>
  <c r="Z76" i="75"/>
  <c r="T79" i="75"/>
  <c r="V76" i="75"/>
  <c r="X66" i="68"/>
  <c r="Z66" i="68" s="1"/>
  <c r="P69" i="68"/>
  <c r="X69" i="68" s="1"/>
  <c r="X68" i="93"/>
  <c r="L31" i="37"/>
  <c r="D36" i="37"/>
  <c r="N31" i="7"/>
  <c r="H36" i="7"/>
  <c r="N36" i="7" s="1"/>
  <c r="X31" i="6"/>
  <c r="N98" i="63"/>
  <c r="H101" i="63"/>
  <c r="L31" i="31"/>
  <c r="D36" i="31"/>
  <c r="H36" i="46"/>
  <c r="N36" i="46" s="1"/>
  <c r="N31" i="46"/>
  <c r="N31" i="25"/>
  <c r="H36" i="25"/>
  <c r="N36" i="25" s="1"/>
  <c r="X75" i="83"/>
  <c r="Z75" i="83" s="1"/>
  <c r="T61" i="99"/>
  <c r="Z58" i="99"/>
  <c r="N31" i="44"/>
  <c r="H36" i="44"/>
  <c r="N36" i="44" s="1"/>
  <c r="D75" i="56"/>
  <c r="L75" i="56" s="1"/>
  <c r="L72" i="56"/>
  <c r="H36" i="43"/>
  <c r="N36" i="43" s="1"/>
  <c r="N31" i="43"/>
  <c r="T100" i="51"/>
  <c r="V97" i="51"/>
  <c r="L31" i="49"/>
  <c r="D36" i="49"/>
  <c r="L49" i="82"/>
  <c r="N49" i="82" s="1"/>
  <c r="D53" i="82"/>
  <c r="F49" i="82"/>
  <c r="N31" i="110"/>
  <c r="H36" i="110"/>
  <c r="N36" i="110" s="1"/>
  <c r="L56" i="69"/>
  <c r="D59" i="69"/>
  <c r="L59" i="69" s="1"/>
  <c r="X229" i="3"/>
  <c r="Z229" i="3" s="1"/>
  <c r="P234" i="3"/>
  <c r="R229" i="3"/>
  <c r="X97" i="45"/>
  <c r="Z97" i="45" s="1"/>
  <c r="P100" i="45"/>
  <c r="R97" i="45"/>
  <c r="H36" i="38"/>
  <c r="N36" i="38" s="1"/>
  <c r="N31" i="38"/>
  <c r="P154" i="30"/>
  <c r="X150" i="30"/>
  <c r="Z150" i="30" s="1"/>
  <c r="R150" i="30"/>
  <c r="X31" i="14"/>
  <c r="P36" i="14"/>
  <c r="Z31" i="111"/>
  <c r="T36" i="111"/>
  <c r="Z36" i="111" s="1"/>
  <c r="V195" i="15"/>
  <c r="X31" i="46"/>
  <c r="P36" i="46"/>
  <c r="P88" i="95"/>
  <c r="X84" i="95"/>
  <c r="Z84" i="95" s="1"/>
  <c r="N26" i="98"/>
  <c r="H29" i="98"/>
  <c r="N29" i="98" s="1"/>
  <c r="Z31" i="10"/>
  <c r="T36" i="10"/>
  <c r="Z36" i="10" s="1"/>
  <c r="Z72" i="105"/>
  <c r="H79" i="75"/>
  <c r="J76" i="75"/>
  <c r="L74" i="48"/>
  <c r="F74" i="48"/>
  <c r="L38" i="55"/>
  <c r="N112" i="42"/>
  <c r="H115" i="42"/>
  <c r="J112" i="42"/>
  <c r="N61" i="99"/>
  <c r="N31" i="11"/>
  <c r="H36" i="11"/>
  <c r="N36" i="11" s="1"/>
  <c r="N58" i="102"/>
  <c r="H61" i="102"/>
  <c r="N31" i="37"/>
  <c r="H36" i="37"/>
  <c r="N36" i="37" s="1"/>
  <c r="H31" i="54"/>
  <c r="N26" i="54"/>
  <c r="N31" i="5"/>
  <c r="H36" i="5"/>
  <c r="N36" i="5" s="1"/>
  <c r="T36" i="34"/>
  <c r="Z36" i="34" s="1"/>
  <c r="Z31" i="34"/>
  <c r="N31" i="16"/>
  <c r="H36" i="16"/>
  <c r="N36" i="16" s="1"/>
  <c r="Z26" i="54"/>
  <c r="T31" i="54"/>
  <c r="Z31" i="112"/>
  <c r="T36" i="112"/>
  <c r="Z36" i="112" s="1"/>
  <c r="N72" i="59"/>
  <c r="H75" i="59"/>
  <c r="N30" i="85"/>
  <c r="J30" i="85"/>
  <c r="H33" i="85"/>
  <c r="X31" i="112"/>
  <c r="P36" i="112"/>
  <c r="N31" i="8"/>
  <c r="H36" i="8"/>
  <c r="N36" i="8" s="1"/>
  <c r="H37" i="88"/>
  <c r="N34" i="88"/>
  <c r="L34" i="88"/>
  <c r="X208" i="18"/>
  <c r="Z208" i="18" s="1"/>
  <c r="P212" i="18"/>
  <c r="R208" i="18"/>
  <c r="X65" i="93"/>
  <c r="Z65" i="93" s="1"/>
  <c r="H106" i="70"/>
  <c r="J103" i="70"/>
  <c r="X26" i="6"/>
  <c r="T36" i="53"/>
  <c r="Z36" i="53" s="1"/>
  <c r="Z31" i="53"/>
  <c r="Z105" i="9"/>
  <c r="T108" i="9"/>
  <c r="N31" i="52"/>
  <c r="H36" i="52"/>
  <c r="N36" i="52" s="1"/>
  <c r="N71" i="109"/>
  <c r="H74" i="109"/>
  <c r="J71" i="109"/>
  <c r="X37" i="88"/>
  <c r="Z37" i="88" s="1"/>
  <c r="H36" i="26"/>
  <c r="N36" i="26" s="1"/>
  <c r="N31" i="26"/>
  <c r="Z26" i="77"/>
  <c r="T29" i="77"/>
  <c r="X26" i="77"/>
  <c r="N31" i="29"/>
  <c r="H36" i="29"/>
  <c r="N36" i="29" s="1"/>
  <c r="L85" i="103"/>
  <c r="N85" i="103" s="1"/>
  <c r="D88" i="103"/>
  <c r="F85" i="103"/>
  <c r="T36" i="52"/>
  <c r="Z36" i="52" s="1"/>
  <c r="Z31" i="52"/>
  <c r="P76" i="33"/>
  <c r="X72" i="33"/>
  <c r="Z72" i="33" s="1"/>
  <c r="R72" i="33"/>
  <c r="N31" i="40"/>
  <c r="H36" i="40"/>
  <c r="N36" i="40" s="1"/>
  <c r="T33" i="85"/>
  <c r="X33" i="85" s="1"/>
  <c r="Z30" i="85"/>
  <c r="V30" i="85"/>
  <c r="T91" i="95"/>
  <c r="V88" i="95"/>
  <c r="L71" i="48"/>
  <c r="N71" i="48" s="1"/>
  <c r="X31" i="25"/>
  <c r="P36" i="25"/>
  <c r="L78" i="83"/>
  <c r="X71" i="109"/>
  <c r="Z71" i="109" s="1"/>
  <c r="P74" i="109"/>
  <c r="R71" i="109"/>
  <c r="T139" i="74"/>
  <c r="V136" i="74"/>
  <c r="L79" i="91"/>
  <c r="N79" i="91" s="1"/>
  <c r="D82" i="91"/>
  <c r="L82" i="91" s="1"/>
  <c r="D199" i="12"/>
  <c r="L196" i="12"/>
  <c r="N196" i="12" s="1"/>
  <c r="F196" i="12"/>
  <c r="P72" i="107"/>
  <c r="X72" i="107" s="1"/>
  <c r="X69" i="107"/>
  <c r="Z31" i="11"/>
  <c r="T36" i="11"/>
  <c r="Z36" i="11" s="1"/>
  <c r="L31" i="53"/>
  <c r="D36" i="53"/>
  <c r="X98" i="63"/>
  <c r="P101" i="63"/>
  <c r="X101" i="63" s="1"/>
  <c r="L208" i="18"/>
  <c r="N208" i="18" s="1"/>
  <c r="D212" i="18"/>
  <c r="F208" i="18"/>
  <c r="Z79" i="97"/>
  <c r="X31" i="22"/>
  <c r="P36" i="22"/>
  <c r="L76" i="57"/>
  <c r="N76" i="57" s="1"/>
  <c r="D79" i="57"/>
  <c r="L79" i="57" s="1"/>
  <c r="N79" i="57" s="1"/>
  <c r="Z31" i="38"/>
  <c r="T36" i="38"/>
  <c r="Z36" i="38" s="1"/>
  <c r="D29" i="77"/>
  <c r="L29" i="77" s="1"/>
  <c r="L26" i="77"/>
  <c r="X71" i="48"/>
  <c r="Z71" i="48" s="1"/>
  <c r="P74" i="48"/>
  <c r="R71" i="48"/>
  <c r="H36" i="50"/>
  <c r="N36" i="50" s="1"/>
  <c r="N31" i="50"/>
  <c r="D36" i="44"/>
  <c r="L31" i="44"/>
  <c r="P97" i="51"/>
  <c r="X93" i="51"/>
  <c r="Z93" i="51" s="1"/>
  <c r="R93" i="51"/>
  <c r="Z31" i="13"/>
  <c r="T36" i="13"/>
  <c r="Z36" i="13" s="1"/>
  <c r="L64" i="61"/>
  <c r="N64" i="61" s="1"/>
  <c r="D67" i="61"/>
  <c r="L67" i="61" s="1"/>
  <c r="N67" i="61" s="1"/>
  <c r="H29" i="77"/>
  <c r="N29" i="77" s="1"/>
  <c r="N26" i="77"/>
  <c r="H124" i="36"/>
  <c r="J121" i="36"/>
  <c r="H36" i="23"/>
  <c r="N36" i="23" s="1"/>
  <c r="N31" i="23"/>
  <c r="J56" i="82"/>
  <c r="J199" i="12"/>
  <c r="L66" i="24"/>
  <c r="N66" i="24" s="1"/>
  <c r="D69" i="24"/>
  <c r="L69" i="24" s="1"/>
  <c r="N69" i="24" s="1"/>
  <c r="T69" i="68"/>
  <c r="D36" i="40"/>
  <c r="L31" i="40"/>
  <c r="D114" i="84"/>
  <c r="L110" i="84"/>
  <c r="N110" i="84" s="1"/>
  <c r="F110" i="84"/>
  <c r="X36" i="47" l="1"/>
  <c r="X36" i="14"/>
  <c r="X36" i="25"/>
  <c r="L36" i="35"/>
  <c r="L36" i="19"/>
  <c r="L36" i="49"/>
  <c r="X36" i="46"/>
  <c r="L36" i="34"/>
  <c r="X36" i="19"/>
  <c r="L36" i="10"/>
  <c r="X36" i="41"/>
  <c r="X36" i="37"/>
  <c r="L36" i="23"/>
  <c r="L36" i="41"/>
  <c r="L36" i="44"/>
  <c r="X36" i="8"/>
  <c r="X36" i="11"/>
  <c r="X36" i="28"/>
  <c r="L36" i="52"/>
  <c r="X36" i="26"/>
  <c r="X36" i="4"/>
  <c r="X36" i="34"/>
  <c r="L36" i="13"/>
  <c r="L36" i="16"/>
  <c r="L36" i="38"/>
  <c r="L36" i="25"/>
  <c r="L36" i="112"/>
  <c r="X36" i="112"/>
  <c r="L36" i="46"/>
  <c r="X36" i="5"/>
  <c r="X36" i="31"/>
  <c r="L36" i="111"/>
  <c r="L36" i="53"/>
  <c r="L36" i="47"/>
  <c r="Z62" i="79"/>
  <c r="D100" i="45"/>
  <c r="L97" i="45"/>
  <c r="N97" i="45" s="1"/>
  <c r="F97" i="45"/>
  <c r="N78" i="83"/>
  <c r="L97" i="51"/>
  <c r="N97" i="51" s="1"/>
  <c r="D100" i="51"/>
  <c r="F97" i="51"/>
  <c r="X112" i="42"/>
  <c r="Z112" i="42" s="1"/>
  <c r="P115" i="42"/>
  <c r="R112" i="42"/>
  <c r="X78" i="58"/>
  <c r="P56" i="82"/>
  <c r="X53" i="82"/>
  <c r="Z53" i="82" s="1"/>
  <c r="R53" i="82"/>
  <c r="X74" i="48"/>
  <c r="Z74" i="48" s="1"/>
  <c r="R74" i="48"/>
  <c r="D215" i="18"/>
  <c r="L212" i="18"/>
  <c r="N212" i="18" s="1"/>
  <c r="F212" i="18"/>
  <c r="N115" i="42"/>
  <c r="J115" i="42"/>
  <c r="Z101" i="63"/>
  <c r="P117" i="84"/>
  <c r="X114" i="84"/>
  <c r="Z114" i="84" s="1"/>
  <c r="R114" i="84"/>
  <c r="L36" i="4"/>
  <c r="X36" i="50"/>
  <c r="V124" i="36"/>
  <c r="X85" i="103"/>
  <c r="Z85" i="103" s="1"/>
  <c r="P88" i="103"/>
  <c r="R85" i="103"/>
  <c r="X36" i="111"/>
  <c r="X100" i="76"/>
  <c r="R100" i="76"/>
  <c r="P116" i="39"/>
  <c r="X113" i="39"/>
  <c r="Z113" i="39" s="1"/>
  <c r="R113" i="39"/>
  <c r="X36" i="43"/>
  <c r="L31" i="54"/>
  <c r="N31" i="54" s="1"/>
  <c r="L74" i="109"/>
  <c r="N74" i="109" s="1"/>
  <c r="F74" i="109"/>
  <c r="N37" i="88"/>
  <c r="L37" i="88"/>
  <c r="X62" i="79"/>
  <c r="L154" i="30"/>
  <c r="N154" i="30" s="1"/>
  <c r="D157" i="30"/>
  <c r="F154" i="30"/>
  <c r="P106" i="70"/>
  <c r="X103" i="70"/>
  <c r="Z103" i="70" s="1"/>
  <c r="R103" i="70"/>
  <c r="V117" i="84"/>
  <c r="X36" i="53"/>
  <c r="D139" i="74"/>
  <c r="L136" i="74"/>
  <c r="N136" i="74" s="1"/>
  <c r="F136" i="74"/>
  <c r="L36" i="11"/>
  <c r="X36" i="10"/>
  <c r="J195" i="15"/>
  <c r="Z29" i="77"/>
  <c r="X29" i="77"/>
  <c r="N101" i="63"/>
  <c r="Z72" i="107"/>
  <c r="P79" i="33"/>
  <c r="X76" i="33"/>
  <c r="Z76" i="33" s="1"/>
  <c r="R76" i="33"/>
  <c r="V100" i="51"/>
  <c r="X36" i="40"/>
  <c r="V106" i="70"/>
  <c r="N88" i="21"/>
  <c r="J88" i="21"/>
  <c r="J116" i="39"/>
  <c r="L33" i="85"/>
  <c r="X36" i="44"/>
  <c r="J139" i="74"/>
  <c r="X36" i="20"/>
  <c r="X36" i="23"/>
  <c r="Z79" i="75"/>
  <c r="V79" i="75"/>
  <c r="V157" i="30"/>
  <c r="X36" i="52"/>
  <c r="L36" i="5"/>
  <c r="L36" i="50"/>
  <c r="X75" i="56"/>
  <c r="Z75" i="56" s="1"/>
  <c r="L61" i="60"/>
  <c r="N61" i="60" s="1"/>
  <c r="X79" i="75"/>
  <c r="R79" i="75"/>
  <c r="X36" i="32"/>
  <c r="L72" i="107"/>
  <c r="L199" i="12"/>
  <c r="N199" i="12" s="1"/>
  <c r="F199" i="12"/>
  <c r="L31" i="108"/>
  <c r="L61" i="102"/>
  <c r="N61" i="102" s="1"/>
  <c r="X36" i="7"/>
  <c r="L69" i="68"/>
  <c r="N69" i="68" s="1"/>
  <c r="L75" i="59"/>
  <c r="N75" i="59" s="1"/>
  <c r="J79" i="33"/>
  <c r="L76" i="33"/>
  <c r="N76" i="33" s="1"/>
  <c r="D79" i="33"/>
  <c r="F76" i="33"/>
  <c r="X36" i="13"/>
  <c r="X36" i="17"/>
  <c r="L229" i="3"/>
  <c r="N229" i="3" s="1"/>
  <c r="D234" i="3"/>
  <c r="F229" i="3"/>
  <c r="L36" i="7"/>
  <c r="D79" i="75"/>
  <c r="L76" i="75"/>
  <c r="N76" i="75" s="1"/>
  <c r="F76" i="75"/>
  <c r="Z61" i="60"/>
  <c r="L101" i="63"/>
  <c r="N72" i="107"/>
  <c r="J234" i="3"/>
  <c r="D195" i="15"/>
  <c r="L192" i="15"/>
  <c r="N192" i="15" s="1"/>
  <c r="F192" i="15"/>
  <c r="P157" i="30"/>
  <c r="X154" i="30"/>
  <c r="Z154" i="30" s="1"/>
  <c r="R154" i="30"/>
  <c r="J100" i="51"/>
  <c r="L36" i="40"/>
  <c r="V139" i="74"/>
  <c r="Z91" i="95"/>
  <c r="V91" i="95"/>
  <c r="P91" i="95"/>
  <c r="X91" i="95" s="1"/>
  <c r="X88" i="95"/>
  <c r="Z88" i="95" s="1"/>
  <c r="X124" i="36"/>
  <c r="Z124" i="36" s="1"/>
  <c r="R124" i="36"/>
  <c r="L104" i="27"/>
  <c r="N104" i="27" s="1"/>
  <c r="D107" i="27"/>
  <c r="F104" i="27"/>
  <c r="X36" i="35"/>
  <c r="L36" i="22"/>
  <c r="N82" i="91"/>
  <c r="L36" i="110"/>
  <c r="X196" i="12"/>
  <c r="Z196" i="12" s="1"/>
  <c r="P199" i="12"/>
  <c r="R196" i="12"/>
  <c r="L36" i="26"/>
  <c r="L36" i="28"/>
  <c r="Z68" i="93"/>
  <c r="X136" i="74"/>
  <c r="Z136" i="74" s="1"/>
  <c r="P139" i="74"/>
  <c r="R136" i="74"/>
  <c r="L36" i="29"/>
  <c r="N78" i="58"/>
  <c r="Z78" i="58"/>
  <c r="N91" i="95"/>
  <c r="J91" i="95"/>
  <c r="L91" i="95"/>
  <c r="J124" i="36"/>
  <c r="J106" i="70"/>
  <c r="N33" i="85"/>
  <c r="J33" i="85"/>
  <c r="J79" i="75"/>
  <c r="L36" i="37"/>
  <c r="N41" i="101"/>
  <c r="V79" i="33"/>
  <c r="J107" i="27"/>
  <c r="X31" i="104"/>
  <c r="X59" i="69"/>
  <c r="X192" i="15"/>
  <c r="Z192" i="15" s="1"/>
  <c r="P195" i="15"/>
  <c r="R192" i="15"/>
  <c r="X36" i="110"/>
  <c r="X79" i="57"/>
  <c r="Z79" i="57" s="1"/>
  <c r="Z88" i="21"/>
  <c r="V88" i="21"/>
  <c r="L114" i="84"/>
  <c r="N114" i="84" s="1"/>
  <c r="D117" i="84"/>
  <c r="F114" i="84"/>
  <c r="J74" i="109"/>
  <c r="X36" i="16"/>
  <c r="L85" i="21"/>
  <c r="N85" i="21" s="1"/>
  <c r="D88" i="21"/>
  <c r="L88" i="21" s="1"/>
  <c r="Z38" i="55"/>
  <c r="L36" i="43"/>
  <c r="Z81" i="92"/>
  <c r="N108" i="9"/>
  <c r="L115" i="42"/>
  <c r="F115" i="42"/>
  <c r="L97" i="76"/>
  <c r="N97" i="76" s="1"/>
  <c r="D100" i="76"/>
  <c r="F97" i="76"/>
  <c r="Z31" i="6"/>
  <c r="N79" i="97"/>
  <c r="L116" i="39"/>
  <c r="N116" i="39" s="1"/>
  <c r="F116" i="39"/>
  <c r="X108" i="9"/>
  <c r="Z108" i="9" s="1"/>
  <c r="L31" i="104"/>
  <c r="V115" i="42"/>
  <c r="Z78" i="83"/>
  <c r="N74" i="48"/>
  <c r="J74" i="48"/>
  <c r="L36" i="14"/>
  <c r="X234" i="3"/>
  <c r="Z234" i="3" s="1"/>
  <c r="R234" i="3"/>
  <c r="P100" i="51"/>
  <c r="X97" i="51"/>
  <c r="Z97" i="51" s="1"/>
  <c r="R97" i="51"/>
  <c r="Z69" i="68"/>
  <c r="X36" i="22"/>
  <c r="X74" i="109"/>
  <c r="Z74" i="109" s="1"/>
  <c r="R74" i="109"/>
  <c r="L88" i="103"/>
  <c r="N88" i="103" s="1"/>
  <c r="F88" i="103"/>
  <c r="X100" i="45"/>
  <c r="Z100" i="45" s="1"/>
  <c r="R100" i="45"/>
  <c r="L53" i="82"/>
  <c r="N53" i="82" s="1"/>
  <c r="D56" i="82"/>
  <c r="F53" i="82"/>
  <c r="L36" i="31"/>
  <c r="X36" i="29"/>
  <c r="X38" i="55"/>
  <c r="N75" i="56"/>
  <c r="N62" i="79"/>
  <c r="L36" i="17"/>
  <c r="X75" i="59"/>
  <c r="Z75" i="59" s="1"/>
  <c r="X36" i="49"/>
  <c r="X31" i="54"/>
  <c r="Z31" i="54" s="1"/>
  <c r="L36" i="32"/>
  <c r="L121" i="36"/>
  <c r="N121" i="36" s="1"/>
  <c r="D124" i="36"/>
  <c r="F121" i="36"/>
  <c r="Z61" i="102"/>
  <c r="N72" i="105"/>
  <c r="X104" i="27"/>
  <c r="Z104" i="27" s="1"/>
  <c r="P107" i="27"/>
  <c r="R104" i="27"/>
  <c r="X82" i="91"/>
  <c r="Z82" i="91" s="1"/>
  <c r="L36" i="8"/>
  <c r="L36" i="20"/>
  <c r="Z33" i="85"/>
  <c r="V33" i="85"/>
  <c r="X212" i="18"/>
  <c r="Z212" i="18" s="1"/>
  <c r="P215" i="18"/>
  <c r="R212" i="18"/>
  <c r="J117" i="84"/>
  <c r="P81" i="92"/>
  <c r="X81" i="92" s="1"/>
  <c r="X78" i="92"/>
  <c r="Z78" i="92" s="1"/>
  <c r="L75" i="94"/>
  <c r="N75" i="94" s="1"/>
  <c r="D78" i="94"/>
  <c r="F75" i="94"/>
  <c r="X78" i="94"/>
  <c r="Z78" i="94" s="1"/>
  <c r="R78" i="94"/>
  <c r="N81" i="92"/>
  <c r="X36" i="38"/>
  <c r="X61" i="99"/>
  <c r="Z61" i="99" s="1"/>
  <c r="N38" i="55"/>
  <c r="Z100" i="76"/>
  <c r="V100" i="76"/>
  <c r="D106" i="70"/>
  <c r="L103" i="70"/>
  <c r="N103" i="70" s="1"/>
  <c r="F103" i="70"/>
  <c r="X100" i="51" l="1"/>
  <c r="Z100" i="51" s="1"/>
  <c r="R100" i="51"/>
  <c r="X199" i="12"/>
  <c r="Z199" i="12" s="1"/>
  <c r="R199" i="12"/>
  <c r="X106" i="70"/>
  <c r="Z106" i="70" s="1"/>
  <c r="R106" i="70"/>
  <c r="L195" i="15"/>
  <c r="N195" i="15" s="1"/>
  <c r="F195" i="15"/>
  <c r="L234" i="3"/>
  <c r="N234" i="3" s="1"/>
  <c r="F234" i="3"/>
  <c r="X115" i="42"/>
  <c r="Z115" i="42" s="1"/>
  <c r="R115" i="42"/>
  <c r="L106" i="70"/>
  <c r="N106" i="70" s="1"/>
  <c r="F106" i="70"/>
  <c r="L157" i="30"/>
  <c r="N157" i="30" s="1"/>
  <c r="F157" i="30"/>
  <c r="X195" i="15"/>
  <c r="Z195" i="15" s="1"/>
  <c r="R195" i="15"/>
  <c r="L100" i="51"/>
  <c r="N100" i="51" s="1"/>
  <c r="F100" i="51"/>
  <c r="L139" i="74"/>
  <c r="N139" i="74" s="1"/>
  <c r="F139" i="74"/>
  <c r="X116" i="39"/>
  <c r="Z116" i="39" s="1"/>
  <c r="R116" i="39"/>
  <c r="L56" i="82"/>
  <c r="N56" i="82" s="1"/>
  <c r="F56" i="82"/>
  <c r="L215" i="18"/>
  <c r="N215" i="18" s="1"/>
  <c r="F215" i="18"/>
  <c r="X107" i="27"/>
  <c r="Z107" i="27" s="1"/>
  <c r="R107" i="27"/>
  <c r="L100" i="76"/>
  <c r="N100" i="76" s="1"/>
  <c r="F100" i="76"/>
  <c r="X139" i="74"/>
  <c r="Z139" i="74" s="1"/>
  <c r="R139" i="74"/>
  <c r="X79" i="33"/>
  <c r="Z79" i="33" s="1"/>
  <c r="R79" i="33"/>
  <c r="X117" i="84"/>
  <c r="Z117" i="84" s="1"/>
  <c r="R117" i="84"/>
  <c r="L78" i="94"/>
  <c r="N78" i="94" s="1"/>
  <c r="F78" i="94"/>
  <c r="L117" i="84"/>
  <c r="N117" i="84" s="1"/>
  <c r="F117" i="84"/>
  <c r="L107" i="27"/>
  <c r="N107" i="27" s="1"/>
  <c r="F107" i="27"/>
  <c r="L79" i="33"/>
  <c r="N79" i="33" s="1"/>
  <c r="F79" i="33"/>
  <c r="X215" i="18"/>
  <c r="Z215" i="18" s="1"/>
  <c r="R215" i="18"/>
  <c r="X56" i="82"/>
  <c r="Z56" i="82" s="1"/>
  <c r="R56" i="82"/>
  <c r="L124" i="36"/>
  <c r="N124" i="36" s="1"/>
  <c r="F124" i="36"/>
  <c r="L100" i="45"/>
  <c r="N100" i="45" s="1"/>
  <c r="F100" i="45"/>
  <c r="X157" i="30"/>
  <c r="Z157" i="30" s="1"/>
  <c r="R157" i="30"/>
  <c r="L79" i="75"/>
  <c r="N79" i="75" s="1"/>
  <c r="F79" i="75"/>
  <c r="X88" i="103"/>
  <c r="Z88" i="103" s="1"/>
  <c r="R88" i="103"/>
</calcChain>
</file>

<file path=xl/sharedStrings.xml><?xml version="1.0" encoding="utf-8"?>
<sst xmlns="http://schemas.openxmlformats.org/spreadsheetml/2006/main" count="2870" uniqueCount="315">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</sst>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0" fillId="0" borderId="0" xfId="1" applyNumberFormat="1" applyFont="1" applyFill="1"/>
    <xf numFmtId="164" fontId="1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0" fillId="0" borderId="0" xfId="3" applyNumberFormat="1" applyFont="1" applyFill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0" fontId="0" fillId="0" borderId="0" xfId="0" applyFill="1"/>
    <xf numFmtId="0" fontId="2" fillId="0" borderId="0" xfId="0" applyFont="1" applyFill="1"/>
    <xf numFmtId="167" fontId="2" fillId="0" borderId="0" xfId="3" applyNumberFormat="1" applyFont="1" applyFill="1"/>
    <xf numFmtId="0" fontId="1" fillId="0" borderId="0" xfId="0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167" fontId="1" fillId="0" borderId="0" xfId="3" applyNumberFormat="1" applyFont="1" applyFill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168" fontId="2" fillId="2" borderId="3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7" fontId="0" fillId="0" borderId="0" xfId="0" applyNumberFormat="1" applyFill="1"/>
    <xf numFmtId="167" fontId="0" fillId="0" borderId="0" xfId="3" applyNumberFormat="1" applyFont="1"/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Continuous"/>
    </xf>
    <xf numFmtId="167" fontId="2" fillId="2" borderId="1" xfId="0" applyNumberFormat="1" applyFont="1" applyFill="1" applyBorder="1" applyAlignment="1">
      <alignment horizontal="center"/>
    </xf>
    <xf numFmtId="49" fontId="1" fillId="0" borderId="0" xfId="0" applyNumberFormat="1" applyFont="1" applyFill="1"/>
    <xf numFmtId="49" fontId="2" fillId="0" borderId="0" xfId="0" applyNumberFormat="1" applyFont="1" applyFill="1"/>
    <xf numFmtId="0" fontId="0" fillId="0" borderId="0" xfId="0" applyFill="1" applyAlignment="1">
      <alignment horizontal="centerContinuous"/>
    </xf>
    <xf numFmtId="0" fontId="0" fillId="0" borderId="0" xfId="0" applyBorder="1"/>
    <xf numFmtId="0" fontId="2" fillId="0" borderId="0" xfId="0" applyFont="1" applyFill="1" applyBorder="1"/>
    <xf numFmtId="0" fontId="3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66" fontId="3" fillId="0" borderId="0" xfId="0" applyNumberFormat="1" applyFont="1" applyAlignment="1">
      <alignment horizontal="left"/>
    </xf>
    <xf numFmtId="0" fontId="4" fillId="0" borderId="0" xfId="0" applyFont="1" applyFill="1"/>
    <xf numFmtId="164" fontId="2" fillId="0" borderId="0" xfId="1" applyNumberFormat="1" applyFont="1" applyFill="1" applyAlignment="1">
      <alignment horizontal="centerContinuous"/>
    </xf>
    <xf numFmtId="165" fontId="0" fillId="0" borderId="0" xfId="0" applyNumberFormat="1"/>
    <xf numFmtId="0" fontId="5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39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297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476908.15</v>
      </c>
      <c r="E12" s="4"/>
      <c r="F12" s="11"/>
      <c r="G12" s="4"/>
      <c r="H12" s="4">
        <f>SUM(OSRRefH13x_0)</f>
        <v>690357</v>
      </c>
      <c r="I12" s="4"/>
      <c r="J12" s="11"/>
      <c r="K12" s="4"/>
      <c r="L12" s="4">
        <f t="shared" ref="L12:L76" si="0">+D12-H12</f>
        <v>-213448.84999999998</v>
      </c>
      <c r="M12" s="4"/>
      <c r="N12" s="11">
        <f t="shared" ref="N12:N76" si="1">IF(H12=0,0,L12/H12)</f>
        <v>-0.30918618917458646</v>
      </c>
      <c r="O12" s="10"/>
      <c r="P12" s="4">
        <f>SUM(OSRRefP13x_0)</f>
        <v>476908.15</v>
      </c>
      <c r="Q12" s="4"/>
      <c r="R12" s="11"/>
      <c r="S12" s="4"/>
      <c r="T12" s="4">
        <f>SUM(OSRRefT13x_0)</f>
        <v>690357</v>
      </c>
      <c r="U12" s="4"/>
      <c r="V12" s="11"/>
      <c r="W12" s="4"/>
      <c r="X12" s="4">
        <f t="shared" ref="X12:X76" si="2">+P12-T12</f>
        <v>-213448.84999999998</v>
      </c>
      <c r="Y12" s="4"/>
      <c r="Z12" s="11">
        <f t="shared" ref="Z12:Z76" si="3">IF(T12=0,0,X12/T12)</f>
        <v>-0.30918618917458646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-11094.37</f>
        <v>-11094.37</v>
      </c>
      <c r="E13" s="3"/>
      <c r="F13" s="23"/>
      <c r="G13" s="3"/>
      <c r="H13" s="3">
        <v>624412</v>
      </c>
      <c r="I13" s="3"/>
      <c r="J13" s="23"/>
      <c r="K13" s="3"/>
      <c r="L13" s="3">
        <f t="shared" si="0"/>
        <v>-635506.37</v>
      </c>
      <c r="M13" s="3"/>
      <c r="N13" s="23">
        <f t="shared" si="1"/>
        <v>-1.0177677078595542</v>
      </c>
      <c r="O13" s="12"/>
      <c r="P13" s="3">
        <f>-11094.37</f>
        <v>-11094.37</v>
      </c>
      <c r="Q13" s="3"/>
      <c r="R13" s="23"/>
      <c r="S13" s="3"/>
      <c r="T13" s="3">
        <v>624412</v>
      </c>
      <c r="U13" s="3"/>
      <c r="V13" s="23"/>
      <c r="W13" s="3"/>
      <c r="X13" s="3">
        <f t="shared" si="2"/>
        <v>-635506.37</v>
      </c>
      <c r="Y13" s="3"/>
      <c r="Z13" s="23">
        <f t="shared" si="3"/>
        <v>-1.0177677078595542</v>
      </c>
    </row>
    <row r="14" spans="1:26" s="24" customFormat="1" hidden="1" outlineLevel="1" x14ac:dyDescent="0.25">
      <c r="A14" s="51"/>
      <c r="B14" s="12" t="str">
        <f>CONCATENATE("          ", "4001", " - ", "TAXABLE SALES-NEW TEXT")</f>
        <v xml:space="preserve">          4001 - TAXABLE SALES-NEW TEXT</v>
      </c>
      <c r="C14" s="12"/>
      <c r="D14" s="3">
        <f>--11947.85</f>
        <v>11947.85</v>
      </c>
      <c r="E14" s="3"/>
      <c r="F14" s="23"/>
      <c r="G14" s="3"/>
      <c r="H14" s="3"/>
      <c r="I14" s="3"/>
      <c r="J14" s="23"/>
      <c r="K14" s="3"/>
      <c r="L14" s="3">
        <f t="shared" si="0"/>
        <v>11947.85</v>
      </c>
      <c r="M14" s="3"/>
      <c r="N14" s="23">
        <f t="shared" si="1"/>
        <v>0</v>
      </c>
      <c r="O14" s="12"/>
      <c r="P14" s="3">
        <f>--11947.85</f>
        <v>11947.85</v>
      </c>
      <c r="Q14" s="3"/>
      <c r="R14" s="23"/>
      <c r="S14" s="3"/>
      <c r="T14" s="3"/>
      <c r="U14" s="3"/>
      <c r="V14" s="23"/>
      <c r="W14" s="3"/>
      <c r="X14" s="3">
        <f t="shared" si="2"/>
        <v>11947.85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"4002", " - ", "TAXABLE SALES-USED TEXT")</f>
        <v xml:space="preserve">          4002 - TAXABLE SALES-USED TEXT</v>
      </c>
      <c r="C15" s="12"/>
      <c r="D15" s="3">
        <f>--13029.34</f>
        <v>13029.34</v>
      </c>
      <c r="E15" s="3"/>
      <c r="F15" s="23"/>
      <c r="G15" s="3"/>
      <c r="H15" s="3"/>
      <c r="I15" s="3"/>
      <c r="J15" s="23"/>
      <c r="K15" s="3"/>
      <c r="L15" s="3">
        <f t="shared" si="0"/>
        <v>13029.34</v>
      </c>
      <c r="M15" s="3"/>
      <c r="N15" s="23">
        <f t="shared" si="1"/>
        <v>0</v>
      </c>
      <c r="O15" s="12"/>
      <c r="P15" s="3">
        <f>--13029.34</f>
        <v>13029.34</v>
      </c>
      <c r="Q15" s="3"/>
      <c r="R15" s="23"/>
      <c r="S15" s="3"/>
      <c r="T15" s="3"/>
      <c r="U15" s="3"/>
      <c r="V15" s="23"/>
      <c r="W15" s="3"/>
      <c r="X15" s="3">
        <f t="shared" si="2"/>
        <v>13029.34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"4014", " - ", "TAXABLE SALES-REMAINDERS")</f>
        <v xml:space="preserve">          4014 - TAXABLE SALES-REMAINDERS</v>
      </c>
      <c r="C16" s="12"/>
      <c r="D16" s="3">
        <f>--31.84</f>
        <v>31.84</v>
      </c>
      <c r="E16" s="3"/>
      <c r="F16" s="23"/>
      <c r="G16" s="3"/>
      <c r="H16" s="3"/>
      <c r="I16" s="3"/>
      <c r="J16" s="23"/>
      <c r="K16" s="3"/>
      <c r="L16" s="3">
        <f t="shared" si="0"/>
        <v>31.84</v>
      </c>
      <c r="M16" s="3"/>
      <c r="N16" s="23">
        <f t="shared" si="1"/>
        <v>0</v>
      </c>
      <c r="O16" s="12"/>
      <c r="P16" s="3">
        <f>--31.84</f>
        <v>31.84</v>
      </c>
      <c r="Q16" s="3"/>
      <c r="R16" s="23"/>
      <c r="S16" s="3"/>
      <c r="T16" s="3"/>
      <c r="U16" s="3"/>
      <c r="V16" s="23"/>
      <c r="W16" s="3"/>
      <c r="X16" s="3">
        <f t="shared" si="2"/>
        <v>31.84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"4018", " - ", "TAXABLE SALES-STUDY GUIDES")</f>
        <v xml:space="preserve">          4018 - TAXABLE SALES-STUDY GUIDES</v>
      </c>
      <c r="C17" s="12"/>
      <c r="D17" s="3">
        <f>--16.99</f>
        <v>16.989999999999998</v>
      </c>
      <c r="E17" s="3"/>
      <c r="F17" s="23"/>
      <c r="G17" s="3"/>
      <c r="H17" s="3"/>
      <c r="I17" s="3"/>
      <c r="J17" s="23"/>
      <c r="K17" s="3"/>
      <c r="L17" s="3">
        <f t="shared" si="0"/>
        <v>16.989999999999998</v>
      </c>
      <c r="M17" s="3"/>
      <c r="N17" s="23">
        <f t="shared" si="1"/>
        <v>0</v>
      </c>
      <c r="O17" s="12"/>
      <c r="P17" s="3">
        <f>--16.99</f>
        <v>16.989999999999998</v>
      </c>
      <c r="Q17" s="3"/>
      <c r="R17" s="23"/>
      <c r="S17" s="3"/>
      <c r="T17" s="3"/>
      <c r="U17" s="3"/>
      <c r="V17" s="23"/>
      <c r="W17" s="3"/>
      <c r="X17" s="3">
        <f t="shared" si="2"/>
        <v>16.989999999999998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"4026", " - ", "TAXABLE SALES-WRITING INSTRUME")</f>
        <v xml:space="preserve">          4026 - TAXABLE SALES-WRITING INSTRUME</v>
      </c>
      <c r="C18" s="12"/>
      <c r="D18" s="3">
        <f>--236.56</f>
        <v>236.56</v>
      </c>
      <c r="E18" s="3"/>
      <c r="F18" s="23"/>
      <c r="G18" s="3"/>
      <c r="H18" s="3"/>
      <c r="I18" s="3"/>
      <c r="J18" s="23"/>
      <c r="K18" s="3"/>
      <c r="L18" s="3">
        <f t="shared" si="0"/>
        <v>236.56</v>
      </c>
      <c r="M18" s="3"/>
      <c r="N18" s="23">
        <f t="shared" si="1"/>
        <v>0</v>
      </c>
      <c r="O18" s="12"/>
      <c r="P18" s="3">
        <f>--236.56</f>
        <v>236.56</v>
      </c>
      <c r="Q18" s="3"/>
      <c r="R18" s="23"/>
      <c r="S18" s="3"/>
      <c r="T18" s="3"/>
      <c r="U18" s="3"/>
      <c r="V18" s="23"/>
      <c r="W18" s="3"/>
      <c r="X18" s="3">
        <f t="shared" si="2"/>
        <v>236.56</v>
      </c>
      <c r="Y18" s="3"/>
      <c r="Z18" s="23">
        <f t="shared" si="3"/>
        <v>0</v>
      </c>
    </row>
    <row r="19" spans="1:26" s="24" customFormat="1" hidden="1" outlineLevel="1" x14ac:dyDescent="0.25">
      <c r="A19" s="51"/>
      <c r="B19" s="12" t="str">
        <f>CONCATENATE("          ", "4027", " - ", "TAXABLE SALES-SCHOOL SUPPLIES")</f>
        <v xml:space="preserve">          4027 - TAXABLE SALES-SCHOOL SUPPLIES</v>
      </c>
      <c r="C19" s="12"/>
      <c r="D19" s="3">
        <f>--1653.17</f>
        <v>1653.17</v>
      </c>
      <c r="E19" s="3"/>
      <c r="F19" s="23"/>
      <c r="G19" s="3"/>
      <c r="H19" s="3"/>
      <c r="I19" s="3"/>
      <c r="J19" s="23"/>
      <c r="K19" s="3"/>
      <c r="L19" s="3">
        <f t="shared" si="0"/>
        <v>1653.17</v>
      </c>
      <c r="M19" s="3"/>
      <c r="N19" s="23">
        <f t="shared" si="1"/>
        <v>0</v>
      </c>
      <c r="O19" s="12"/>
      <c r="P19" s="3">
        <f>--1653.17</f>
        <v>1653.17</v>
      </c>
      <c r="Q19" s="3"/>
      <c r="R19" s="23"/>
      <c r="S19" s="3"/>
      <c r="T19" s="3"/>
      <c r="U19" s="3"/>
      <c r="V19" s="23"/>
      <c r="W19" s="3"/>
      <c r="X19" s="3">
        <f t="shared" si="2"/>
        <v>1653.17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"4028", " - ", "TAXABLE SALES-ART/TECH")</f>
        <v xml:space="preserve">          4028 - TAXABLE SALES-ART/TECH</v>
      </c>
      <c r="C20" s="12"/>
      <c r="D20" s="3">
        <f>--19.85</f>
        <v>19.850000000000001</v>
      </c>
      <c r="E20" s="3"/>
      <c r="F20" s="23"/>
      <c r="G20" s="3"/>
      <c r="H20" s="3"/>
      <c r="I20" s="3"/>
      <c r="J20" s="23"/>
      <c r="K20" s="3"/>
      <c r="L20" s="3">
        <f t="shared" si="0"/>
        <v>19.850000000000001</v>
      </c>
      <c r="M20" s="3"/>
      <c r="N20" s="23">
        <f t="shared" si="1"/>
        <v>0</v>
      </c>
      <c r="O20" s="12"/>
      <c r="P20" s="3">
        <f>--19.85</f>
        <v>19.850000000000001</v>
      </c>
      <c r="Q20" s="3"/>
      <c r="R20" s="23"/>
      <c r="S20" s="3"/>
      <c r="T20" s="3"/>
      <c r="U20" s="3"/>
      <c r="V20" s="23"/>
      <c r="W20" s="3"/>
      <c r="X20" s="3">
        <f t="shared" si="2"/>
        <v>19.850000000000001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"4031", " - ", "TAXABLE SALES-FOOD")</f>
        <v xml:space="preserve">          4031 - TAXABLE SALES-FOOD</v>
      </c>
      <c r="C21" s="12"/>
      <c r="D21" s="3">
        <f>--19.75</f>
        <v>19.75</v>
      </c>
      <c r="E21" s="3"/>
      <c r="F21" s="23"/>
      <c r="G21" s="3"/>
      <c r="H21" s="3"/>
      <c r="I21" s="3"/>
      <c r="J21" s="23"/>
      <c r="K21" s="3"/>
      <c r="L21" s="3">
        <f t="shared" si="0"/>
        <v>19.75</v>
      </c>
      <c r="M21" s="3"/>
      <c r="N21" s="23">
        <f t="shared" si="1"/>
        <v>0</v>
      </c>
      <c r="O21" s="12"/>
      <c r="P21" s="3">
        <f>--19.75</f>
        <v>19.75</v>
      </c>
      <c r="Q21" s="3"/>
      <c r="R21" s="23"/>
      <c r="S21" s="3"/>
      <c r="T21" s="3"/>
      <c r="U21" s="3"/>
      <c r="V21" s="23"/>
      <c r="W21" s="3"/>
      <c r="X21" s="3">
        <f t="shared" si="2"/>
        <v>19.75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"4034", " - ", "TAXABLE SALES-SODA")</f>
        <v xml:space="preserve">          4034 - TAXABLE SALES-SODA</v>
      </c>
      <c r="C22" s="12"/>
      <c r="D22" s="3">
        <f>--6.78</f>
        <v>6.78</v>
      </c>
      <c r="E22" s="3"/>
      <c r="F22" s="23"/>
      <c r="G22" s="3"/>
      <c r="H22" s="3"/>
      <c r="I22" s="3"/>
      <c r="J22" s="23"/>
      <c r="K22" s="3"/>
      <c r="L22" s="3">
        <f t="shared" si="0"/>
        <v>6.78</v>
      </c>
      <c r="M22" s="3"/>
      <c r="N22" s="23">
        <f t="shared" si="1"/>
        <v>0</v>
      </c>
      <c r="O22" s="12"/>
      <c r="P22" s="3">
        <f>--6.78</f>
        <v>6.78</v>
      </c>
      <c r="Q22" s="3"/>
      <c r="R22" s="23"/>
      <c r="S22" s="3"/>
      <c r="T22" s="3"/>
      <c r="U22" s="3"/>
      <c r="V22" s="23"/>
      <c r="W22" s="3"/>
      <c r="X22" s="3">
        <f t="shared" si="2"/>
        <v>6.78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"4040", " - ", "TAXABLE SALES-LOGO CLOTHING")</f>
        <v xml:space="preserve">          4040 - TAXABLE SALES-LOGO CLOTHING</v>
      </c>
      <c r="C23" s="12"/>
      <c r="D23" s="3">
        <f>--72292.26</f>
        <v>72292.259999999995</v>
      </c>
      <c r="E23" s="3"/>
      <c r="F23" s="23"/>
      <c r="G23" s="3"/>
      <c r="H23" s="3"/>
      <c r="I23" s="3"/>
      <c r="J23" s="23"/>
      <c r="K23" s="3"/>
      <c r="L23" s="3">
        <f t="shared" si="0"/>
        <v>72292.259999999995</v>
      </c>
      <c r="M23" s="3"/>
      <c r="N23" s="23">
        <f t="shared" si="1"/>
        <v>0</v>
      </c>
      <c r="O23" s="12"/>
      <c r="P23" s="3">
        <f>--72292.26</f>
        <v>72292.259999999995</v>
      </c>
      <c r="Q23" s="3"/>
      <c r="R23" s="23"/>
      <c r="S23" s="3"/>
      <c r="T23" s="3"/>
      <c r="U23" s="3"/>
      <c r="V23" s="23"/>
      <c r="W23" s="3"/>
      <c r="X23" s="3">
        <f t="shared" si="2"/>
        <v>72292.259999999995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"4041", " - ", "TAXABLE SALES-LOGO GIFTS")</f>
        <v xml:space="preserve">          4041 - TAXABLE SALES-LOGO GIFTS</v>
      </c>
      <c r="C24" s="12"/>
      <c r="D24" s="3">
        <f>--21188.91</f>
        <v>21188.91</v>
      </c>
      <c r="E24" s="3"/>
      <c r="F24" s="23"/>
      <c r="G24" s="3"/>
      <c r="H24" s="3"/>
      <c r="I24" s="3"/>
      <c r="J24" s="23"/>
      <c r="K24" s="3"/>
      <c r="L24" s="3">
        <f t="shared" si="0"/>
        <v>21188.91</v>
      </c>
      <c r="M24" s="3"/>
      <c r="N24" s="23">
        <f t="shared" si="1"/>
        <v>0</v>
      </c>
      <c r="O24" s="12"/>
      <c r="P24" s="3">
        <f>--21188.91</f>
        <v>21188.91</v>
      </c>
      <c r="Q24" s="3"/>
      <c r="R24" s="23"/>
      <c r="S24" s="3"/>
      <c r="T24" s="3"/>
      <c r="U24" s="3"/>
      <c r="V24" s="23"/>
      <c r="W24" s="3"/>
      <c r="X24" s="3">
        <f t="shared" si="2"/>
        <v>21188.91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"4042", " - ", "TAXABLE SALES-EVERYDAY GIFTS")</f>
        <v xml:space="preserve">          4042 - TAXABLE SALES-EVERYDAY GIFTS</v>
      </c>
      <c r="C25" s="12"/>
      <c r="D25" s="3">
        <f>--9503.9</f>
        <v>9503.9</v>
      </c>
      <c r="E25" s="3"/>
      <c r="F25" s="23"/>
      <c r="G25" s="3"/>
      <c r="H25" s="3"/>
      <c r="I25" s="3"/>
      <c r="J25" s="23"/>
      <c r="K25" s="3"/>
      <c r="L25" s="3">
        <f t="shared" si="0"/>
        <v>9503.9</v>
      </c>
      <c r="M25" s="3"/>
      <c r="N25" s="23">
        <f t="shared" si="1"/>
        <v>0</v>
      </c>
      <c r="O25" s="12"/>
      <c r="P25" s="3">
        <f>--9503.9</f>
        <v>9503.9</v>
      </c>
      <c r="Q25" s="3"/>
      <c r="R25" s="23"/>
      <c r="S25" s="3"/>
      <c r="T25" s="3"/>
      <c r="U25" s="3"/>
      <c r="V25" s="23"/>
      <c r="W25" s="3"/>
      <c r="X25" s="3">
        <f t="shared" si="2"/>
        <v>9503.9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"4043", " - ", "TAXABLE SALES-CARDS")</f>
        <v xml:space="preserve">          4043 - TAXABLE SALES-CARDS</v>
      </c>
      <c r="C26" s="12"/>
      <c r="D26" s="3">
        <f>--217.36</f>
        <v>217.36</v>
      </c>
      <c r="E26" s="3"/>
      <c r="F26" s="23"/>
      <c r="G26" s="3"/>
      <c r="H26" s="3"/>
      <c r="I26" s="3"/>
      <c r="J26" s="23"/>
      <c r="K26" s="3"/>
      <c r="L26" s="3">
        <f t="shared" si="0"/>
        <v>217.36</v>
      </c>
      <c r="M26" s="3"/>
      <c r="N26" s="23">
        <f t="shared" si="1"/>
        <v>0</v>
      </c>
      <c r="O26" s="12"/>
      <c r="P26" s="3">
        <f>--217.36</f>
        <v>217.36</v>
      </c>
      <c r="Q26" s="3"/>
      <c r="R26" s="23"/>
      <c r="S26" s="3"/>
      <c r="T26" s="3"/>
      <c r="U26" s="3"/>
      <c r="V26" s="23"/>
      <c r="W26" s="3"/>
      <c r="X26" s="3">
        <f t="shared" si="2"/>
        <v>217.36</v>
      </c>
      <c r="Y26" s="3"/>
      <c r="Z26" s="23">
        <f t="shared" si="3"/>
        <v>0</v>
      </c>
    </row>
    <row r="27" spans="1:26" s="24" customFormat="1" hidden="1" outlineLevel="1" x14ac:dyDescent="0.25">
      <c r="A27" s="51"/>
      <c r="B27" s="12" t="str">
        <f>CONCATENATE("          ", "4044", " - ", "TAXABLE SALES-ACCESSORIES")</f>
        <v xml:space="preserve">          4044 - TAXABLE SALES-ACCESSORIES</v>
      </c>
      <c r="C27" s="12"/>
      <c r="D27" s="3">
        <f>--1800.68</f>
        <v>1800.68</v>
      </c>
      <c r="E27" s="3"/>
      <c r="F27" s="23"/>
      <c r="G27" s="3"/>
      <c r="H27" s="3"/>
      <c r="I27" s="3"/>
      <c r="J27" s="23"/>
      <c r="K27" s="3"/>
      <c r="L27" s="3">
        <f t="shared" si="0"/>
        <v>1800.68</v>
      </c>
      <c r="M27" s="3"/>
      <c r="N27" s="23">
        <f t="shared" si="1"/>
        <v>0</v>
      </c>
      <c r="O27" s="12"/>
      <c r="P27" s="3">
        <f>--1800.68</f>
        <v>1800.68</v>
      </c>
      <c r="Q27" s="3"/>
      <c r="R27" s="23"/>
      <c r="S27" s="3"/>
      <c r="T27" s="3"/>
      <c r="U27" s="3"/>
      <c r="V27" s="23"/>
      <c r="W27" s="3"/>
      <c r="X27" s="3">
        <f t="shared" si="2"/>
        <v>1800.68</v>
      </c>
      <c r="Y27" s="3"/>
      <c r="Z27" s="23">
        <f t="shared" si="3"/>
        <v>0</v>
      </c>
    </row>
    <row r="28" spans="1:26" s="24" customFormat="1" hidden="1" outlineLevel="1" x14ac:dyDescent="0.25">
      <c r="A28" s="51"/>
      <c r="B28" s="12" t="str">
        <f>CONCATENATE("          ", "4045", " - ", "TAXABLE SALES-SPECIAL ORDERS")</f>
        <v xml:space="preserve">          4045 - TAXABLE SALES-SPECIAL ORDERS</v>
      </c>
      <c r="C28" s="12"/>
      <c r="D28" s="3">
        <f>--43426.73</f>
        <v>43426.73</v>
      </c>
      <c r="E28" s="3"/>
      <c r="F28" s="23"/>
      <c r="G28" s="3"/>
      <c r="H28" s="3"/>
      <c r="I28" s="3"/>
      <c r="J28" s="23"/>
      <c r="K28" s="3"/>
      <c r="L28" s="3">
        <f t="shared" si="0"/>
        <v>43426.73</v>
      </c>
      <c r="M28" s="3"/>
      <c r="N28" s="23">
        <f t="shared" si="1"/>
        <v>0</v>
      </c>
      <c r="O28" s="12"/>
      <c r="P28" s="3">
        <f>--43426.73</f>
        <v>43426.73</v>
      </c>
      <c r="Q28" s="3"/>
      <c r="R28" s="23"/>
      <c r="S28" s="3"/>
      <c r="T28" s="3"/>
      <c r="U28" s="3"/>
      <c r="V28" s="23"/>
      <c r="W28" s="3"/>
      <c r="X28" s="3">
        <f t="shared" si="2"/>
        <v>43426.73</v>
      </c>
      <c r="Y28" s="3"/>
      <c r="Z28" s="23">
        <f t="shared" si="3"/>
        <v>0</v>
      </c>
    </row>
    <row r="29" spans="1:26" s="24" customFormat="1" hidden="1" outlineLevel="1" x14ac:dyDescent="0.25">
      <c r="A29" s="51"/>
      <c r="B29" s="12" t="str">
        <f>CONCATENATE("          ", "4053", " - ", "TAXABLE SALES-FOOD")</f>
        <v xml:space="preserve">          4053 - TAXABLE SALES-FOOD</v>
      </c>
      <c r="C29" s="12"/>
      <c r="D29" s="3">
        <f>--199.89</f>
        <v>199.89</v>
      </c>
      <c r="E29" s="3"/>
      <c r="F29" s="23"/>
      <c r="G29" s="3"/>
      <c r="H29" s="3"/>
      <c r="I29" s="3"/>
      <c r="J29" s="23"/>
      <c r="K29" s="3"/>
      <c r="L29" s="3">
        <f t="shared" si="0"/>
        <v>199.89</v>
      </c>
      <c r="M29" s="3"/>
      <c r="N29" s="23">
        <f t="shared" si="1"/>
        <v>0</v>
      </c>
      <c r="O29" s="12"/>
      <c r="P29" s="3">
        <f>--199.89</f>
        <v>199.89</v>
      </c>
      <c r="Q29" s="3"/>
      <c r="R29" s="23"/>
      <c r="S29" s="3"/>
      <c r="T29" s="3"/>
      <c r="U29" s="3"/>
      <c r="V29" s="23"/>
      <c r="W29" s="3"/>
      <c r="X29" s="3">
        <f t="shared" si="2"/>
        <v>199.89</v>
      </c>
      <c r="Y29" s="3"/>
      <c r="Z29" s="23">
        <f t="shared" si="3"/>
        <v>0</v>
      </c>
    </row>
    <row r="30" spans="1:26" s="24" customFormat="1" hidden="1" outlineLevel="1" x14ac:dyDescent="0.25">
      <c r="A30" s="51"/>
      <c r="B30" s="12" t="str">
        <f>CONCATENATE("          ", "4058", " - ", "TAXABLE SALES-FOOD")</f>
        <v xml:space="preserve">          4058 - TAXABLE SALES-FOOD</v>
      </c>
      <c r="C30" s="12"/>
      <c r="D30" s="3">
        <f>--974.91</f>
        <v>974.91</v>
      </c>
      <c r="E30" s="3"/>
      <c r="F30" s="23"/>
      <c r="G30" s="3"/>
      <c r="H30" s="3"/>
      <c r="I30" s="3"/>
      <c r="J30" s="23"/>
      <c r="K30" s="3"/>
      <c r="L30" s="3">
        <f t="shared" si="0"/>
        <v>974.91</v>
      </c>
      <c r="M30" s="3"/>
      <c r="N30" s="23">
        <f t="shared" si="1"/>
        <v>0</v>
      </c>
      <c r="O30" s="12"/>
      <c r="P30" s="3">
        <f>--974.91</f>
        <v>974.91</v>
      </c>
      <c r="Q30" s="3"/>
      <c r="R30" s="23"/>
      <c r="S30" s="3"/>
      <c r="T30" s="3"/>
      <c r="U30" s="3"/>
      <c r="V30" s="23"/>
      <c r="W30" s="3"/>
      <c r="X30" s="3">
        <f t="shared" si="2"/>
        <v>974.91</v>
      </c>
      <c r="Y30" s="3"/>
      <c r="Z30" s="23">
        <f t="shared" si="3"/>
        <v>0</v>
      </c>
    </row>
    <row r="31" spans="1:26" s="24" customFormat="1" hidden="1" outlineLevel="1" x14ac:dyDescent="0.25">
      <c r="A31" s="51"/>
      <c r="B31" s="12" t="str">
        <f>CONCATENATE("          ", "4081", " - ", "TAXABLE SALES-ELECTRONICS")</f>
        <v xml:space="preserve">          4081 - TAXABLE SALES-ELECTRONICS</v>
      </c>
      <c r="C31" s="12"/>
      <c r="D31" s="3">
        <f>--21557.16</f>
        <v>21557.16</v>
      </c>
      <c r="E31" s="3"/>
      <c r="F31" s="23"/>
      <c r="G31" s="3"/>
      <c r="H31" s="3"/>
      <c r="I31" s="3"/>
      <c r="J31" s="23"/>
      <c r="K31" s="3"/>
      <c r="L31" s="3">
        <f t="shared" si="0"/>
        <v>21557.16</v>
      </c>
      <c r="M31" s="3"/>
      <c r="N31" s="23">
        <f t="shared" si="1"/>
        <v>0</v>
      </c>
      <c r="O31" s="12"/>
      <c r="P31" s="3">
        <f>--21557.16</f>
        <v>21557.16</v>
      </c>
      <c r="Q31" s="3"/>
      <c r="R31" s="23"/>
      <c r="S31" s="3"/>
      <c r="T31" s="3"/>
      <c r="U31" s="3"/>
      <c r="V31" s="23"/>
      <c r="W31" s="3"/>
      <c r="X31" s="3">
        <f t="shared" si="2"/>
        <v>21557.16</v>
      </c>
      <c r="Y31" s="3"/>
      <c r="Z31" s="23">
        <f t="shared" si="3"/>
        <v>0</v>
      </c>
    </row>
    <row r="32" spans="1:26" s="24" customFormat="1" hidden="1" outlineLevel="1" x14ac:dyDescent="0.25">
      <c r="A32" s="51"/>
      <c r="B32" s="12" t="str">
        <f>CONCATENATE("          ", "4082", " - ", "TAXABLE SALES-COMPUTER HARDWAR")</f>
        <v xml:space="preserve">          4082 - TAXABLE SALES-COMPUTER HARDWAR</v>
      </c>
      <c r="C32" s="12"/>
      <c r="D32" s="3">
        <f>--137228.87</f>
        <v>137228.87</v>
      </c>
      <c r="E32" s="3"/>
      <c r="F32" s="23"/>
      <c r="G32" s="3"/>
      <c r="H32" s="3"/>
      <c r="I32" s="3"/>
      <c r="J32" s="23"/>
      <c r="K32" s="3"/>
      <c r="L32" s="3">
        <f t="shared" si="0"/>
        <v>137228.87</v>
      </c>
      <c r="M32" s="3"/>
      <c r="N32" s="23">
        <f t="shared" si="1"/>
        <v>0</v>
      </c>
      <c r="O32" s="12"/>
      <c r="P32" s="3">
        <f>--137228.87</f>
        <v>137228.87</v>
      </c>
      <c r="Q32" s="3"/>
      <c r="R32" s="23"/>
      <c r="S32" s="3"/>
      <c r="T32" s="3"/>
      <c r="U32" s="3"/>
      <c r="V32" s="23"/>
      <c r="W32" s="3"/>
      <c r="X32" s="3">
        <f t="shared" si="2"/>
        <v>137228.87</v>
      </c>
      <c r="Y32" s="3"/>
      <c r="Z32" s="23">
        <f t="shared" si="3"/>
        <v>0</v>
      </c>
    </row>
    <row r="33" spans="1:26" s="24" customFormat="1" hidden="1" outlineLevel="1" x14ac:dyDescent="0.25">
      <c r="A33" s="51"/>
      <c r="B33" s="12" t="str">
        <f>CONCATENATE("          ", "4083", " - ", "TAXABLE SALES-COMPUTER EQUIPME")</f>
        <v xml:space="preserve">          4083 - TAXABLE SALES-COMPUTER EQUIPME</v>
      </c>
      <c r="C33" s="12"/>
      <c r="D33" s="3">
        <f>--6790.15</f>
        <v>6790.15</v>
      </c>
      <c r="E33" s="3"/>
      <c r="F33" s="23"/>
      <c r="G33" s="3"/>
      <c r="H33" s="3"/>
      <c r="I33" s="3"/>
      <c r="J33" s="23"/>
      <c r="K33" s="3"/>
      <c r="L33" s="3">
        <f t="shared" si="0"/>
        <v>6790.15</v>
      </c>
      <c r="M33" s="3"/>
      <c r="N33" s="23">
        <f t="shared" si="1"/>
        <v>0</v>
      </c>
      <c r="O33" s="12"/>
      <c r="P33" s="3">
        <f>--6790.15</f>
        <v>6790.15</v>
      </c>
      <c r="Q33" s="3"/>
      <c r="R33" s="23"/>
      <c r="S33" s="3"/>
      <c r="T33" s="3"/>
      <c r="U33" s="3"/>
      <c r="V33" s="23"/>
      <c r="W33" s="3"/>
      <c r="X33" s="3">
        <f t="shared" si="2"/>
        <v>6790.15</v>
      </c>
      <c r="Y33" s="3"/>
      <c r="Z33" s="23">
        <f t="shared" si="3"/>
        <v>0</v>
      </c>
    </row>
    <row r="34" spans="1:26" s="24" customFormat="1" hidden="1" outlineLevel="1" x14ac:dyDescent="0.25">
      <c r="A34" s="51"/>
      <c r="B34" s="12" t="str">
        <f>CONCATENATE("          ", "4086", " - ", "TAXABLE SALES-COMPUTER SUPPLIE")</f>
        <v xml:space="preserve">          4086 - TAXABLE SALES-COMPUTER SUPPLIE</v>
      </c>
      <c r="C34" s="12"/>
      <c r="D34" s="3">
        <f>--25959.21</f>
        <v>25959.21</v>
      </c>
      <c r="E34" s="3"/>
      <c r="F34" s="23"/>
      <c r="G34" s="3"/>
      <c r="H34" s="3"/>
      <c r="I34" s="3"/>
      <c r="J34" s="23"/>
      <c r="K34" s="3"/>
      <c r="L34" s="3">
        <f t="shared" si="0"/>
        <v>25959.21</v>
      </c>
      <c r="M34" s="3"/>
      <c r="N34" s="23">
        <f t="shared" si="1"/>
        <v>0</v>
      </c>
      <c r="O34" s="12"/>
      <c r="P34" s="3">
        <f>--25959.21</f>
        <v>25959.21</v>
      </c>
      <c r="Q34" s="3"/>
      <c r="R34" s="23"/>
      <c r="S34" s="3"/>
      <c r="T34" s="3"/>
      <c r="U34" s="3"/>
      <c r="V34" s="23"/>
      <c r="W34" s="3"/>
      <c r="X34" s="3">
        <f t="shared" si="2"/>
        <v>25959.21</v>
      </c>
      <c r="Y34" s="3"/>
      <c r="Z34" s="23">
        <f t="shared" si="3"/>
        <v>0</v>
      </c>
    </row>
    <row r="35" spans="1:26" s="24" customFormat="1" hidden="1" outlineLevel="1" x14ac:dyDescent="0.25">
      <c r="A35" s="51"/>
      <c r="B35" s="12" t="str">
        <f>CONCATENATE("          ", "4100", " - ", "NON-TAXABLE SALES")</f>
        <v xml:space="preserve">          4100 - NON-TAXABLE SALES</v>
      </c>
      <c r="C35" s="12"/>
      <c r="D35" s="3">
        <f>--24009.3</f>
        <v>24009.3</v>
      </c>
      <c r="E35" s="3"/>
      <c r="F35" s="23"/>
      <c r="G35" s="3"/>
      <c r="H35" s="3">
        <v>65945</v>
      </c>
      <c r="I35" s="3"/>
      <c r="J35" s="23"/>
      <c r="K35" s="3"/>
      <c r="L35" s="3">
        <f t="shared" si="0"/>
        <v>-41935.699999999997</v>
      </c>
      <c r="M35" s="3"/>
      <c r="N35" s="23">
        <f t="shared" si="1"/>
        <v>-0.63591932671165363</v>
      </c>
      <c r="O35" s="12"/>
      <c r="P35" s="3">
        <f>--24009.3</f>
        <v>24009.3</v>
      </c>
      <c r="Q35" s="3"/>
      <c r="R35" s="23"/>
      <c r="S35" s="3"/>
      <c r="T35" s="3">
        <v>65945</v>
      </c>
      <c r="U35" s="3"/>
      <c r="V35" s="23"/>
      <c r="W35" s="3"/>
      <c r="X35" s="3">
        <f t="shared" si="2"/>
        <v>-41935.699999999997</v>
      </c>
      <c r="Y35" s="3"/>
      <c r="Z35" s="23">
        <f t="shared" si="3"/>
        <v>-0.63591932671165363</v>
      </c>
    </row>
    <row r="36" spans="1:26" s="24" customFormat="1" hidden="1" outlineLevel="1" x14ac:dyDescent="0.25">
      <c r="A36" s="51"/>
      <c r="B36" s="12" t="str">
        <f>CONCATENATE("          ", "4101", " - ", "NON-TAXABLE SALES-NEW TEXT")</f>
        <v xml:space="preserve">          4101 - NON-TAXABLE SALES-NEW TEXT</v>
      </c>
      <c r="C36" s="12"/>
      <c r="D36" s="3">
        <f>--10341.86</f>
        <v>10341.86</v>
      </c>
      <c r="E36" s="3"/>
      <c r="F36" s="23"/>
      <c r="G36" s="3"/>
      <c r="H36" s="3"/>
      <c r="I36" s="3"/>
      <c r="J36" s="23"/>
      <c r="K36" s="3"/>
      <c r="L36" s="3">
        <f t="shared" si="0"/>
        <v>10341.86</v>
      </c>
      <c r="M36" s="3"/>
      <c r="N36" s="23">
        <f t="shared" si="1"/>
        <v>0</v>
      </c>
      <c r="O36" s="12"/>
      <c r="P36" s="3">
        <f>--10341.86</f>
        <v>10341.86</v>
      </c>
      <c r="Q36" s="3"/>
      <c r="R36" s="23"/>
      <c r="S36" s="3"/>
      <c r="T36" s="3"/>
      <c r="U36" s="3"/>
      <c r="V36" s="23"/>
      <c r="W36" s="3"/>
      <c r="X36" s="3">
        <f t="shared" si="2"/>
        <v>10341.86</v>
      </c>
      <c r="Y36" s="3"/>
      <c r="Z36" s="23">
        <f t="shared" si="3"/>
        <v>0</v>
      </c>
    </row>
    <row r="37" spans="1:26" s="24" customFormat="1" hidden="1" outlineLevel="1" x14ac:dyDescent="0.25">
      <c r="A37" s="51"/>
      <c r="B37" s="12" t="str">
        <f>CONCATENATE("          ", "4102", " - ", "NON-TAXABLE SALES-USED TEXT")</f>
        <v xml:space="preserve">          4102 - NON-TAXABLE SALES-USED TEXT</v>
      </c>
      <c r="C37" s="12"/>
      <c r="D37" s="3">
        <f>--4190.44</f>
        <v>4190.4399999999996</v>
      </c>
      <c r="E37" s="3"/>
      <c r="F37" s="23"/>
      <c r="G37" s="3"/>
      <c r="H37" s="3"/>
      <c r="I37" s="3"/>
      <c r="J37" s="23"/>
      <c r="K37" s="3"/>
      <c r="L37" s="3">
        <f t="shared" si="0"/>
        <v>4190.4399999999996</v>
      </c>
      <c r="M37" s="3"/>
      <c r="N37" s="23">
        <f t="shared" si="1"/>
        <v>0</v>
      </c>
      <c r="O37" s="12"/>
      <c r="P37" s="3">
        <f>--4190.44</f>
        <v>4190.4399999999996</v>
      </c>
      <c r="Q37" s="3"/>
      <c r="R37" s="23"/>
      <c r="S37" s="3"/>
      <c r="T37" s="3"/>
      <c r="U37" s="3"/>
      <c r="V37" s="23"/>
      <c r="W37" s="3"/>
      <c r="X37" s="3">
        <f t="shared" si="2"/>
        <v>4190.4399999999996</v>
      </c>
      <c r="Y37" s="3"/>
      <c r="Z37" s="23">
        <f t="shared" si="3"/>
        <v>0</v>
      </c>
    </row>
    <row r="38" spans="1:26" s="24" customFormat="1" hidden="1" outlineLevel="1" x14ac:dyDescent="0.25">
      <c r="A38" s="51"/>
      <c r="B38" s="12" t="str">
        <f>CONCATENATE("          ", "4104", " - ", "NON-TAXABLE SALES-DIGITAL TEXT")</f>
        <v xml:space="preserve">          4104 - NON-TAXABLE SALES-DIGITAL TEXT</v>
      </c>
      <c r="C38" s="12"/>
      <c r="D38" s="3">
        <f>--7485.52</f>
        <v>7485.52</v>
      </c>
      <c r="E38" s="3"/>
      <c r="F38" s="23"/>
      <c r="G38" s="3"/>
      <c r="H38" s="3"/>
      <c r="I38" s="3"/>
      <c r="J38" s="23"/>
      <c r="K38" s="3"/>
      <c r="L38" s="3">
        <f t="shared" si="0"/>
        <v>7485.52</v>
      </c>
      <c r="M38" s="3"/>
      <c r="N38" s="23">
        <f t="shared" si="1"/>
        <v>0</v>
      </c>
      <c r="O38" s="12"/>
      <c r="P38" s="3">
        <f>--7485.52</f>
        <v>7485.52</v>
      </c>
      <c r="Q38" s="3"/>
      <c r="R38" s="23"/>
      <c r="S38" s="3"/>
      <c r="T38" s="3"/>
      <c r="U38" s="3"/>
      <c r="V38" s="23"/>
      <c r="W38" s="3"/>
      <c r="X38" s="3">
        <f t="shared" si="2"/>
        <v>7485.52</v>
      </c>
      <c r="Y38" s="3"/>
      <c r="Z38" s="23">
        <f t="shared" si="3"/>
        <v>0</v>
      </c>
    </row>
    <row r="39" spans="1:26" s="24" customFormat="1" hidden="1" outlineLevel="1" x14ac:dyDescent="0.25">
      <c r="A39" s="51"/>
      <c r="B39" s="12" t="str">
        <f>CONCATENATE("          ", "4118", " - ", "NON-TAXABLE SALES-STUDY GUIDES")</f>
        <v xml:space="preserve">          4118 - NON-TAXABLE SALES-STUDY GUIDES</v>
      </c>
      <c r="C39" s="12"/>
      <c r="D39" s="3">
        <f>--53.96</f>
        <v>53.96</v>
      </c>
      <c r="E39" s="3"/>
      <c r="F39" s="23"/>
      <c r="G39" s="3"/>
      <c r="H39" s="3"/>
      <c r="I39" s="3"/>
      <c r="J39" s="23"/>
      <c r="K39" s="3"/>
      <c r="L39" s="3">
        <f t="shared" si="0"/>
        <v>53.96</v>
      </c>
      <c r="M39" s="3"/>
      <c r="N39" s="23">
        <f t="shared" si="1"/>
        <v>0</v>
      </c>
      <c r="O39" s="12"/>
      <c r="P39" s="3">
        <f>--53.96</f>
        <v>53.96</v>
      </c>
      <c r="Q39" s="3"/>
      <c r="R39" s="23"/>
      <c r="S39" s="3"/>
      <c r="T39" s="3"/>
      <c r="U39" s="3"/>
      <c r="V39" s="23"/>
      <c r="W39" s="3"/>
      <c r="X39" s="3">
        <f t="shared" si="2"/>
        <v>53.96</v>
      </c>
      <c r="Y39" s="3"/>
      <c r="Z39" s="23">
        <f t="shared" si="3"/>
        <v>0</v>
      </c>
    </row>
    <row r="40" spans="1:26" s="24" customFormat="1" hidden="1" outlineLevel="1" x14ac:dyDescent="0.25">
      <c r="A40" s="51"/>
      <c r="B40" s="12" t="str">
        <f>CONCATENATE("          ", "4126", " - ", "NON-TAXABLE SALES-WRITING INST")</f>
        <v xml:space="preserve">          4126 - NON-TAXABLE SALES-WRITING INST</v>
      </c>
      <c r="C40" s="12"/>
      <c r="D40" s="3">
        <f>--52.68</f>
        <v>52.68</v>
      </c>
      <c r="E40" s="3"/>
      <c r="F40" s="23"/>
      <c r="G40" s="3"/>
      <c r="H40" s="3"/>
      <c r="I40" s="3"/>
      <c r="J40" s="23"/>
      <c r="K40" s="3"/>
      <c r="L40" s="3">
        <f t="shared" si="0"/>
        <v>52.68</v>
      </c>
      <c r="M40" s="3"/>
      <c r="N40" s="23">
        <f t="shared" si="1"/>
        <v>0</v>
      </c>
      <c r="O40" s="12"/>
      <c r="P40" s="3">
        <f>--52.68</f>
        <v>52.68</v>
      </c>
      <c r="Q40" s="3"/>
      <c r="R40" s="23"/>
      <c r="S40" s="3"/>
      <c r="T40" s="3"/>
      <c r="U40" s="3"/>
      <c r="V40" s="23"/>
      <c r="W40" s="3"/>
      <c r="X40" s="3">
        <f t="shared" si="2"/>
        <v>52.68</v>
      </c>
      <c r="Y40" s="3"/>
      <c r="Z40" s="23">
        <f t="shared" si="3"/>
        <v>0</v>
      </c>
    </row>
    <row r="41" spans="1:26" s="24" customFormat="1" hidden="1" outlineLevel="1" x14ac:dyDescent="0.25">
      <c r="A41" s="51"/>
      <c r="B41" s="12" t="str">
        <f>CONCATENATE("          ", "4127", " - ", "NON-TAXABLE SALES-SCHOOL SUPPL")</f>
        <v xml:space="preserve">          4127 - NON-TAXABLE SALES-SCHOOL SUPPL</v>
      </c>
      <c r="C41" s="12"/>
      <c r="D41" s="3">
        <f>--72.25</f>
        <v>72.25</v>
      </c>
      <c r="E41" s="3"/>
      <c r="F41" s="23"/>
      <c r="G41" s="3"/>
      <c r="H41" s="3"/>
      <c r="I41" s="3"/>
      <c r="J41" s="23"/>
      <c r="K41" s="3"/>
      <c r="L41" s="3">
        <f t="shared" si="0"/>
        <v>72.25</v>
      </c>
      <c r="M41" s="3"/>
      <c r="N41" s="23">
        <f t="shared" si="1"/>
        <v>0</v>
      </c>
      <c r="O41" s="12"/>
      <c r="P41" s="3">
        <f>--72.25</f>
        <v>72.25</v>
      </c>
      <c r="Q41" s="3"/>
      <c r="R41" s="23"/>
      <c r="S41" s="3"/>
      <c r="T41" s="3"/>
      <c r="U41" s="3"/>
      <c r="V41" s="23"/>
      <c r="W41" s="3"/>
      <c r="X41" s="3">
        <f t="shared" si="2"/>
        <v>72.25</v>
      </c>
      <c r="Y41" s="3"/>
      <c r="Z41" s="23">
        <f t="shared" si="3"/>
        <v>0</v>
      </c>
    </row>
    <row r="42" spans="1:26" s="24" customFormat="1" hidden="1" outlineLevel="1" x14ac:dyDescent="0.25">
      <c r="A42" s="51"/>
      <c r="B42" s="12" t="str">
        <f>CONCATENATE("          ", "4131", " - ", "NON-TAXABLE SALES-FOOD")</f>
        <v xml:space="preserve">          4131 - NON-TAXABLE SALES-FOOD</v>
      </c>
      <c r="C42" s="12"/>
      <c r="D42" s="3">
        <f>--259.43</f>
        <v>259.43</v>
      </c>
      <c r="E42" s="3"/>
      <c r="F42" s="23"/>
      <c r="G42" s="3"/>
      <c r="H42" s="3"/>
      <c r="I42" s="3"/>
      <c r="J42" s="23"/>
      <c r="K42" s="3"/>
      <c r="L42" s="3">
        <f t="shared" si="0"/>
        <v>259.43</v>
      </c>
      <c r="M42" s="3"/>
      <c r="N42" s="23">
        <f t="shared" si="1"/>
        <v>0</v>
      </c>
      <c r="O42" s="12"/>
      <c r="P42" s="3">
        <f>--259.43</f>
        <v>259.43</v>
      </c>
      <c r="Q42" s="3"/>
      <c r="R42" s="23"/>
      <c r="S42" s="3"/>
      <c r="T42" s="3"/>
      <c r="U42" s="3"/>
      <c r="V42" s="23"/>
      <c r="W42" s="3"/>
      <c r="X42" s="3">
        <f t="shared" si="2"/>
        <v>259.43</v>
      </c>
      <c r="Y42" s="3"/>
      <c r="Z42" s="23">
        <f t="shared" si="3"/>
        <v>0</v>
      </c>
    </row>
    <row r="43" spans="1:26" s="24" customFormat="1" hidden="1" outlineLevel="1" x14ac:dyDescent="0.25">
      <c r="A43" s="51"/>
      <c r="B43" s="12" t="str">
        <f>CONCATENATE("          ", "4132", " - ", "NON-TAXABLE SALES-JUICE")</f>
        <v xml:space="preserve">          4132 - NON-TAXABLE SALES-JUICE</v>
      </c>
      <c r="C43" s="12"/>
      <c r="D43" s="3">
        <f>--22.49</f>
        <v>22.49</v>
      </c>
      <c r="E43" s="3"/>
      <c r="F43" s="23"/>
      <c r="G43" s="3"/>
      <c r="H43" s="3"/>
      <c r="I43" s="3"/>
      <c r="J43" s="23"/>
      <c r="K43" s="3"/>
      <c r="L43" s="3">
        <f t="shared" si="0"/>
        <v>22.49</v>
      </c>
      <c r="M43" s="3"/>
      <c r="N43" s="23">
        <f t="shared" si="1"/>
        <v>0</v>
      </c>
      <c r="O43" s="12"/>
      <c r="P43" s="3">
        <f>--22.49</f>
        <v>22.49</v>
      </c>
      <c r="Q43" s="3"/>
      <c r="R43" s="23"/>
      <c r="S43" s="3"/>
      <c r="T43" s="3"/>
      <c r="U43" s="3"/>
      <c r="V43" s="23"/>
      <c r="W43" s="3"/>
      <c r="X43" s="3">
        <f t="shared" si="2"/>
        <v>22.49</v>
      </c>
      <c r="Y43" s="3"/>
      <c r="Z43" s="23">
        <f t="shared" si="3"/>
        <v>0</v>
      </c>
    </row>
    <row r="44" spans="1:26" s="24" customFormat="1" hidden="1" outlineLevel="1" x14ac:dyDescent="0.25">
      <c r="A44" s="51"/>
      <c r="B44" s="12" t="str">
        <f>CONCATENATE("          ", "4133", " - ", "NON-TAXABLE SALES-CANDY")</f>
        <v xml:space="preserve">          4133 - NON-TAXABLE SALES-CANDY</v>
      </c>
      <c r="C44" s="12"/>
      <c r="D44" s="3">
        <f>--68.28</f>
        <v>68.28</v>
      </c>
      <c r="E44" s="3"/>
      <c r="F44" s="23"/>
      <c r="G44" s="3"/>
      <c r="H44" s="3"/>
      <c r="I44" s="3"/>
      <c r="J44" s="23"/>
      <c r="K44" s="3"/>
      <c r="L44" s="3">
        <f t="shared" si="0"/>
        <v>68.28</v>
      </c>
      <c r="M44" s="3"/>
      <c r="N44" s="23">
        <f t="shared" si="1"/>
        <v>0</v>
      </c>
      <c r="O44" s="12"/>
      <c r="P44" s="3">
        <f>--68.28</f>
        <v>68.28</v>
      </c>
      <c r="Q44" s="3"/>
      <c r="R44" s="23"/>
      <c r="S44" s="3"/>
      <c r="T44" s="3"/>
      <c r="U44" s="3"/>
      <c r="V44" s="23"/>
      <c r="W44" s="3"/>
      <c r="X44" s="3">
        <f t="shared" si="2"/>
        <v>68.28</v>
      </c>
      <c r="Y44" s="3"/>
      <c r="Z44" s="23">
        <f t="shared" si="3"/>
        <v>0</v>
      </c>
    </row>
    <row r="45" spans="1:26" s="24" customFormat="1" hidden="1" outlineLevel="1" x14ac:dyDescent="0.25">
      <c r="A45" s="51"/>
      <c r="B45" s="12" t="str">
        <f>CONCATENATE("          ", "4134", " - ", "NON-TAXABLE SALES-SODA")</f>
        <v xml:space="preserve">          4134 - NON-TAXABLE SALES-SODA</v>
      </c>
      <c r="C45" s="12"/>
      <c r="D45" s="3">
        <f>--45.53</f>
        <v>45.53</v>
      </c>
      <c r="E45" s="3"/>
      <c r="F45" s="23"/>
      <c r="G45" s="3"/>
      <c r="H45" s="3"/>
      <c r="I45" s="3"/>
      <c r="J45" s="23"/>
      <c r="K45" s="3"/>
      <c r="L45" s="3">
        <f t="shared" si="0"/>
        <v>45.53</v>
      </c>
      <c r="M45" s="3"/>
      <c r="N45" s="23">
        <f t="shared" si="1"/>
        <v>0</v>
      </c>
      <c r="O45" s="12"/>
      <c r="P45" s="3">
        <f>--45.53</f>
        <v>45.53</v>
      </c>
      <c r="Q45" s="3"/>
      <c r="R45" s="23"/>
      <c r="S45" s="3"/>
      <c r="T45" s="3"/>
      <c r="U45" s="3"/>
      <c r="V45" s="23"/>
      <c r="W45" s="3"/>
      <c r="X45" s="3">
        <f t="shared" si="2"/>
        <v>45.53</v>
      </c>
      <c r="Y45" s="3"/>
      <c r="Z45" s="23">
        <f t="shared" si="3"/>
        <v>0</v>
      </c>
    </row>
    <row r="46" spans="1:26" s="24" customFormat="1" hidden="1" outlineLevel="1" x14ac:dyDescent="0.25">
      <c r="A46" s="51"/>
      <c r="B46" s="12" t="str">
        <f>CONCATENATE("          ", "4137", " - ", "NON-TAXABLE SALES-WATER")</f>
        <v xml:space="preserve">          4137 - NON-TAXABLE SALES-WATER</v>
      </c>
      <c r="C46" s="12"/>
      <c r="D46" s="3">
        <f>--68.25</f>
        <v>68.25</v>
      </c>
      <c r="E46" s="3"/>
      <c r="F46" s="23"/>
      <c r="G46" s="3"/>
      <c r="H46" s="3"/>
      <c r="I46" s="3"/>
      <c r="J46" s="23"/>
      <c r="K46" s="3"/>
      <c r="L46" s="3">
        <f t="shared" si="0"/>
        <v>68.25</v>
      </c>
      <c r="M46" s="3"/>
      <c r="N46" s="23">
        <f t="shared" si="1"/>
        <v>0</v>
      </c>
      <c r="O46" s="12"/>
      <c r="P46" s="3">
        <f>--68.25</f>
        <v>68.25</v>
      </c>
      <c r="Q46" s="3"/>
      <c r="R46" s="23"/>
      <c r="S46" s="3"/>
      <c r="T46" s="3"/>
      <c r="U46" s="3"/>
      <c r="V46" s="23"/>
      <c r="W46" s="3"/>
      <c r="X46" s="3">
        <f t="shared" si="2"/>
        <v>68.25</v>
      </c>
      <c r="Y46" s="3"/>
      <c r="Z46" s="23">
        <f t="shared" si="3"/>
        <v>0</v>
      </c>
    </row>
    <row r="47" spans="1:26" s="24" customFormat="1" hidden="1" outlineLevel="1" x14ac:dyDescent="0.25">
      <c r="A47" s="51"/>
      <c r="B47" s="12" t="str">
        <f>CONCATENATE("          ", "4140", " - ", "NON-TAXABLE SALES-LOGO CLOTHIN")</f>
        <v xml:space="preserve">          4140 - NON-TAXABLE SALES-LOGO CLOTHIN</v>
      </c>
      <c r="C47" s="12"/>
      <c r="D47" s="3">
        <f>--6846.24</f>
        <v>6846.24</v>
      </c>
      <c r="E47" s="3"/>
      <c r="F47" s="23"/>
      <c r="G47" s="3"/>
      <c r="H47" s="3"/>
      <c r="I47" s="3"/>
      <c r="J47" s="23"/>
      <c r="K47" s="3"/>
      <c r="L47" s="3">
        <f t="shared" si="0"/>
        <v>6846.24</v>
      </c>
      <c r="M47" s="3"/>
      <c r="N47" s="23">
        <f t="shared" si="1"/>
        <v>0</v>
      </c>
      <c r="O47" s="12"/>
      <c r="P47" s="3">
        <f>--6846.24</f>
        <v>6846.24</v>
      </c>
      <c r="Q47" s="3"/>
      <c r="R47" s="23"/>
      <c r="S47" s="3"/>
      <c r="T47" s="3"/>
      <c r="U47" s="3"/>
      <c r="V47" s="23"/>
      <c r="W47" s="3"/>
      <c r="X47" s="3">
        <f t="shared" si="2"/>
        <v>6846.24</v>
      </c>
      <c r="Y47" s="3"/>
      <c r="Z47" s="23">
        <f t="shared" si="3"/>
        <v>0</v>
      </c>
    </row>
    <row r="48" spans="1:26" s="24" customFormat="1" hidden="1" outlineLevel="1" x14ac:dyDescent="0.25">
      <c r="A48" s="51"/>
      <c r="B48" s="12" t="str">
        <f>CONCATENATE("          ", "4141", " - ", "NON-TAXABLE SALES-LOGO GIFTS")</f>
        <v xml:space="preserve">          4141 - NON-TAXABLE SALES-LOGO GIFTS</v>
      </c>
      <c r="C48" s="12"/>
      <c r="D48" s="3">
        <f>--1200.19</f>
        <v>1200.19</v>
      </c>
      <c r="E48" s="3"/>
      <c r="F48" s="23"/>
      <c r="G48" s="3"/>
      <c r="H48" s="3"/>
      <c r="I48" s="3"/>
      <c r="J48" s="23"/>
      <c r="K48" s="3"/>
      <c r="L48" s="3">
        <f t="shared" si="0"/>
        <v>1200.19</v>
      </c>
      <c r="M48" s="3"/>
      <c r="N48" s="23">
        <f t="shared" si="1"/>
        <v>0</v>
      </c>
      <c r="O48" s="12"/>
      <c r="P48" s="3">
        <f>--1200.19</f>
        <v>1200.19</v>
      </c>
      <c r="Q48" s="3"/>
      <c r="R48" s="23"/>
      <c r="S48" s="3"/>
      <c r="T48" s="3"/>
      <c r="U48" s="3"/>
      <c r="V48" s="23"/>
      <c r="W48" s="3"/>
      <c r="X48" s="3">
        <f t="shared" si="2"/>
        <v>1200.19</v>
      </c>
      <c r="Y48" s="3"/>
      <c r="Z48" s="23">
        <f t="shared" si="3"/>
        <v>0</v>
      </c>
    </row>
    <row r="49" spans="1:26" s="24" customFormat="1" hidden="1" outlineLevel="1" x14ac:dyDescent="0.25">
      <c r="A49" s="51"/>
      <c r="B49" s="12" t="str">
        <f>CONCATENATE("          ", "4142", " - ", "NON-TAXABLE SALES-EVERYDAY GIF")</f>
        <v xml:space="preserve">          4142 - NON-TAXABLE SALES-EVERYDAY GIF</v>
      </c>
      <c r="C49" s="12"/>
      <c r="D49" s="3">
        <f>--640.17</f>
        <v>640.16999999999996</v>
      </c>
      <c r="E49" s="3"/>
      <c r="F49" s="23"/>
      <c r="G49" s="3"/>
      <c r="H49" s="3"/>
      <c r="I49" s="3"/>
      <c r="J49" s="23"/>
      <c r="K49" s="3"/>
      <c r="L49" s="3">
        <f t="shared" si="0"/>
        <v>640.16999999999996</v>
      </c>
      <c r="M49" s="3"/>
      <c r="N49" s="23">
        <f t="shared" si="1"/>
        <v>0</v>
      </c>
      <c r="O49" s="12"/>
      <c r="P49" s="3">
        <f>--640.17</f>
        <v>640.16999999999996</v>
      </c>
      <c r="Q49" s="3"/>
      <c r="R49" s="23"/>
      <c r="S49" s="3"/>
      <c r="T49" s="3"/>
      <c r="U49" s="3"/>
      <c r="V49" s="23"/>
      <c r="W49" s="3"/>
      <c r="X49" s="3">
        <f t="shared" si="2"/>
        <v>640.16999999999996</v>
      </c>
      <c r="Y49" s="3"/>
      <c r="Z49" s="23">
        <f t="shared" si="3"/>
        <v>0</v>
      </c>
    </row>
    <row r="50" spans="1:26" s="24" customFormat="1" hidden="1" outlineLevel="1" x14ac:dyDescent="0.25">
      <c r="A50" s="51"/>
      <c r="B50" s="12" t="str">
        <f>CONCATENATE("          ", "4144", " - ", "NON-TAXABLE SALES-ACCESSORIES")</f>
        <v xml:space="preserve">          4144 - NON-TAXABLE SALES-ACCESSORIES</v>
      </c>
      <c r="C50" s="12"/>
      <c r="D50" s="3">
        <f>--47.85</f>
        <v>47.85</v>
      </c>
      <c r="E50" s="3"/>
      <c r="F50" s="23"/>
      <c r="G50" s="3"/>
      <c r="H50" s="3"/>
      <c r="I50" s="3"/>
      <c r="J50" s="23"/>
      <c r="K50" s="3"/>
      <c r="L50" s="3">
        <f t="shared" si="0"/>
        <v>47.85</v>
      </c>
      <c r="M50" s="3"/>
      <c r="N50" s="23">
        <f t="shared" si="1"/>
        <v>0</v>
      </c>
      <c r="O50" s="12"/>
      <c r="P50" s="3">
        <f>--47.85</f>
        <v>47.85</v>
      </c>
      <c r="Q50" s="3"/>
      <c r="R50" s="23"/>
      <c r="S50" s="3"/>
      <c r="T50" s="3"/>
      <c r="U50" s="3"/>
      <c r="V50" s="23"/>
      <c r="W50" s="3"/>
      <c r="X50" s="3">
        <f t="shared" si="2"/>
        <v>47.85</v>
      </c>
      <c r="Y50" s="3"/>
      <c r="Z50" s="23">
        <f t="shared" si="3"/>
        <v>0</v>
      </c>
    </row>
    <row r="51" spans="1:26" s="24" customFormat="1" hidden="1" outlineLevel="1" x14ac:dyDescent="0.25">
      <c r="A51" s="51"/>
      <c r="B51" s="12" t="str">
        <f>CONCATENATE("          ", "4145", " - ", "NON-TAXABLE SALES-SPECIAL ORDE")</f>
        <v xml:space="preserve">          4145 - NON-TAXABLE SALES-SPECIAL ORDE</v>
      </c>
      <c r="C51" s="12"/>
      <c r="D51" s="3">
        <f>--35496</f>
        <v>35496</v>
      </c>
      <c r="E51" s="3"/>
      <c r="F51" s="23"/>
      <c r="G51" s="3"/>
      <c r="H51" s="3"/>
      <c r="I51" s="3"/>
      <c r="J51" s="23"/>
      <c r="K51" s="3"/>
      <c r="L51" s="3">
        <f t="shared" si="0"/>
        <v>35496</v>
      </c>
      <c r="M51" s="3"/>
      <c r="N51" s="23">
        <f t="shared" si="1"/>
        <v>0</v>
      </c>
      <c r="O51" s="12"/>
      <c r="P51" s="3">
        <f>--35496</f>
        <v>35496</v>
      </c>
      <c r="Q51" s="3"/>
      <c r="R51" s="23"/>
      <c r="S51" s="3"/>
      <c r="T51" s="3"/>
      <c r="U51" s="3"/>
      <c r="V51" s="23"/>
      <c r="W51" s="3"/>
      <c r="X51" s="3">
        <f t="shared" si="2"/>
        <v>35496</v>
      </c>
      <c r="Y51" s="3"/>
      <c r="Z51" s="23">
        <f t="shared" si="3"/>
        <v>0</v>
      </c>
    </row>
    <row r="52" spans="1:26" s="24" customFormat="1" hidden="1" outlineLevel="1" x14ac:dyDescent="0.25">
      <c r="A52" s="51"/>
      <c r="B52" s="12" t="str">
        <f>CONCATENATE("          ", "4147", " - ", "NON-TAXABLE SALES-MISC")</f>
        <v xml:space="preserve">          4147 - NON-TAXABLE SALES-MISC</v>
      </c>
      <c r="C52" s="12"/>
      <c r="D52" s="3">
        <f>--1</f>
        <v>1</v>
      </c>
      <c r="E52" s="3"/>
      <c r="F52" s="23"/>
      <c r="G52" s="3"/>
      <c r="H52" s="3"/>
      <c r="I52" s="3"/>
      <c r="J52" s="23"/>
      <c r="K52" s="3"/>
      <c r="L52" s="3">
        <f t="shared" si="0"/>
        <v>1</v>
      </c>
      <c r="M52" s="3"/>
      <c r="N52" s="23">
        <f t="shared" si="1"/>
        <v>0</v>
      </c>
      <c r="O52" s="12"/>
      <c r="P52" s="3">
        <f>--1</f>
        <v>1</v>
      </c>
      <c r="Q52" s="3"/>
      <c r="R52" s="23"/>
      <c r="S52" s="3"/>
      <c r="T52" s="3"/>
      <c r="U52" s="3"/>
      <c r="V52" s="23"/>
      <c r="W52" s="3"/>
      <c r="X52" s="3">
        <f t="shared" si="2"/>
        <v>1</v>
      </c>
      <c r="Y52" s="3"/>
      <c r="Z52" s="23">
        <f t="shared" si="3"/>
        <v>0</v>
      </c>
    </row>
    <row r="53" spans="1:26" s="24" customFormat="1" hidden="1" outlineLevel="1" x14ac:dyDescent="0.25">
      <c r="A53" s="51"/>
      <c r="B53" s="12" t="str">
        <f>CONCATENATE("          ", "4151", " - ", "NON-TAXABLE SALES-FOOD")</f>
        <v xml:space="preserve">          4151 - NON-TAXABLE SALES-FOOD</v>
      </c>
      <c r="C53" s="12"/>
      <c r="D53" s="3">
        <f>--1300</f>
        <v>1300</v>
      </c>
      <c r="E53" s="3"/>
      <c r="F53" s="23"/>
      <c r="G53" s="3"/>
      <c r="H53" s="3"/>
      <c r="I53" s="3"/>
      <c r="J53" s="23"/>
      <c r="K53" s="3"/>
      <c r="L53" s="3">
        <f t="shared" si="0"/>
        <v>1300</v>
      </c>
      <c r="M53" s="3"/>
      <c r="N53" s="23">
        <f t="shared" si="1"/>
        <v>0</v>
      </c>
      <c r="O53" s="12"/>
      <c r="P53" s="3">
        <f>--1300</f>
        <v>1300</v>
      </c>
      <c r="Q53" s="3"/>
      <c r="R53" s="23"/>
      <c r="S53" s="3"/>
      <c r="T53" s="3"/>
      <c r="U53" s="3"/>
      <c r="V53" s="23"/>
      <c r="W53" s="3"/>
      <c r="X53" s="3">
        <f t="shared" si="2"/>
        <v>1300</v>
      </c>
      <c r="Y53" s="3"/>
      <c r="Z53" s="23">
        <f t="shared" si="3"/>
        <v>0</v>
      </c>
    </row>
    <row r="54" spans="1:26" s="24" customFormat="1" hidden="1" outlineLevel="1" x14ac:dyDescent="0.25">
      <c r="A54" s="51"/>
      <c r="B54" s="12" t="str">
        <f>CONCATENATE("          ", "4153", " - ", "NON-TAXABLE SALES-FOOD")</f>
        <v xml:space="preserve">          4153 - NON-TAXABLE SALES-FOOD</v>
      </c>
      <c r="C54" s="12"/>
      <c r="D54" s="3">
        <f>--17828.03</f>
        <v>17828.03</v>
      </c>
      <c r="E54" s="3"/>
      <c r="F54" s="23"/>
      <c r="G54" s="3"/>
      <c r="H54" s="3"/>
      <c r="I54" s="3"/>
      <c r="J54" s="23"/>
      <c r="K54" s="3"/>
      <c r="L54" s="3">
        <f t="shared" si="0"/>
        <v>17828.03</v>
      </c>
      <c r="M54" s="3"/>
      <c r="N54" s="23">
        <f t="shared" si="1"/>
        <v>0</v>
      </c>
      <c r="O54" s="12"/>
      <c r="P54" s="3">
        <f>--17828.03</f>
        <v>17828.03</v>
      </c>
      <c r="Q54" s="3"/>
      <c r="R54" s="23"/>
      <c r="S54" s="3"/>
      <c r="T54" s="3"/>
      <c r="U54" s="3"/>
      <c r="V54" s="23"/>
      <c r="W54" s="3"/>
      <c r="X54" s="3">
        <f t="shared" si="2"/>
        <v>17828.03</v>
      </c>
      <c r="Y54" s="3"/>
      <c r="Z54" s="23">
        <f t="shared" si="3"/>
        <v>0</v>
      </c>
    </row>
    <row r="55" spans="1:26" s="24" customFormat="1" hidden="1" outlineLevel="1" x14ac:dyDescent="0.25">
      <c r="A55" s="51"/>
      <c r="B55" s="12" t="str">
        <f>CONCATENATE("          ", "4181", " - ", "NON-TAXABLE SALES-ELECTRONICS")</f>
        <v xml:space="preserve">          4181 - NON-TAXABLE SALES-ELECTRONICS</v>
      </c>
      <c r="C55" s="12"/>
      <c r="D55" s="3">
        <f>--289.98</f>
        <v>289.98</v>
      </c>
      <c r="E55" s="3"/>
      <c r="F55" s="23"/>
      <c r="G55" s="3"/>
      <c r="H55" s="3"/>
      <c r="I55" s="3"/>
      <c r="J55" s="23"/>
      <c r="K55" s="3"/>
      <c r="L55" s="3">
        <f t="shared" si="0"/>
        <v>289.98</v>
      </c>
      <c r="M55" s="3"/>
      <c r="N55" s="23">
        <f t="shared" si="1"/>
        <v>0</v>
      </c>
      <c r="O55" s="12"/>
      <c r="P55" s="3">
        <f>--289.98</f>
        <v>289.98</v>
      </c>
      <c r="Q55" s="3"/>
      <c r="R55" s="23"/>
      <c r="S55" s="3"/>
      <c r="T55" s="3"/>
      <c r="U55" s="3"/>
      <c r="V55" s="23"/>
      <c r="W55" s="3"/>
      <c r="X55" s="3">
        <f t="shared" si="2"/>
        <v>289.98</v>
      </c>
      <c r="Y55" s="3"/>
      <c r="Z55" s="23">
        <f t="shared" si="3"/>
        <v>0</v>
      </c>
    </row>
    <row r="56" spans="1:26" s="24" customFormat="1" hidden="1" outlineLevel="1" x14ac:dyDescent="0.25">
      <c r="A56" s="51"/>
      <c r="B56" s="12" t="str">
        <f>CONCATENATE("          ", "4182", " - ", "NON-TAXABLE SALES-COMPUTER HAR")</f>
        <v xml:space="preserve">          4182 - NON-TAXABLE SALES-COMPUTER HAR</v>
      </c>
      <c r="C56" s="12"/>
      <c r="D56" s="3">
        <f>--35876.99</f>
        <v>35876.99</v>
      </c>
      <c r="E56" s="3"/>
      <c r="F56" s="23"/>
      <c r="G56" s="3"/>
      <c r="H56" s="3"/>
      <c r="I56" s="3"/>
      <c r="J56" s="23"/>
      <c r="K56" s="3"/>
      <c r="L56" s="3">
        <f t="shared" si="0"/>
        <v>35876.99</v>
      </c>
      <c r="M56" s="3"/>
      <c r="N56" s="23">
        <f t="shared" si="1"/>
        <v>0</v>
      </c>
      <c r="O56" s="12"/>
      <c r="P56" s="3">
        <f>--35876.99</f>
        <v>35876.99</v>
      </c>
      <c r="Q56" s="3"/>
      <c r="R56" s="23"/>
      <c r="S56" s="3"/>
      <c r="T56" s="3"/>
      <c r="U56" s="3"/>
      <c r="V56" s="23"/>
      <c r="W56" s="3"/>
      <c r="X56" s="3">
        <f t="shared" si="2"/>
        <v>35876.99</v>
      </c>
      <c r="Y56" s="3"/>
      <c r="Z56" s="23">
        <f t="shared" si="3"/>
        <v>0</v>
      </c>
    </row>
    <row r="57" spans="1:26" s="24" customFormat="1" hidden="1" outlineLevel="1" x14ac:dyDescent="0.25">
      <c r="A57" s="51"/>
      <c r="B57" s="12" t="str">
        <f>CONCATENATE("          ", "4183", " - ", "NON-TAXABLE SALES-COMPUTER EQU")</f>
        <v xml:space="preserve">          4183 - NON-TAXABLE SALES-COMPUTER EQU</v>
      </c>
      <c r="C57" s="12"/>
      <c r="D57" s="3">
        <f>--1359.85</f>
        <v>1359.85</v>
      </c>
      <c r="E57" s="3"/>
      <c r="F57" s="23"/>
      <c r="G57" s="3"/>
      <c r="H57" s="3"/>
      <c r="I57" s="3"/>
      <c r="J57" s="23"/>
      <c r="K57" s="3"/>
      <c r="L57" s="3">
        <f t="shared" si="0"/>
        <v>1359.85</v>
      </c>
      <c r="M57" s="3"/>
      <c r="N57" s="23">
        <f t="shared" si="1"/>
        <v>0</v>
      </c>
      <c r="O57" s="12"/>
      <c r="P57" s="3">
        <f>--1359.85</f>
        <v>1359.85</v>
      </c>
      <c r="Q57" s="3"/>
      <c r="R57" s="23"/>
      <c r="S57" s="3"/>
      <c r="T57" s="3"/>
      <c r="U57" s="3"/>
      <c r="V57" s="23"/>
      <c r="W57" s="3"/>
      <c r="X57" s="3">
        <f t="shared" si="2"/>
        <v>1359.85</v>
      </c>
      <c r="Y57" s="3"/>
      <c r="Z57" s="23">
        <f t="shared" si="3"/>
        <v>0</v>
      </c>
    </row>
    <row r="58" spans="1:26" s="24" customFormat="1" hidden="1" outlineLevel="1" x14ac:dyDescent="0.25">
      <c r="A58" s="51"/>
      <c r="B58" s="12" t="str">
        <f>CONCATENATE("          ", "4185", " - ", "NON-TAXABLE SALES-SOFTWARE")</f>
        <v xml:space="preserve">          4185 - NON-TAXABLE SALES-SOFTWARE</v>
      </c>
      <c r="C58" s="12"/>
      <c r="D58" s="3">
        <f>--6187.74</f>
        <v>6187.74</v>
      </c>
      <c r="E58" s="3"/>
      <c r="F58" s="23"/>
      <c r="G58" s="3"/>
      <c r="H58" s="3"/>
      <c r="I58" s="3"/>
      <c r="J58" s="23"/>
      <c r="K58" s="3"/>
      <c r="L58" s="3">
        <f t="shared" si="0"/>
        <v>6187.74</v>
      </c>
      <c r="M58" s="3"/>
      <c r="N58" s="23">
        <f t="shared" si="1"/>
        <v>0</v>
      </c>
      <c r="O58" s="12"/>
      <c r="P58" s="3">
        <f>--6187.74</f>
        <v>6187.74</v>
      </c>
      <c r="Q58" s="3"/>
      <c r="R58" s="23"/>
      <c r="S58" s="3"/>
      <c r="T58" s="3"/>
      <c r="U58" s="3"/>
      <c r="V58" s="23"/>
      <c r="W58" s="3"/>
      <c r="X58" s="3">
        <f t="shared" si="2"/>
        <v>6187.74</v>
      </c>
      <c r="Y58" s="3"/>
      <c r="Z58" s="23">
        <f t="shared" si="3"/>
        <v>0</v>
      </c>
    </row>
    <row r="59" spans="1:26" s="24" customFormat="1" hidden="1" outlineLevel="1" x14ac:dyDescent="0.25">
      <c r="A59" s="51"/>
      <c r="B59" s="12" t="str">
        <f>CONCATENATE("          ", "4186", " - ", "NON-TAXABLE SALES-COMPUTER SUP")</f>
        <v xml:space="preserve">          4186 - NON-TAXABLE SALES-COMPUTER SUP</v>
      </c>
      <c r="C59" s="12"/>
      <c r="D59" s="3">
        <f>--154.95</f>
        <v>154.94999999999999</v>
      </c>
      <c r="E59" s="3"/>
      <c r="F59" s="23"/>
      <c r="G59" s="3"/>
      <c r="H59" s="3"/>
      <c r="I59" s="3"/>
      <c r="J59" s="23"/>
      <c r="K59" s="3"/>
      <c r="L59" s="3">
        <f t="shared" si="0"/>
        <v>154.94999999999999</v>
      </c>
      <c r="M59" s="3"/>
      <c r="N59" s="23">
        <f t="shared" si="1"/>
        <v>0</v>
      </c>
      <c r="O59" s="12"/>
      <c r="P59" s="3">
        <f>--154.95</f>
        <v>154.94999999999999</v>
      </c>
      <c r="Q59" s="3"/>
      <c r="R59" s="23"/>
      <c r="S59" s="3"/>
      <c r="T59" s="3"/>
      <c r="U59" s="3"/>
      <c r="V59" s="23"/>
      <c r="W59" s="3"/>
      <c r="X59" s="3">
        <f t="shared" si="2"/>
        <v>154.94999999999999</v>
      </c>
      <c r="Y59" s="3"/>
      <c r="Z59" s="23">
        <f t="shared" si="3"/>
        <v>0</v>
      </c>
    </row>
    <row r="60" spans="1:26" s="24" customFormat="1" hidden="1" outlineLevel="1" x14ac:dyDescent="0.25">
      <c r="A60" s="51"/>
      <c r="B60" s="12" t="str">
        <f>CONCATENATE("          ", "4201", " - ", "SALES RETURN TAXABLE-NEW TEXT")</f>
        <v xml:space="preserve">          4201 - SALES RETURN TAXABLE-NEW TEXT</v>
      </c>
      <c r="C60" s="12"/>
      <c r="D60" s="3">
        <f>-633.4</f>
        <v>-633.4</v>
      </c>
      <c r="E60" s="3"/>
      <c r="F60" s="23"/>
      <c r="G60" s="3"/>
      <c r="H60" s="3"/>
      <c r="I60" s="3"/>
      <c r="J60" s="23"/>
      <c r="K60" s="3"/>
      <c r="L60" s="3">
        <f t="shared" si="0"/>
        <v>-633.4</v>
      </c>
      <c r="M60" s="3"/>
      <c r="N60" s="23">
        <f t="shared" si="1"/>
        <v>0</v>
      </c>
      <c r="O60" s="12"/>
      <c r="P60" s="3">
        <f>-633.4</f>
        <v>-633.4</v>
      </c>
      <c r="Q60" s="3"/>
      <c r="R60" s="23"/>
      <c r="S60" s="3"/>
      <c r="T60" s="3"/>
      <c r="U60" s="3"/>
      <c r="V60" s="23"/>
      <c r="W60" s="3"/>
      <c r="X60" s="3">
        <f t="shared" si="2"/>
        <v>-633.4</v>
      </c>
      <c r="Y60" s="3"/>
      <c r="Z60" s="23">
        <f t="shared" si="3"/>
        <v>0</v>
      </c>
    </row>
    <row r="61" spans="1:26" s="24" customFormat="1" hidden="1" outlineLevel="1" x14ac:dyDescent="0.25">
      <c r="A61" s="51"/>
      <c r="B61" s="12" t="str">
        <f>CONCATENATE("          ", "4202", " - ", "SALES RETURN TAXABLE-USED TEXT")</f>
        <v xml:space="preserve">          4202 - SALES RETURN TAXABLE-USED TEXT</v>
      </c>
      <c r="C61" s="12"/>
      <c r="D61" s="3">
        <f>-178.35</f>
        <v>-178.35</v>
      </c>
      <c r="E61" s="3"/>
      <c r="F61" s="23"/>
      <c r="G61" s="3"/>
      <c r="H61" s="3"/>
      <c r="I61" s="3"/>
      <c r="J61" s="23"/>
      <c r="K61" s="3"/>
      <c r="L61" s="3">
        <f t="shared" si="0"/>
        <v>-178.35</v>
      </c>
      <c r="M61" s="3"/>
      <c r="N61" s="23">
        <f t="shared" si="1"/>
        <v>0</v>
      </c>
      <c r="O61" s="12"/>
      <c r="P61" s="3">
        <f>-178.35</f>
        <v>-178.35</v>
      </c>
      <c r="Q61" s="3"/>
      <c r="R61" s="23"/>
      <c r="S61" s="3"/>
      <c r="T61" s="3"/>
      <c r="U61" s="3"/>
      <c r="V61" s="23"/>
      <c r="W61" s="3"/>
      <c r="X61" s="3">
        <f t="shared" si="2"/>
        <v>-178.35</v>
      </c>
      <c r="Y61" s="3"/>
      <c r="Z61" s="23">
        <f t="shared" si="3"/>
        <v>0</v>
      </c>
    </row>
    <row r="62" spans="1:26" s="24" customFormat="1" hidden="1" outlineLevel="1" x14ac:dyDescent="0.25">
      <c r="A62" s="51"/>
      <c r="B62" s="12" t="str">
        <f>CONCATENATE("          ", "4226", " - ", "SALES RETURN TAXABLE-WRITING I")</f>
        <v xml:space="preserve">          4226 - SALES RETURN TAXABLE-WRITING I</v>
      </c>
      <c r="C62" s="12"/>
      <c r="D62" s="3">
        <f>-6.38</f>
        <v>-6.38</v>
      </c>
      <c r="E62" s="3"/>
      <c r="F62" s="23"/>
      <c r="G62" s="3"/>
      <c r="H62" s="3"/>
      <c r="I62" s="3"/>
      <c r="J62" s="23"/>
      <c r="K62" s="3"/>
      <c r="L62" s="3">
        <f t="shared" si="0"/>
        <v>-6.38</v>
      </c>
      <c r="M62" s="3"/>
      <c r="N62" s="23">
        <f t="shared" si="1"/>
        <v>0</v>
      </c>
      <c r="O62" s="12"/>
      <c r="P62" s="3">
        <f>-6.38</f>
        <v>-6.38</v>
      </c>
      <c r="Q62" s="3"/>
      <c r="R62" s="23"/>
      <c r="S62" s="3"/>
      <c r="T62" s="3"/>
      <c r="U62" s="3"/>
      <c r="V62" s="23"/>
      <c r="W62" s="3"/>
      <c r="X62" s="3">
        <f t="shared" si="2"/>
        <v>-6.38</v>
      </c>
      <c r="Y62" s="3"/>
      <c r="Z62" s="23">
        <f t="shared" si="3"/>
        <v>0</v>
      </c>
    </row>
    <row r="63" spans="1:26" s="24" customFormat="1" hidden="1" outlineLevel="1" x14ac:dyDescent="0.25">
      <c r="A63" s="51"/>
      <c r="B63" s="12" t="str">
        <f>CONCATENATE("          ", "4227", " - ", "SALES RETURN TAXABLE-SCHOOL SU")</f>
        <v xml:space="preserve">          4227 - SALES RETURN TAXABLE-SCHOOL SU</v>
      </c>
      <c r="C63" s="12"/>
      <c r="D63" s="3">
        <f>-56.77</f>
        <v>-56.77</v>
      </c>
      <c r="E63" s="3"/>
      <c r="F63" s="23"/>
      <c r="G63" s="3"/>
      <c r="H63" s="3"/>
      <c r="I63" s="3"/>
      <c r="J63" s="23"/>
      <c r="K63" s="3"/>
      <c r="L63" s="3">
        <f t="shared" si="0"/>
        <v>-56.77</v>
      </c>
      <c r="M63" s="3"/>
      <c r="N63" s="23">
        <f t="shared" si="1"/>
        <v>0</v>
      </c>
      <c r="O63" s="12"/>
      <c r="P63" s="3">
        <f>-56.77</f>
        <v>-56.77</v>
      </c>
      <c r="Q63" s="3"/>
      <c r="R63" s="23"/>
      <c r="S63" s="3"/>
      <c r="T63" s="3"/>
      <c r="U63" s="3"/>
      <c r="V63" s="23"/>
      <c r="W63" s="3"/>
      <c r="X63" s="3">
        <f t="shared" si="2"/>
        <v>-56.77</v>
      </c>
      <c r="Y63" s="3"/>
      <c r="Z63" s="23">
        <f t="shared" si="3"/>
        <v>0</v>
      </c>
    </row>
    <row r="64" spans="1:26" s="24" customFormat="1" hidden="1" outlineLevel="1" x14ac:dyDescent="0.25">
      <c r="A64" s="51"/>
      <c r="B64" s="12" t="str">
        <f>CONCATENATE("          ", "4240", " - ", "SALES RETURN TAXABLE-LOGO CLOT")</f>
        <v xml:space="preserve">          4240 - SALES RETURN TAXABLE-LOGO CLOT</v>
      </c>
      <c r="C64" s="12"/>
      <c r="D64" s="3">
        <f>-3368.1</f>
        <v>-3368.1</v>
      </c>
      <c r="E64" s="3"/>
      <c r="F64" s="23"/>
      <c r="G64" s="3"/>
      <c r="H64" s="3"/>
      <c r="I64" s="3"/>
      <c r="J64" s="23"/>
      <c r="K64" s="3"/>
      <c r="L64" s="3">
        <f t="shared" si="0"/>
        <v>-3368.1</v>
      </c>
      <c r="M64" s="3"/>
      <c r="N64" s="23">
        <f t="shared" si="1"/>
        <v>0</v>
      </c>
      <c r="O64" s="12"/>
      <c r="P64" s="3">
        <f>-3368.1</f>
        <v>-3368.1</v>
      </c>
      <c r="Q64" s="3"/>
      <c r="R64" s="23"/>
      <c r="S64" s="3"/>
      <c r="T64" s="3"/>
      <c r="U64" s="3"/>
      <c r="V64" s="23"/>
      <c r="W64" s="3"/>
      <c r="X64" s="3">
        <f t="shared" si="2"/>
        <v>-3368.1</v>
      </c>
      <c r="Y64" s="3"/>
      <c r="Z64" s="23">
        <f t="shared" si="3"/>
        <v>0</v>
      </c>
    </row>
    <row r="65" spans="1:26" s="24" customFormat="1" hidden="1" outlineLevel="1" x14ac:dyDescent="0.25">
      <c r="A65" s="51"/>
      <c r="B65" s="12" t="str">
        <f>CONCATENATE("          ", "4241", " - ", "SALES RETURN TAXABLE-LOGO GIFT")</f>
        <v xml:space="preserve">          4241 - SALES RETURN TAXABLE-LOGO GIFT</v>
      </c>
      <c r="C65" s="12"/>
      <c r="D65" s="3">
        <f>-341.98</f>
        <v>-341.98</v>
      </c>
      <c r="E65" s="3"/>
      <c r="F65" s="23"/>
      <c r="G65" s="3"/>
      <c r="H65" s="3"/>
      <c r="I65" s="3"/>
      <c r="J65" s="23"/>
      <c r="K65" s="3"/>
      <c r="L65" s="3">
        <f t="shared" si="0"/>
        <v>-341.98</v>
      </c>
      <c r="M65" s="3"/>
      <c r="N65" s="23">
        <f t="shared" si="1"/>
        <v>0</v>
      </c>
      <c r="O65" s="12"/>
      <c r="P65" s="3">
        <f>-341.98</f>
        <v>-341.98</v>
      </c>
      <c r="Q65" s="3"/>
      <c r="R65" s="23"/>
      <c r="S65" s="3"/>
      <c r="T65" s="3"/>
      <c r="U65" s="3"/>
      <c r="V65" s="23"/>
      <c r="W65" s="3"/>
      <c r="X65" s="3">
        <f t="shared" si="2"/>
        <v>-341.98</v>
      </c>
      <c r="Y65" s="3"/>
      <c r="Z65" s="23">
        <f t="shared" si="3"/>
        <v>0</v>
      </c>
    </row>
    <row r="66" spans="1:26" s="24" customFormat="1" hidden="1" outlineLevel="1" x14ac:dyDescent="0.25">
      <c r="A66" s="51"/>
      <c r="B66" s="12" t="str">
        <f>CONCATENATE("          ", "4242", " - ", "SALES RETURN TAXABLE-EVERYDAY")</f>
        <v xml:space="preserve">          4242 - SALES RETURN TAXABLE-EVERYDAY</v>
      </c>
      <c r="C66" s="12"/>
      <c r="D66" s="3">
        <f>-178.96</f>
        <v>-178.96</v>
      </c>
      <c r="E66" s="3"/>
      <c r="F66" s="23"/>
      <c r="G66" s="3"/>
      <c r="H66" s="3"/>
      <c r="I66" s="3"/>
      <c r="J66" s="23"/>
      <c r="K66" s="3"/>
      <c r="L66" s="3">
        <f t="shared" si="0"/>
        <v>-178.96</v>
      </c>
      <c r="M66" s="3"/>
      <c r="N66" s="23">
        <f t="shared" si="1"/>
        <v>0</v>
      </c>
      <c r="O66" s="12"/>
      <c r="P66" s="3">
        <f>-178.96</f>
        <v>-178.96</v>
      </c>
      <c r="Q66" s="3"/>
      <c r="R66" s="23"/>
      <c r="S66" s="3"/>
      <c r="T66" s="3"/>
      <c r="U66" s="3"/>
      <c r="V66" s="23"/>
      <c r="W66" s="3"/>
      <c r="X66" s="3">
        <f t="shared" si="2"/>
        <v>-178.96</v>
      </c>
      <c r="Y66" s="3"/>
      <c r="Z66" s="23">
        <f t="shared" si="3"/>
        <v>0</v>
      </c>
    </row>
    <row r="67" spans="1:26" s="24" customFormat="1" hidden="1" outlineLevel="1" x14ac:dyDescent="0.25">
      <c r="A67" s="51"/>
      <c r="B67" s="12" t="str">
        <f>CONCATENATE("          ", "4245", " - ", "SALES RETURN TAXABLE-SPECIAL O")</f>
        <v xml:space="preserve">          4245 - SALES RETURN TAXABLE-SPECIAL O</v>
      </c>
      <c r="C67" s="12"/>
      <c r="D67" s="3">
        <f>-1121</f>
        <v>-1121</v>
      </c>
      <c r="E67" s="3"/>
      <c r="F67" s="23"/>
      <c r="G67" s="3"/>
      <c r="H67" s="3"/>
      <c r="I67" s="3"/>
      <c r="J67" s="23"/>
      <c r="K67" s="3"/>
      <c r="L67" s="3">
        <f t="shared" si="0"/>
        <v>-1121</v>
      </c>
      <c r="M67" s="3"/>
      <c r="N67" s="23">
        <f t="shared" si="1"/>
        <v>0</v>
      </c>
      <c r="O67" s="12"/>
      <c r="P67" s="3">
        <f>-1121</f>
        <v>-1121</v>
      </c>
      <c r="Q67" s="3"/>
      <c r="R67" s="23"/>
      <c r="S67" s="3"/>
      <c r="T67" s="3"/>
      <c r="U67" s="3"/>
      <c r="V67" s="23"/>
      <c r="W67" s="3"/>
      <c r="X67" s="3">
        <f t="shared" si="2"/>
        <v>-1121</v>
      </c>
      <c r="Y67" s="3"/>
      <c r="Z67" s="23">
        <f t="shared" si="3"/>
        <v>0</v>
      </c>
    </row>
    <row r="68" spans="1:26" s="24" customFormat="1" hidden="1" outlineLevel="1" x14ac:dyDescent="0.25">
      <c r="A68" s="51"/>
      <c r="B68" s="12" t="str">
        <f>CONCATENATE("          ", "4281", " - ", "SALES RETURN TAXABLE-ELECTRONI")</f>
        <v xml:space="preserve">          4281 - SALES RETURN TAXABLE-ELECTRONI</v>
      </c>
      <c r="C68" s="12"/>
      <c r="D68" s="3">
        <f>-6291.99</f>
        <v>-6291.99</v>
      </c>
      <c r="E68" s="3"/>
      <c r="F68" s="23"/>
      <c r="G68" s="3"/>
      <c r="H68" s="3"/>
      <c r="I68" s="3"/>
      <c r="J68" s="23"/>
      <c r="K68" s="3"/>
      <c r="L68" s="3">
        <f t="shared" si="0"/>
        <v>-6291.99</v>
      </c>
      <c r="M68" s="3"/>
      <c r="N68" s="23">
        <f t="shared" si="1"/>
        <v>0</v>
      </c>
      <c r="O68" s="12"/>
      <c r="P68" s="3">
        <f>-6291.99</f>
        <v>-6291.99</v>
      </c>
      <c r="Q68" s="3"/>
      <c r="R68" s="23"/>
      <c r="S68" s="3"/>
      <c r="T68" s="3"/>
      <c r="U68" s="3"/>
      <c r="V68" s="23"/>
      <c r="W68" s="3"/>
      <c r="X68" s="3">
        <f t="shared" si="2"/>
        <v>-6291.99</v>
      </c>
      <c r="Y68" s="3"/>
      <c r="Z68" s="23">
        <f t="shared" si="3"/>
        <v>0</v>
      </c>
    </row>
    <row r="69" spans="1:26" s="24" customFormat="1" hidden="1" outlineLevel="1" x14ac:dyDescent="0.25">
      <c r="A69" s="51"/>
      <c r="B69" s="12" t="str">
        <f>CONCATENATE("          ", "4282", " - ", "SALES RETURN TAXABLE-COMPUTER")</f>
        <v xml:space="preserve">          4282 - SALES RETURN TAXABLE-COMPUTER</v>
      </c>
      <c r="C69" s="12"/>
      <c r="D69" s="3">
        <f>-18207</f>
        <v>-18207</v>
      </c>
      <c r="E69" s="3"/>
      <c r="F69" s="23"/>
      <c r="G69" s="3"/>
      <c r="H69" s="3"/>
      <c r="I69" s="3"/>
      <c r="J69" s="23"/>
      <c r="K69" s="3"/>
      <c r="L69" s="3">
        <f t="shared" si="0"/>
        <v>-18207</v>
      </c>
      <c r="M69" s="3"/>
      <c r="N69" s="23">
        <f t="shared" si="1"/>
        <v>0</v>
      </c>
      <c r="O69" s="12"/>
      <c r="P69" s="3">
        <f>-18207</f>
        <v>-18207</v>
      </c>
      <c r="Q69" s="3"/>
      <c r="R69" s="23"/>
      <c r="S69" s="3"/>
      <c r="T69" s="3"/>
      <c r="U69" s="3"/>
      <c r="V69" s="23"/>
      <c r="W69" s="3"/>
      <c r="X69" s="3">
        <f t="shared" si="2"/>
        <v>-18207</v>
      </c>
      <c r="Y69" s="3"/>
      <c r="Z69" s="23">
        <f t="shared" si="3"/>
        <v>0</v>
      </c>
    </row>
    <row r="70" spans="1:26" s="24" customFormat="1" hidden="1" outlineLevel="1" x14ac:dyDescent="0.25">
      <c r="A70" s="51"/>
      <c r="B70" s="12" t="str">
        <f>CONCATENATE("          ", "4283", " - ", "SALES RETURN TAXABLE-COMPUTER")</f>
        <v xml:space="preserve">          4283 - SALES RETURN TAXABLE-COMPUTER</v>
      </c>
      <c r="C70" s="12"/>
      <c r="D70" s="3">
        <f>-818.93</f>
        <v>-818.93</v>
      </c>
      <c r="E70" s="3"/>
      <c r="F70" s="23"/>
      <c r="G70" s="3"/>
      <c r="H70" s="3"/>
      <c r="I70" s="3"/>
      <c r="J70" s="23"/>
      <c r="K70" s="3"/>
      <c r="L70" s="3">
        <f t="shared" si="0"/>
        <v>-818.93</v>
      </c>
      <c r="M70" s="3"/>
      <c r="N70" s="23">
        <f t="shared" si="1"/>
        <v>0</v>
      </c>
      <c r="O70" s="12"/>
      <c r="P70" s="3">
        <f>-818.93</f>
        <v>-818.93</v>
      </c>
      <c r="Q70" s="3"/>
      <c r="R70" s="23"/>
      <c r="S70" s="3"/>
      <c r="T70" s="3"/>
      <c r="U70" s="3"/>
      <c r="V70" s="23"/>
      <c r="W70" s="3"/>
      <c r="X70" s="3">
        <f t="shared" si="2"/>
        <v>-818.93</v>
      </c>
      <c r="Y70" s="3"/>
      <c r="Z70" s="23">
        <f t="shared" si="3"/>
        <v>0</v>
      </c>
    </row>
    <row r="71" spans="1:26" s="24" customFormat="1" hidden="1" outlineLevel="1" x14ac:dyDescent="0.25">
      <c r="A71" s="51"/>
      <c r="B71" s="12" t="str">
        <f>CONCATENATE("          ", "4302", " - ", "SALES RETURN NON TAXABLE-TEXT")</f>
        <v xml:space="preserve">          4302 - SALES RETURN NON TAXABLE-TEXT</v>
      </c>
      <c r="C71" s="12"/>
      <c r="D71" s="3">
        <f>-63.67</f>
        <v>-63.67</v>
      </c>
      <c r="E71" s="3"/>
      <c r="F71" s="23"/>
      <c r="G71" s="3"/>
      <c r="H71" s="3"/>
      <c r="I71" s="3"/>
      <c r="J71" s="23"/>
      <c r="K71" s="3"/>
      <c r="L71" s="3">
        <f t="shared" si="0"/>
        <v>-63.67</v>
      </c>
      <c r="M71" s="3"/>
      <c r="N71" s="23">
        <f t="shared" si="1"/>
        <v>0</v>
      </c>
      <c r="O71" s="12"/>
      <c r="P71" s="3">
        <f>-63.67</f>
        <v>-63.67</v>
      </c>
      <c r="Q71" s="3"/>
      <c r="R71" s="23"/>
      <c r="S71" s="3"/>
      <c r="T71" s="3"/>
      <c r="U71" s="3"/>
      <c r="V71" s="23"/>
      <c r="W71" s="3"/>
      <c r="X71" s="3">
        <f t="shared" si="2"/>
        <v>-63.67</v>
      </c>
      <c r="Y71" s="3"/>
      <c r="Z71" s="23">
        <f t="shared" si="3"/>
        <v>0</v>
      </c>
    </row>
    <row r="72" spans="1:26" s="24" customFormat="1" hidden="1" outlineLevel="1" x14ac:dyDescent="0.25">
      <c r="A72" s="51"/>
      <c r="B72" s="12" t="str">
        <f>CONCATENATE("          ", "4304", " - ", "SALES RETURN NON TAXABLE-DIGIT")</f>
        <v xml:space="preserve">          4304 - SALES RETURN NON TAXABLE-DIGIT</v>
      </c>
      <c r="C72" s="12"/>
      <c r="D72" s="3">
        <f>-452.05</f>
        <v>-452.05</v>
      </c>
      <c r="E72" s="3"/>
      <c r="F72" s="23"/>
      <c r="G72" s="3"/>
      <c r="H72" s="3"/>
      <c r="I72" s="3"/>
      <c r="J72" s="23"/>
      <c r="K72" s="3"/>
      <c r="L72" s="3">
        <f t="shared" si="0"/>
        <v>-452.05</v>
      </c>
      <c r="M72" s="3"/>
      <c r="N72" s="23">
        <f t="shared" si="1"/>
        <v>0</v>
      </c>
      <c r="O72" s="12"/>
      <c r="P72" s="3">
        <f>-452.05</f>
        <v>-452.05</v>
      </c>
      <c r="Q72" s="3"/>
      <c r="R72" s="23"/>
      <c r="S72" s="3"/>
      <c r="T72" s="3"/>
      <c r="U72" s="3"/>
      <c r="V72" s="23"/>
      <c r="W72" s="3"/>
      <c r="X72" s="3">
        <f t="shared" si="2"/>
        <v>-452.05</v>
      </c>
      <c r="Y72" s="3"/>
      <c r="Z72" s="23">
        <f t="shared" si="3"/>
        <v>0</v>
      </c>
    </row>
    <row r="73" spans="1:26" s="24" customFormat="1" hidden="1" outlineLevel="1" x14ac:dyDescent="0.25">
      <c r="A73" s="51"/>
      <c r="B73" s="12" t="str">
        <f>CONCATENATE("          ", "4340", " - ", "SALES RETURN NON TAXABLE-LOGO")</f>
        <v xml:space="preserve">          4340 - SALES RETURN NON TAXABLE-LOGO</v>
      </c>
      <c r="C73" s="12"/>
      <c r="D73" s="3">
        <f>-434.24</f>
        <v>-434.24</v>
      </c>
      <c r="E73" s="3"/>
      <c r="F73" s="23"/>
      <c r="G73" s="3"/>
      <c r="H73" s="3"/>
      <c r="I73" s="3"/>
      <c r="J73" s="23"/>
      <c r="K73" s="3"/>
      <c r="L73" s="3">
        <f t="shared" si="0"/>
        <v>-434.24</v>
      </c>
      <c r="M73" s="3"/>
      <c r="N73" s="23">
        <f t="shared" si="1"/>
        <v>0</v>
      </c>
      <c r="O73" s="12"/>
      <c r="P73" s="3">
        <f>-434.24</f>
        <v>-434.24</v>
      </c>
      <c r="Q73" s="3"/>
      <c r="R73" s="23"/>
      <c r="S73" s="3"/>
      <c r="T73" s="3"/>
      <c r="U73" s="3"/>
      <c r="V73" s="23"/>
      <c r="W73" s="3"/>
      <c r="X73" s="3">
        <f t="shared" si="2"/>
        <v>-434.24</v>
      </c>
      <c r="Y73" s="3"/>
      <c r="Z73" s="23">
        <f t="shared" si="3"/>
        <v>0</v>
      </c>
    </row>
    <row r="74" spans="1:26" s="24" customFormat="1" hidden="1" outlineLevel="1" x14ac:dyDescent="0.25">
      <c r="A74" s="51"/>
      <c r="B74" s="12" t="str">
        <f>CONCATENATE("          ", "4341", " - ", "SALES RETURN NON TAXABLE-LOGO")</f>
        <v xml:space="preserve">          4341 - SALES RETURN NON TAXABLE-LOGO</v>
      </c>
      <c r="C74" s="12"/>
      <c r="D74" s="3">
        <f>-16.95</f>
        <v>-16.95</v>
      </c>
      <c r="E74" s="3"/>
      <c r="F74" s="23"/>
      <c r="G74" s="3"/>
      <c r="H74" s="3"/>
      <c r="I74" s="3"/>
      <c r="J74" s="23"/>
      <c r="K74" s="3"/>
      <c r="L74" s="3">
        <f t="shared" si="0"/>
        <v>-16.95</v>
      </c>
      <c r="M74" s="3"/>
      <c r="N74" s="23">
        <f t="shared" si="1"/>
        <v>0</v>
      </c>
      <c r="O74" s="12"/>
      <c r="P74" s="3">
        <f>-16.95</f>
        <v>-16.95</v>
      </c>
      <c r="Q74" s="3"/>
      <c r="R74" s="23"/>
      <c r="S74" s="3"/>
      <c r="T74" s="3"/>
      <c r="U74" s="3"/>
      <c r="V74" s="23"/>
      <c r="W74" s="3"/>
      <c r="X74" s="3">
        <f t="shared" si="2"/>
        <v>-16.95</v>
      </c>
      <c r="Y74" s="3"/>
      <c r="Z74" s="23">
        <f t="shared" si="3"/>
        <v>0</v>
      </c>
    </row>
    <row r="75" spans="1:26" s="24" customFormat="1" hidden="1" outlineLevel="1" x14ac:dyDescent="0.25">
      <c r="A75" s="51"/>
      <c r="B75" s="12" t="str">
        <f>CONCATENATE("          ", "4342", " - ", "SALES RETURN NON TAXABLE-EVERY")</f>
        <v xml:space="preserve">          4342 - SALES RETURN NON TAXABLE-EVERY</v>
      </c>
      <c r="C75" s="12"/>
      <c r="D75" s="3">
        <f>-79.85</f>
        <v>-79.849999999999994</v>
      </c>
      <c r="E75" s="3"/>
      <c r="F75" s="23"/>
      <c r="G75" s="3"/>
      <c r="H75" s="3"/>
      <c r="I75" s="3"/>
      <c r="J75" s="23"/>
      <c r="K75" s="3"/>
      <c r="L75" s="3">
        <f t="shared" si="0"/>
        <v>-79.849999999999994</v>
      </c>
      <c r="M75" s="3"/>
      <c r="N75" s="23">
        <f t="shared" si="1"/>
        <v>0</v>
      </c>
      <c r="O75" s="12"/>
      <c r="P75" s="3">
        <f>-79.85</f>
        <v>-79.849999999999994</v>
      </c>
      <c r="Q75" s="3"/>
      <c r="R75" s="23"/>
      <c r="S75" s="3"/>
      <c r="T75" s="3"/>
      <c r="U75" s="3"/>
      <c r="V75" s="23"/>
      <c r="W75" s="3"/>
      <c r="X75" s="3">
        <f t="shared" si="2"/>
        <v>-79.849999999999994</v>
      </c>
      <c r="Y75" s="3"/>
      <c r="Z75" s="23">
        <f t="shared" si="3"/>
        <v>0</v>
      </c>
    </row>
    <row r="76" spans="1:26" s="24" customFormat="1" hidden="1" outlineLevel="1" x14ac:dyDescent="0.25">
      <c r="A76" s="51"/>
      <c r="B76" s="12" t="str">
        <f>CONCATENATE("          ", "4381", " - ", "SALES RETURN NON TAXABLE-ELECT")</f>
        <v xml:space="preserve">          4381 - SALES RETURN NON TAXABLE-ELECT</v>
      </c>
      <c r="C76" s="12"/>
      <c r="D76" s="3">
        <f>-1749</f>
        <v>-1749</v>
      </c>
      <c r="E76" s="3"/>
      <c r="F76" s="23"/>
      <c r="G76" s="3"/>
      <c r="H76" s="3"/>
      <c r="I76" s="3"/>
      <c r="J76" s="23"/>
      <c r="K76" s="3"/>
      <c r="L76" s="3">
        <f t="shared" si="0"/>
        <v>-1749</v>
      </c>
      <c r="M76" s="3"/>
      <c r="N76" s="23">
        <f t="shared" si="1"/>
        <v>0</v>
      </c>
      <c r="O76" s="12"/>
      <c r="P76" s="3">
        <f>-1749</f>
        <v>-1749</v>
      </c>
      <c r="Q76" s="3"/>
      <c r="R76" s="23"/>
      <c r="S76" s="3"/>
      <c r="T76" s="3"/>
      <c r="U76" s="3"/>
      <c r="V76" s="23"/>
      <c r="W76" s="3"/>
      <c r="X76" s="3">
        <f t="shared" si="2"/>
        <v>-1749</v>
      </c>
      <c r="Y76" s="3"/>
      <c r="Z76" s="23">
        <f t="shared" si="3"/>
        <v>0</v>
      </c>
    </row>
    <row r="77" spans="1:26" x14ac:dyDescent="0.25">
      <c r="A77" s="9"/>
      <c r="B77" s="10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2" customFormat="1" collapsed="1" x14ac:dyDescent="0.25">
      <c r="A78" s="10"/>
      <c r="B78" s="26" t="s">
        <v>8</v>
      </c>
      <c r="C78" s="10"/>
      <c r="D78" s="4">
        <f>SUM(OSRRefD16x_0)</f>
        <v>336814.02000000014</v>
      </c>
      <c r="E78" s="4"/>
      <c r="F78" s="11">
        <f t="shared" ref="F78:F108" si="4">IF(D$12=0,0,D78/D$12)</f>
        <v>0.70624504949223477</v>
      </c>
      <c r="G78" s="4"/>
      <c r="H78" s="4">
        <f>SUM(OSRRefH16x_0)</f>
        <v>416459</v>
      </c>
      <c r="I78" s="4"/>
      <c r="J78" s="11">
        <f t="shared" ref="J78:J108" si="5">IF(H$12=0,0,H78/H$12)</f>
        <v>0.60325165095740318</v>
      </c>
      <c r="K78" s="4"/>
      <c r="L78" s="4">
        <f t="shared" ref="L78:L108" si="6">+D78-H78</f>
        <v>-79644.979999999865</v>
      </c>
      <c r="M78" s="4"/>
      <c r="N78" s="11">
        <f t="shared" ref="N78:N108" si="7">IF(H78=0,0,L78/H78)</f>
        <v>-0.19124326764459373</v>
      </c>
      <c r="O78" s="10"/>
      <c r="P78" s="4">
        <f>SUM(OSRRefP16x_0)</f>
        <v>336814.02000000014</v>
      </c>
      <c r="Q78" s="4"/>
      <c r="R78" s="11">
        <f t="shared" ref="R78:R108" si="8">IF(P$12=0,0,P78/P$12)</f>
        <v>0.70624504949223477</v>
      </c>
      <c r="S78" s="4"/>
      <c r="T78" s="4">
        <f>SUM(OSRRefT16x_0)</f>
        <v>416459</v>
      </c>
      <c r="U78" s="4"/>
      <c r="V78" s="11">
        <f t="shared" ref="V78:V108" si="9">IF(T$12=0,0,T78/T$12)</f>
        <v>0.60325165095740318</v>
      </c>
      <c r="W78" s="4"/>
      <c r="X78" s="4">
        <f t="shared" ref="X78:X108" si="10">+P78-T78</f>
        <v>-79644.979999999865</v>
      </c>
      <c r="Y78" s="4"/>
      <c r="Z78" s="11">
        <f t="shared" ref="Z78:Z108" si="11">IF(T78=0,0,X78/T78)</f>
        <v>-0.19124326764459373</v>
      </c>
    </row>
    <row r="79" spans="1:26" s="24" customFormat="1" hidden="1" outlineLevel="1" x14ac:dyDescent="0.25">
      <c r="A79" s="51"/>
      <c r="B79" s="12" t="str">
        <f>CONCATENATE("          ", "5000", " - ", "PURCHASES @ COST")</f>
        <v xml:space="preserve">          5000 - PURCHASES @ COST</v>
      </c>
      <c r="C79" s="12"/>
      <c r="D79" s="3"/>
      <c r="E79" s="3"/>
      <c r="F79" s="23">
        <f t="shared" si="4"/>
        <v>0</v>
      </c>
      <c r="G79" s="3"/>
      <c r="H79" s="3">
        <v>416459</v>
      </c>
      <c r="I79" s="3"/>
      <c r="J79" s="23">
        <f t="shared" si="5"/>
        <v>0.60325165095740318</v>
      </c>
      <c r="K79" s="3"/>
      <c r="L79" s="3">
        <f t="shared" si="6"/>
        <v>-416459</v>
      </c>
      <c r="M79" s="3"/>
      <c r="N79" s="23">
        <f t="shared" si="7"/>
        <v>-1</v>
      </c>
      <c r="O79" s="12"/>
      <c r="P79" s="3"/>
      <c r="Q79" s="3"/>
      <c r="R79" s="23">
        <f t="shared" si="8"/>
        <v>0</v>
      </c>
      <c r="S79" s="3"/>
      <c r="T79" s="3">
        <v>416459</v>
      </c>
      <c r="U79" s="3"/>
      <c r="V79" s="23">
        <f t="shared" si="9"/>
        <v>0.60325165095740318</v>
      </c>
      <c r="W79" s="3"/>
      <c r="X79" s="3">
        <f t="shared" si="10"/>
        <v>-416459</v>
      </c>
      <c r="Y79" s="3"/>
      <c r="Z79" s="23">
        <f t="shared" si="11"/>
        <v>-1</v>
      </c>
    </row>
    <row r="80" spans="1:26" s="24" customFormat="1" hidden="1" outlineLevel="1" x14ac:dyDescent="0.25">
      <c r="A80" s="51"/>
      <c r="B80" s="12" t="str">
        <f>CONCATENATE("          ", "5001", " - ", "PURCHASES @ COST-NEW TEXT")</f>
        <v xml:space="preserve">          5001 - PURCHASES @ COST-NEW TEXT</v>
      </c>
      <c r="C80" s="12"/>
      <c r="D80" s="3">
        <v>153110.63</v>
      </c>
      <c r="E80" s="3"/>
      <c r="F80" s="23">
        <f t="shared" si="4"/>
        <v>0.32104846604110243</v>
      </c>
      <c r="G80" s="3"/>
      <c r="H80" s="3"/>
      <c r="I80" s="3"/>
      <c r="J80" s="23">
        <f t="shared" si="5"/>
        <v>0</v>
      </c>
      <c r="K80" s="3"/>
      <c r="L80" s="3">
        <f t="shared" si="6"/>
        <v>153110.63</v>
      </c>
      <c r="M80" s="3"/>
      <c r="N80" s="23">
        <f t="shared" si="7"/>
        <v>0</v>
      </c>
      <c r="O80" s="12"/>
      <c r="P80" s="3">
        <v>153110.63</v>
      </c>
      <c r="Q80" s="3"/>
      <c r="R80" s="23">
        <f t="shared" si="8"/>
        <v>0.32104846604110243</v>
      </c>
      <c r="S80" s="3"/>
      <c r="T80" s="3"/>
      <c r="U80" s="3"/>
      <c r="V80" s="23">
        <f t="shared" si="9"/>
        <v>0</v>
      </c>
      <c r="W80" s="3"/>
      <c r="X80" s="3">
        <f t="shared" si="10"/>
        <v>153110.63</v>
      </c>
      <c r="Y80" s="3"/>
      <c r="Z80" s="23">
        <f t="shared" si="11"/>
        <v>0</v>
      </c>
    </row>
    <row r="81" spans="1:26" s="24" customFormat="1" hidden="1" outlineLevel="1" x14ac:dyDescent="0.25">
      <c r="A81" s="51"/>
      <c r="B81" s="12" t="str">
        <f>CONCATENATE("          ", "5002", " - ", "PURCHASES @ COST-USED TEXT")</f>
        <v xml:space="preserve">          5002 - PURCHASES @ COST-USED TEXT</v>
      </c>
      <c r="C81" s="12"/>
      <c r="D81" s="3">
        <v>60324.850000000006</v>
      </c>
      <c r="E81" s="3"/>
      <c r="F81" s="23">
        <f t="shared" si="4"/>
        <v>0.12649154769110152</v>
      </c>
      <c r="G81" s="3"/>
      <c r="H81" s="3"/>
      <c r="I81" s="3"/>
      <c r="J81" s="23">
        <f t="shared" si="5"/>
        <v>0</v>
      </c>
      <c r="K81" s="3"/>
      <c r="L81" s="3">
        <f t="shared" si="6"/>
        <v>60324.850000000006</v>
      </c>
      <c r="M81" s="3"/>
      <c r="N81" s="23">
        <f t="shared" si="7"/>
        <v>0</v>
      </c>
      <c r="O81" s="12"/>
      <c r="P81" s="3">
        <v>60324.850000000006</v>
      </c>
      <c r="Q81" s="3"/>
      <c r="R81" s="23">
        <f t="shared" si="8"/>
        <v>0.12649154769110152</v>
      </c>
      <c r="S81" s="3"/>
      <c r="T81" s="3"/>
      <c r="U81" s="3"/>
      <c r="V81" s="23">
        <f t="shared" si="9"/>
        <v>0</v>
      </c>
      <c r="W81" s="3"/>
      <c r="X81" s="3">
        <f t="shared" si="10"/>
        <v>60324.850000000006</v>
      </c>
      <c r="Y81" s="3"/>
      <c r="Z81" s="23">
        <f t="shared" si="11"/>
        <v>0</v>
      </c>
    </row>
    <row r="82" spans="1:26" s="24" customFormat="1" hidden="1" outlineLevel="1" x14ac:dyDescent="0.25">
      <c r="A82" s="51"/>
      <c r="B82" s="12" t="str">
        <f>CONCATENATE("          ", "5003", " - ", "PURCHASES @ COST-RENTAL TEXT")</f>
        <v xml:space="preserve">          5003 - PURCHASES @ COST-RENTAL TEXT</v>
      </c>
      <c r="C82" s="12"/>
      <c r="D82" s="3">
        <v>-11926.64</v>
      </c>
      <c r="E82" s="3"/>
      <c r="F82" s="23">
        <f t="shared" si="4"/>
        <v>-2.5008253685746405E-2</v>
      </c>
      <c r="G82" s="3"/>
      <c r="H82" s="3"/>
      <c r="I82" s="3"/>
      <c r="J82" s="23">
        <f t="shared" si="5"/>
        <v>0</v>
      </c>
      <c r="K82" s="3"/>
      <c r="L82" s="3">
        <f t="shared" si="6"/>
        <v>-11926.64</v>
      </c>
      <c r="M82" s="3"/>
      <c r="N82" s="23">
        <f t="shared" si="7"/>
        <v>0</v>
      </c>
      <c r="O82" s="12"/>
      <c r="P82" s="3">
        <v>-11926.64</v>
      </c>
      <c r="Q82" s="3"/>
      <c r="R82" s="23">
        <f t="shared" si="8"/>
        <v>-2.5008253685746405E-2</v>
      </c>
      <c r="S82" s="3"/>
      <c r="T82" s="3"/>
      <c r="U82" s="3"/>
      <c r="V82" s="23">
        <f t="shared" si="9"/>
        <v>0</v>
      </c>
      <c r="W82" s="3"/>
      <c r="X82" s="3">
        <f t="shared" si="10"/>
        <v>-11926.64</v>
      </c>
      <c r="Y82" s="3"/>
      <c r="Z82" s="23">
        <f t="shared" si="11"/>
        <v>0</v>
      </c>
    </row>
    <row r="83" spans="1:26" s="24" customFormat="1" hidden="1" outlineLevel="1" x14ac:dyDescent="0.25">
      <c r="A83" s="51"/>
      <c r="B83" s="12" t="str">
        <f>CONCATENATE("          ", "5004", " - ", "PURCHASES @ COST-DIGITAL TEXT")</f>
        <v xml:space="preserve">          5004 - PURCHASES @ COST-DIGITAL TEXT</v>
      </c>
      <c r="C83" s="12"/>
      <c r="D83" s="3">
        <v>4925.4799999999996</v>
      </c>
      <c r="E83" s="3"/>
      <c r="F83" s="23">
        <f t="shared" si="4"/>
        <v>1.0327942602784204E-2</v>
      </c>
      <c r="G83" s="3"/>
      <c r="H83" s="3"/>
      <c r="I83" s="3"/>
      <c r="J83" s="23">
        <f t="shared" si="5"/>
        <v>0</v>
      </c>
      <c r="K83" s="3"/>
      <c r="L83" s="3">
        <f t="shared" si="6"/>
        <v>4925.4799999999996</v>
      </c>
      <c r="M83" s="3"/>
      <c r="N83" s="23">
        <f t="shared" si="7"/>
        <v>0</v>
      </c>
      <c r="O83" s="12"/>
      <c r="P83" s="3">
        <v>4925.4799999999996</v>
      </c>
      <c r="Q83" s="3"/>
      <c r="R83" s="23">
        <f t="shared" si="8"/>
        <v>1.0327942602784204E-2</v>
      </c>
      <c r="S83" s="3"/>
      <c r="T83" s="3"/>
      <c r="U83" s="3"/>
      <c r="V83" s="23">
        <f t="shared" si="9"/>
        <v>0</v>
      </c>
      <c r="W83" s="3"/>
      <c r="X83" s="3">
        <f t="shared" si="10"/>
        <v>4925.4799999999996</v>
      </c>
      <c r="Y83" s="3"/>
      <c r="Z83" s="23">
        <f t="shared" si="11"/>
        <v>0</v>
      </c>
    </row>
    <row r="84" spans="1:26" s="24" customFormat="1" hidden="1" outlineLevel="1" x14ac:dyDescent="0.25">
      <c r="A84" s="51"/>
      <c r="B84" s="12" t="str">
        <f>CONCATENATE("          ", "5013", " - ", "PURCHASES @ COST-TRADE BOOKS")</f>
        <v xml:space="preserve">          5013 - PURCHASES @ COST-TRADE BOOKS</v>
      </c>
      <c r="C84" s="12"/>
      <c r="D84" s="3">
        <v>108.54</v>
      </c>
      <c r="E84" s="3"/>
      <c r="F84" s="23">
        <f t="shared" si="4"/>
        <v>2.2759099419877811E-4</v>
      </c>
      <c r="G84" s="3"/>
      <c r="H84" s="3"/>
      <c r="I84" s="3"/>
      <c r="J84" s="23">
        <f t="shared" si="5"/>
        <v>0</v>
      </c>
      <c r="K84" s="3"/>
      <c r="L84" s="3">
        <f t="shared" si="6"/>
        <v>108.54</v>
      </c>
      <c r="M84" s="3"/>
      <c r="N84" s="23">
        <f t="shared" si="7"/>
        <v>0</v>
      </c>
      <c r="O84" s="12"/>
      <c r="P84" s="3">
        <v>108.54</v>
      </c>
      <c r="Q84" s="3"/>
      <c r="R84" s="23">
        <f t="shared" si="8"/>
        <v>2.2759099419877811E-4</v>
      </c>
      <c r="S84" s="3"/>
      <c r="T84" s="3"/>
      <c r="U84" s="3"/>
      <c r="V84" s="23">
        <f t="shared" si="9"/>
        <v>0</v>
      </c>
      <c r="W84" s="3"/>
      <c r="X84" s="3">
        <f t="shared" si="10"/>
        <v>108.54</v>
      </c>
      <c r="Y84" s="3"/>
      <c r="Z84" s="23">
        <f t="shared" si="11"/>
        <v>0</v>
      </c>
    </row>
    <row r="85" spans="1:26" s="24" customFormat="1" hidden="1" outlineLevel="1" x14ac:dyDescent="0.25">
      <c r="A85" s="51"/>
      <c r="B85" s="12" t="str">
        <f>CONCATENATE("          ", "5014", " - ", "PURCHASES @ COST-REMAINDERS")</f>
        <v xml:space="preserve">          5014 - PURCHASES @ COST-REMAINDERS</v>
      </c>
      <c r="C85" s="12"/>
      <c r="D85" s="3">
        <v>-12.51</v>
      </c>
      <c r="E85" s="3"/>
      <c r="F85" s="23">
        <f t="shared" si="4"/>
        <v>-2.6231466163872433E-5</v>
      </c>
      <c r="G85" s="3"/>
      <c r="H85" s="3"/>
      <c r="I85" s="3"/>
      <c r="J85" s="23">
        <f t="shared" si="5"/>
        <v>0</v>
      </c>
      <c r="K85" s="3"/>
      <c r="L85" s="3">
        <f t="shared" si="6"/>
        <v>-12.51</v>
      </c>
      <c r="M85" s="3"/>
      <c r="N85" s="23">
        <f t="shared" si="7"/>
        <v>0</v>
      </c>
      <c r="O85" s="12"/>
      <c r="P85" s="3">
        <v>-12.51</v>
      </c>
      <c r="Q85" s="3"/>
      <c r="R85" s="23">
        <f t="shared" si="8"/>
        <v>-2.6231466163872433E-5</v>
      </c>
      <c r="S85" s="3"/>
      <c r="T85" s="3"/>
      <c r="U85" s="3"/>
      <c r="V85" s="23">
        <f t="shared" si="9"/>
        <v>0</v>
      </c>
      <c r="W85" s="3"/>
      <c r="X85" s="3">
        <f t="shared" si="10"/>
        <v>-12.51</v>
      </c>
      <c r="Y85" s="3"/>
      <c r="Z85" s="23">
        <f t="shared" si="11"/>
        <v>0</v>
      </c>
    </row>
    <row r="86" spans="1:26" s="24" customFormat="1" hidden="1" outlineLevel="1" x14ac:dyDescent="0.25">
      <c r="A86" s="51"/>
      <c r="B86" s="12" t="str">
        <f>CONCATENATE("          ", "5027", " - ", "PURCHASES @ COST-SCHOOL SUPPLI")</f>
        <v xml:space="preserve">          5027 - PURCHASES @ COST-SCHOOL SUPPLI</v>
      </c>
      <c r="C86" s="12"/>
      <c r="D86" s="3">
        <v>8503.4</v>
      </c>
      <c r="E86" s="3"/>
      <c r="F86" s="23">
        <f t="shared" si="4"/>
        <v>1.7830267736040996E-2</v>
      </c>
      <c r="G86" s="3"/>
      <c r="H86" s="3"/>
      <c r="I86" s="3"/>
      <c r="J86" s="23">
        <f t="shared" si="5"/>
        <v>0</v>
      </c>
      <c r="K86" s="3"/>
      <c r="L86" s="3">
        <f t="shared" si="6"/>
        <v>8503.4</v>
      </c>
      <c r="M86" s="3"/>
      <c r="N86" s="23">
        <f t="shared" si="7"/>
        <v>0</v>
      </c>
      <c r="O86" s="12"/>
      <c r="P86" s="3">
        <v>8503.4</v>
      </c>
      <c r="Q86" s="3"/>
      <c r="R86" s="23">
        <f t="shared" si="8"/>
        <v>1.7830267736040996E-2</v>
      </c>
      <c r="S86" s="3"/>
      <c r="T86" s="3"/>
      <c r="U86" s="3"/>
      <c r="V86" s="23">
        <f t="shared" si="9"/>
        <v>0</v>
      </c>
      <c r="W86" s="3"/>
      <c r="X86" s="3">
        <f t="shared" si="10"/>
        <v>8503.4</v>
      </c>
      <c r="Y86" s="3"/>
      <c r="Z86" s="23">
        <f t="shared" si="11"/>
        <v>0</v>
      </c>
    </row>
    <row r="87" spans="1:26" s="24" customFormat="1" hidden="1" outlineLevel="1" x14ac:dyDescent="0.25">
      <c r="A87" s="51"/>
      <c r="B87" s="12" t="str">
        <f>CONCATENATE("          ", "5040", " - ", "PURCHASES @ COST-LOGO CLOTHING")</f>
        <v xml:space="preserve">          5040 - PURCHASES @ COST-LOGO CLOTHING</v>
      </c>
      <c r="C87" s="12"/>
      <c r="D87" s="3">
        <v>1723.07</v>
      </c>
      <c r="E87" s="3"/>
      <c r="F87" s="23">
        <f t="shared" si="4"/>
        <v>3.6130017908060489E-3</v>
      </c>
      <c r="G87" s="3"/>
      <c r="H87" s="3"/>
      <c r="I87" s="3"/>
      <c r="J87" s="23">
        <f t="shared" si="5"/>
        <v>0</v>
      </c>
      <c r="K87" s="3"/>
      <c r="L87" s="3">
        <f t="shared" si="6"/>
        <v>1723.07</v>
      </c>
      <c r="M87" s="3"/>
      <c r="N87" s="23">
        <f t="shared" si="7"/>
        <v>0</v>
      </c>
      <c r="O87" s="12"/>
      <c r="P87" s="3">
        <v>1723.07</v>
      </c>
      <c r="Q87" s="3"/>
      <c r="R87" s="23">
        <f t="shared" si="8"/>
        <v>3.6130017908060489E-3</v>
      </c>
      <c r="S87" s="3"/>
      <c r="T87" s="3"/>
      <c r="U87" s="3"/>
      <c r="V87" s="23">
        <f t="shared" si="9"/>
        <v>0</v>
      </c>
      <c r="W87" s="3"/>
      <c r="X87" s="3">
        <f t="shared" si="10"/>
        <v>1723.07</v>
      </c>
      <c r="Y87" s="3"/>
      <c r="Z87" s="23">
        <f t="shared" si="11"/>
        <v>0</v>
      </c>
    </row>
    <row r="88" spans="1:26" s="24" customFormat="1" hidden="1" outlineLevel="1" x14ac:dyDescent="0.25">
      <c r="A88" s="51"/>
      <c r="B88" s="12" t="str">
        <f>CONCATENATE("          ", "5041", " - ", "PURCHASES @ COST-LOGO GIFTS")</f>
        <v xml:space="preserve">          5041 - PURCHASES @ COST-LOGO GIFTS</v>
      </c>
      <c r="C88" s="12"/>
      <c r="D88" s="3">
        <v>-713.75</v>
      </c>
      <c r="E88" s="3"/>
      <c r="F88" s="23">
        <f t="shared" si="4"/>
        <v>-1.4966194224191806E-3</v>
      </c>
      <c r="G88" s="3"/>
      <c r="H88" s="3"/>
      <c r="I88" s="3"/>
      <c r="J88" s="23">
        <f t="shared" si="5"/>
        <v>0</v>
      </c>
      <c r="K88" s="3"/>
      <c r="L88" s="3">
        <f t="shared" si="6"/>
        <v>-713.75</v>
      </c>
      <c r="M88" s="3"/>
      <c r="N88" s="23">
        <f t="shared" si="7"/>
        <v>0</v>
      </c>
      <c r="O88" s="12"/>
      <c r="P88" s="3">
        <v>-713.75</v>
      </c>
      <c r="Q88" s="3"/>
      <c r="R88" s="23">
        <f t="shared" si="8"/>
        <v>-1.4966194224191806E-3</v>
      </c>
      <c r="S88" s="3"/>
      <c r="T88" s="3"/>
      <c r="U88" s="3"/>
      <c r="V88" s="23">
        <f t="shared" si="9"/>
        <v>0</v>
      </c>
      <c r="W88" s="3"/>
      <c r="X88" s="3">
        <f t="shared" si="10"/>
        <v>-713.75</v>
      </c>
      <c r="Y88" s="3"/>
      <c r="Z88" s="23">
        <f t="shared" si="11"/>
        <v>0</v>
      </c>
    </row>
    <row r="89" spans="1:26" s="24" customFormat="1" hidden="1" outlineLevel="1" x14ac:dyDescent="0.25">
      <c r="A89" s="51"/>
      <c r="B89" s="12" t="str">
        <f>CONCATENATE("          ", "5042", " - ", "PURCHASES @ COST-EVERYDAY GIFT")</f>
        <v xml:space="preserve">          5042 - PURCHASES @ COST-EVERYDAY GIFT</v>
      </c>
      <c r="C89" s="12"/>
      <c r="D89" s="3">
        <v>236.16</v>
      </c>
      <c r="E89" s="3"/>
      <c r="F89" s="23">
        <f t="shared" si="4"/>
        <v>4.9518969218705945E-4</v>
      </c>
      <c r="G89" s="3"/>
      <c r="H89" s="3"/>
      <c r="I89" s="3"/>
      <c r="J89" s="23">
        <f t="shared" si="5"/>
        <v>0</v>
      </c>
      <c r="K89" s="3"/>
      <c r="L89" s="3">
        <f t="shared" si="6"/>
        <v>236.16</v>
      </c>
      <c r="M89" s="3"/>
      <c r="N89" s="23">
        <f t="shared" si="7"/>
        <v>0</v>
      </c>
      <c r="O89" s="12"/>
      <c r="P89" s="3">
        <v>236.16</v>
      </c>
      <c r="Q89" s="3"/>
      <c r="R89" s="23">
        <f t="shared" si="8"/>
        <v>4.9518969218705945E-4</v>
      </c>
      <c r="S89" s="3"/>
      <c r="T89" s="3"/>
      <c r="U89" s="3"/>
      <c r="V89" s="23">
        <f t="shared" si="9"/>
        <v>0</v>
      </c>
      <c r="W89" s="3"/>
      <c r="X89" s="3">
        <f t="shared" si="10"/>
        <v>236.16</v>
      </c>
      <c r="Y89" s="3"/>
      <c r="Z89" s="23">
        <f t="shared" si="11"/>
        <v>0</v>
      </c>
    </row>
    <row r="90" spans="1:26" s="24" customFormat="1" hidden="1" outlineLevel="1" x14ac:dyDescent="0.25">
      <c r="A90" s="51"/>
      <c r="B90" s="12" t="str">
        <f>CONCATENATE("          ", "5043", " - ", "PURCHASES @ COST-CARDS")</f>
        <v xml:space="preserve">          5043 - PURCHASES @ COST-CARDS</v>
      </c>
      <c r="C90" s="12"/>
      <c r="D90" s="3">
        <v>308.7</v>
      </c>
      <c r="E90" s="3"/>
      <c r="F90" s="23">
        <f t="shared" si="4"/>
        <v>6.4729445282073704E-4</v>
      </c>
      <c r="G90" s="3"/>
      <c r="H90" s="3"/>
      <c r="I90" s="3"/>
      <c r="J90" s="23">
        <f t="shared" si="5"/>
        <v>0</v>
      </c>
      <c r="K90" s="3"/>
      <c r="L90" s="3">
        <f t="shared" si="6"/>
        <v>308.7</v>
      </c>
      <c r="M90" s="3"/>
      <c r="N90" s="23">
        <f t="shared" si="7"/>
        <v>0</v>
      </c>
      <c r="O90" s="12"/>
      <c r="P90" s="3">
        <v>308.7</v>
      </c>
      <c r="Q90" s="3"/>
      <c r="R90" s="23">
        <f t="shared" si="8"/>
        <v>6.4729445282073704E-4</v>
      </c>
      <c r="S90" s="3"/>
      <c r="T90" s="3"/>
      <c r="U90" s="3"/>
      <c r="V90" s="23">
        <f t="shared" si="9"/>
        <v>0</v>
      </c>
      <c r="W90" s="3"/>
      <c r="X90" s="3">
        <f t="shared" si="10"/>
        <v>308.7</v>
      </c>
      <c r="Y90" s="3"/>
      <c r="Z90" s="23">
        <f t="shared" si="11"/>
        <v>0</v>
      </c>
    </row>
    <row r="91" spans="1:26" s="24" customFormat="1" hidden="1" outlineLevel="1" x14ac:dyDescent="0.25">
      <c r="A91" s="51"/>
      <c r="B91" s="12" t="str">
        <f>CONCATENATE("          ", "5045", " - ", "PURCHASES @ COST-SPECIAL ORDER")</f>
        <v xml:space="preserve">          5045 - PURCHASES @ COST-SPECIAL ORDER</v>
      </c>
      <c r="C91" s="12"/>
      <c r="D91" s="3">
        <v>2756.21</v>
      </c>
      <c r="E91" s="3"/>
      <c r="F91" s="23">
        <f t="shared" si="4"/>
        <v>5.7793308837351589E-3</v>
      </c>
      <c r="G91" s="3"/>
      <c r="H91" s="3"/>
      <c r="I91" s="3"/>
      <c r="J91" s="23">
        <f t="shared" si="5"/>
        <v>0</v>
      </c>
      <c r="K91" s="3"/>
      <c r="L91" s="3">
        <f t="shared" si="6"/>
        <v>2756.21</v>
      </c>
      <c r="M91" s="3"/>
      <c r="N91" s="23">
        <f t="shared" si="7"/>
        <v>0</v>
      </c>
      <c r="O91" s="12"/>
      <c r="P91" s="3">
        <v>2756.21</v>
      </c>
      <c r="Q91" s="3"/>
      <c r="R91" s="23">
        <f t="shared" si="8"/>
        <v>5.7793308837351589E-3</v>
      </c>
      <c r="S91" s="3"/>
      <c r="T91" s="3"/>
      <c r="U91" s="3"/>
      <c r="V91" s="23">
        <f t="shared" si="9"/>
        <v>0</v>
      </c>
      <c r="W91" s="3"/>
      <c r="X91" s="3">
        <f t="shared" si="10"/>
        <v>2756.21</v>
      </c>
      <c r="Y91" s="3"/>
      <c r="Z91" s="23">
        <f t="shared" si="11"/>
        <v>0</v>
      </c>
    </row>
    <row r="92" spans="1:26" s="24" customFormat="1" hidden="1" outlineLevel="1" x14ac:dyDescent="0.25">
      <c r="A92" s="51"/>
      <c r="B92" s="12" t="str">
        <f>CONCATENATE("          ", "5053", " - ", "PURCHASES @ COST-FOOD")</f>
        <v xml:space="preserve">          5053 - PURCHASES @ COST-FOOD</v>
      </c>
      <c r="C92" s="12"/>
      <c r="D92" s="3">
        <v>8053.75</v>
      </c>
      <c r="E92" s="3"/>
      <c r="F92" s="23">
        <f t="shared" si="4"/>
        <v>1.6887423710414677E-2</v>
      </c>
      <c r="G92" s="3"/>
      <c r="H92" s="3"/>
      <c r="I92" s="3"/>
      <c r="J92" s="23">
        <f t="shared" si="5"/>
        <v>0</v>
      </c>
      <c r="K92" s="3"/>
      <c r="L92" s="3">
        <f t="shared" si="6"/>
        <v>8053.75</v>
      </c>
      <c r="M92" s="3"/>
      <c r="N92" s="23">
        <f t="shared" si="7"/>
        <v>0</v>
      </c>
      <c r="O92" s="12"/>
      <c r="P92" s="3">
        <v>8053.75</v>
      </c>
      <c r="Q92" s="3"/>
      <c r="R92" s="23">
        <f t="shared" si="8"/>
        <v>1.6887423710414677E-2</v>
      </c>
      <c r="S92" s="3"/>
      <c r="T92" s="3"/>
      <c r="U92" s="3"/>
      <c r="V92" s="23">
        <f t="shared" si="9"/>
        <v>0</v>
      </c>
      <c r="W92" s="3"/>
      <c r="X92" s="3">
        <f t="shared" si="10"/>
        <v>8053.75</v>
      </c>
      <c r="Y92" s="3"/>
      <c r="Z92" s="23">
        <f t="shared" si="11"/>
        <v>0</v>
      </c>
    </row>
    <row r="93" spans="1:26" s="24" customFormat="1" hidden="1" outlineLevel="1" x14ac:dyDescent="0.25">
      <c r="A93" s="51"/>
      <c r="B93" s="12" t="str">
        <f>CONCATENATE("          ", "5059", " - ", "PURCHASES @ COST-FOOD")</f>
        <v xml:space="preserve">          5059 - PURCHASES @ COST-FOOD</v>
      </c>
      <c r="C93" s="12"/>
      <c r="D93" s="3">
        <v>3409</v>
      </c>
      <c r="E93" s="3"/>
      <c r="F93" s="23">
        <f t="shared" si="4"/>
        <v>7.1481269506507693E-3</v>
      </c>
      <c r="G93" s="3"/>
      <c r="H93" s="3"/>
      <c r="I93" s="3"/>
      <c r="J93" s="23">
        <f t="shared" si="5"/>
        <v>0</v>
      </c>
      <c r="K93" s="3"/>
      <c r="L93" s="3">
        <f t="shared" si="6"/>
        <v>3409</v>
      </c>
      <c r="M93" s="3"/>
      <c r="N93" s="23">
        <f t="shared" si="7"/>
        <v>0</v>
      </c>
      <c r="O93" s="12"/>
      <c r="P93" s="3">
        <v>3409</v>
      </c>
      <c r="Q93" s="3"/>
      <c r="R93" s="23">
        <f t="shared" si="8"/>
        <v>7.1481269506507693E-3</v>
      </c>
      <c r="S93" s="3"/>
      <c r="T93" s="3"/>
      <c r="U93" s="3"/>
      <c r="V93" s="23">
        <f t="shared" si="9"/>
        <v>0</v>
      </c>
      <c r="W93" s="3"/>
      <c r="X93" s="3">
        <f t="shared" si="10"/>
        <v>3409</v>
      </c>
      <c r="Y93" s="3"/>
      <c r="Z93" s="23">
        <f t="shared" si="11"/>
        <v>0</v>
      </c>
    </row>
    <row r="94" spans="1:26" s="24" customFormat="1" hidden="1" outlineLevel="1" x14ac:dyDescent="0.25">
      <c r="A94" s="51"/>
      <c r="B94" s="12" t="str">
        <f>CONCATENATE("          ", "5081", " - ", "PURCHASES @ COST-ELECTRONICS")</f>
        <v xml:space="preserve">          5081 - PURCHASES @ COST-ELECTRONICS</v>
      </c>
      <c r="C94" s="12"/>
      <c r="D94" s="3">
        <v>6676.92</v>
      </c>
      <c r="E94" s="3"/>
      <c r="F94" s="23">
        <f t="shared" si="4"/>
        <v>1.4000431739319195E-2</v>
      </c>
      <c r="G94" s="3"/>
      <c r="H94" s="3"/>
      <c r="I94" s="3"/>
      <c r="J94" s="23">
        <f t="shared" si="5"/>
        <v>0</v>
      </c>
      <c r="K94" s="3"/>
      <c r="L94" s="3">
        <f t="shared" si="6"/>
        <v>6676.92</v>
      </c>
      <c r="M94" s="3"/>
      <c r="N94" s="23">
        <f t="shared" si="7"/>
        <v>0</v>
      </c>
      <c r="O94" s="12"/>
      <c r="P94" s="3">
        <v>6676.92</v>
      </c>
      <c r="Q94" s="3"/>
      <c r="R94" s="23">
        <f t="shared" si="8"/>
        <v>1.4000431739319195E-2</v>
      </c>
      <c r="S94" s="3"/>
      <c r="T94" s="3"/>
      <c r="U94" s="3"/>
      <c r="V94" s="23">
        <f t="shared" si="9"/>
        <v>0</v>
      </c>
      <c r="W94" s="3"/>
      <c r="X94" s="3">
        <f t="shared" si="10"/>
        <v>6676.92</v>
      </c>
      <c r="Y94" s="3"/>
      <c r="Z94" s="23">
        <f t="shared" si="11"/>
        <v>0</v>
      </c>
    </row>
    <row r="95" spans="1:26" s="24" customFormat="1" hidden="1" outlineLevel="1" x14ac:dyDescent="0.25">
      <c r="A95" s="51"/>
      <c r="B95" s="12" t="str">
        <f>CONCATENATE("          ", "5082", " - ", "PURCHASES @ COST-COMPUTER HARD")</f>
        <v xml:space="preserve">          5082 - PURCHASES @ COST-COMPUTER HARD</v>
      </c>
      <c r="C95" s="12"/>
      <c r="D95" s="3">
        <v>186472.57</v>
      </c>
      <c r="E95" s="3"/>
      <c r="F95" s="23">
        <f t="shared" si="4"/>
        <v>0.39100311034734886</v>
      </c>
      <c r="G95" s="3"/>
      <c r="H95" s="3"/>
      <c r="I95" s="3"/>
      <c r="J95" s="23">
        <f t="shared" si="5"/>
        <v>0</v>
      </c>
      <c r="K95" s="3"/>
      <c r="L95" s="3">
        <f t="shared" si="6"/>
        <v>186472.57</v>
      </c>
      <c r="M95" s="3"/>
      <c r="N95" s="23">
        <f t="shared" si="7"/>
        <v>0</v>
      </c>
      <c r="O95" s="12"/>
      <c r="P95" s="3">
        <v>186472.57</v>
      </c>
      <c r="Q95" s="3"/>
      <c r="R95" s="23">
        <f t="shared" si="8"/>
        <v>0.39100311034734886</v>
      </c>
      <c r="S95" s="3"/>
      <c r="T95" s="3"/>
      <c r="U95" s="3"/>
      <c r="V95" s="23">
        <f t="shared" si="9"/>
        <v>0</v>
      </c>
      <c r="W95" s="3"/>
      <c r="X95" s="3">
        <f t="shared" si="10"/>
        <v>186472.57</v>
      </c>
      <c r="Y95" s="3"/>
      <c r="Z95" s="23">
        <f t="shared" si="11"/>
        <v>0</v>
      </c>
    </row>
    <row r="96" spans="1:26" s="24" customFormat="1" hidden="1" outlineLevel="1" x14ac:dyDescent="0.25">
      <c r="A96" s="51"/>
      <c r="B96" s="12" t="str">
        <f>CONCATENATE("          ", "5083", " - ", "PURCHASES @ COST-COMPUTER EQUI")</f>
        <v xml:space="preserve">          5083 - PURCHASES @ COST-COMPUTER EQUI</v>
      </c>
      <c r="C96" s="12"/>
      <c r="D96" s="3">
        <v>29938.300000000003</v>
      </c>
      <c r="E96" s="3"/>
      <c r="F96" s="23">
        <f t="shared" si="4"/>
        <v>6.2775819620612489E-2</v>
      </c>
      <c r="G96" s="3"/>
      <c r="H96" s="3"/>
      <c r="I96" s="3"/>
      <c r="J96" s="23">
        <f t="shared" si="5"/>
        <v>0</v>
      </c>
      <c r="K96" s="3"/>
      <c r="L96" s="3">
        <f t="shared" si="6"/>
        <v>29938.300000000003</v>
      </c>
      <c r="M96" s="3"/>
      <c r="N96" s="23">
        <f t="shared" si="7"/>
        <v>0</v>
      </c>
      <c r="O96" s="12"/>
      <c r="P96" s="3">
        <v>29938.300000000003</v>
      </c>
      <c r="Q96" s="3"/>
      <c r="R96" s="23">
        <f t="shared" si="8"/>
        <v>6.2775819620612489E-2</v>
      </c>
      <c r="S96" s="3"/>
      <c r="T96" s="3"/>
      <c r="U96" s="3"/>
      <c r="V96" s="23">
        <f t="shared" si="9"/>
        <v>0</v>
      </c>
      <c r="W96" s="3"/>
      <c r="X96" s="3">
        <f t="shared" si="10"/>
        <v>29938.300000000003</v>
      </c>
      <c r="Y96" s="3"/>
      <c r="Z96" s="23">
        <f t="shared" si="11"/>
        <v>0</v>
      </c>
    </row>
    <row r="97" spans="1:26" s="24" customFormat="1" hidden="1" outlineLevel="1" x14ac:dyDescent="0.25">
      <c r="A97" s="51"/>
      <c r="B97" s="12" t="str">
        <f>CONCATENATE("          ", "5085", " - ", "PURCHASES @ COST-SOFTWARE")</f>
        <v xml:space="preserve">          5085 - PURCHASES @ COST-SOFTWARE</v>
      </c>
      <c r="C97" s="12"/>
      <c r="D97" s="3">
        <v>3864.34</v>
      </c>
      <c r="E97" s="3"/>
      <c r="F97" s="23">
        <f t="shared" si="4"/>
        <v>8.1029019948600164E-3</v>
      </c>
      <c r="G97" s="3"/>
      <c r="H97" s="3"/>
      <c r="I97" s="3"/>
      <c r="J97" s="23">
        <f t="shared" si="5"/>
        <v>0</v>
      </c>
      <c r="K97" s="3"/>
      <c r="L97" s="3">
        <f t="shared" si="6"/>
        <v>3864.34</v>
      </c>
      <c r="M97" s="3"/>
      <c r="N97" s="23">
        <f t="shared" si="7"/>
        <v>0</v>
      </c>
      <c r="O97" s="12"/>
      <c r="P97" s="3">
        <v>3864.34</v>
      </c>
      <c r="Q97" s="3"/>
      <c r="R97" s="23">
        <f t="shared" si="8"/>
        <v>8.1029019948600164E-3</v>
      </c>
      <c r="S97" s="3"/>
      <c r="T97" s="3"/>
      <c r="U97" s="3"/>
      <c r="V97" s="23">
        <f t="shared" si="9"/>
        <v>0</v>
      </c>
      <c r="W97" s="3"/>
      <c r="X97" s="3">
        <f t="shared" si="10"/>
        <v>3864.34</v>
      </c>
      <c r="Y97" s="3"/>
      <c r="Z97" s="23">
        <f t="shared" si="11"/>
        <v>0</v>
      </c>
    </row>
    <row r="98" spans="1:26" s="24" customFormat="1" hidden="1" outlineLevel="1" x14ac:dyDescent="0.25">
      <c r="A98" s="51"/>
      <c r="B98" s="12" t="str">
        <f>CONCATENATE("          ", "5086", " - ", "PURCHASES @ COST-COMPUTER SUPP")</f>
        <v xml:space="preserve">          5086 - PURCHASES @ COST-COMPUTER SUPP</v>
      </c>
      <c r="C98" s="12"/>
      <c r="D98" s="3">
        <v>87.25</v>
      </c>
      <c r="E98" s="3"/>
      <c r="F98" s="23">
        <f t="shared" si="4"/>
        <v>1.8294927440430615E-4</v>
      </c>
      <c r="G98" s="3"/>
      <c r="H98" s="3"/>
      <c r="I98" s="3"/>
      <c r="J98" s="23">
        <f t="shared" si="5"/>
        <v>0</v>
      </c>
      <c r="K98" s="3"/>
      <c r="L98" s="3">
        <f t="shared" si="6"/>
        <v>87.25</v>
      </c>
      <c r="M98" s="3"/>
      <c r="N98" s="23">
        <f t="shared" si="7"/>
        <v>0</v>
      </c>
      <c r="O98" s="12"/>
      <c r="P98" s="3">
        <v>87.25</v>
      </c>
      <c r="Q98" s="3"/>
      <c r="R98" s="23">
        <f t="shared" si="8"/>
        <v>1.8294927440430615E-4</v>
      </c>
      <c r="S98" s="3"/>
      <c r="T98" s="3"/>
      <c r="U98" s="3"/>
      <c r="V98" s="23">
        <f t="shared" si="9"/>
        <v>0</v>
      </c>
      <c r="W98" s="3"/>
      <c r="X98" s="3">
        <f t="shared" si="10"/>
        <v>87.25</v>
      </c>
      <c r="Y98" s="3"/>
      <c r="Z98" s="23">
        <f t="shared" si="11"/>
        <v>0</v>
      </c>
    </row>
    <row r="99" spans="1:26" s="24" customFormat="1" hidden="1" outlineLevel="1" x14ac:dyDescent="0.25">
      <c r="A99" s="51"/>
      <c r="B99" s="12" t="str">
        <f>CONCATENATE("          ", "5200", " - ", "PURCHASES OFFSET")</f>
        <v xml:space="preserve">          5200 - PURCHASES OFFSET</v>
      </c>
      <c r="C99" s="12"/>
      <c r="D99" s="3">
        <v>-442822.05</v>
      </c>
      <c r="E99" s="3"/>
      <c r="F99" s="23">
        <f t="shared" si="4"/>
        <v>-0.92852690816879513</v>
      </c>
      <c r="G99" s="3"/>
      <c r="H99" s="3"/>
      <c r="I99" s="3"/>
      <c r="J99" s="23">
        <f t="shared" si="5"/>
        <v>0</v>
      </c>
      <c r="K99" s="3"/>
      <c r="L99" s="3">
        <f t="shared" si="6"/>
        <v>-442822.05</v>
      </c>
      <c r="M99" s="3"/>
      <c r="N99" s="23">
        <f t="shared" si="7"/>
        <v>0</v>
      </c>
      <c r="O99" s="12"/>
      <c r="P99" s="3">
        <v>-442822.05</v>
      </c>
      <c r="Q99" s="3"/>
      <c r="R99" s="23">
        <f t="shared" si="8"/>
        <v>-0.92852690816879513</v>
      </c>
      <c r="S99" s="3"/>
      <c r="T99" s="3"/>
      <c r="U99" s="3"/>
      <c r="V99" s="23">
        <f t="shared" si="9"/>
        <v>0</v>
      </c>
      <c r="W99" s="3"/>
      <c r="X99" s="3">
        <f t="shared" si="10"/>
        <v>-442822.05</v>
      </c>
      <c r="Y99" s="3"/>
      <c r="Z99" s="23">
        <f t="shared" si="11"/>
        <v>0</v>
      </c>
    </row>
    <row r="100" spans="1:26" s="24" customFormat="1" hidden="1" outlineLevel="1" x14ac:dyDescent="0.25">
      <c r="A100" s="51"/>
      <c r="B100" s="12" t="str">
        <f>CONCATENATE("          ", "5300", " - ", "COG$ OFFSET")</f>
        <v xml:space="preserve">          5300 - COG$ OFFSET</v>
      </c>
      <c r="C100" s="12"/>
      <c r="D100" s="3">
        <v>319584</v>
      </c>
      <c r="E100" s="3"/>
      <c r="F100" s="23">
        <f t="shared" si="4"/>
        <v>0.67011645743525239</v>
      </c>
      <c r="G100" s="3"/>
      <c r="H100" s="3"/>
      <c r="I100" s="3"/>
      <c r="J100" s="23">
        <f t="shared" si="5"/>
        <v>0</v>
      </c>
      <c r="K100" s="3"/>
      <c r="L100" s="3">
        <f t="shared" si="6"/>
        <v>319584</v>
      </c>
      <c r="M100" s="3"/>
      <c r="N100" s="23">
        <f t="shared" si="7"/>
        <v>0</v>
      </c>
      <c r="O100" s="12"/>
      <c r="P100" s="3">
        <v>319584</v>
      </c>
      <c r="Q100" s="3"/>
      <c r="R100" s="23">
        <f t="shared" si="8"/>
        <v>0.67011645743525239</v>
      </c>
      <c r="S100" s="3"/>
      <c r="T100" s="3"/>
      <c r="U100" s="3"/>
      <c r="V100" s="23">
        <f t="shared" si="9"/>
        <v>0</v>
      </c>
      <c r="W100" s="3"/>
      <c r="X100" s="3">
        <f t="shared" si="10"/>
        <v>319584</v>
      </c>
      <c r="Y100" s="3"/>
      <c r="Z100" s="23">
        <f t="shared" si="11"/>
        <v>0</v>
      </c>
    </row>
    <row r="101" spans="1:26" s="24" customFormat="1" hidden="1" outlineLevel="1" x14ac:dyDescent="0.25">
      <c r="A101" s="51"/>
      <c r="B101" s="12" t="str">
        <f>CONCATENATE("          ", "5501", " - ", "FREIGHT-IN-NEW TEXT")</f>
        <v xml:space="preserve">          5501 - FREIGHT-IN-NEW TEXT</v>
      </c>
      <c r="C101" s="12"/>
      <c r="D101" s="3">
        <v>802.72</v>
      </c>
      <c r="E101" s="3"/>
      <c r="F101" s="23">
        <f t="shared" si="4"/>
        <v>1.6831752613160416E-3</v>
      </c>
      <c r="G101" s="3"/>
      <c r="H101" s="3"/>
      <c r="I101" s="3"/>
      <c r="J101" s="23">
        <f t="shared" si="5"/>
        <v>0</v>
      </c>
      <c r="K101" s="3"/>
      <c r="L101" s="3">
        <f t="shared" si="6"/>
        <v>802.72</v>
      </c>
      <c r="M101" s="3"/>
      <c r="N101" s="23">
        <f t="shared" si="7"/>
        <v>0</v>
      </c>
      <c r="O101" s="12"/>
      <c r="P101" s="3">
        <v>802.72</v>
      </c>
      <c r="Q101" s="3"/>
      <c r="R101" s="23">
        <f t="shared" si="8"/>
        <v>1.6831752613160416E-3</v>
      </c>
      <c r="S101" s="3"/>
      <c r="T101" s="3"/>
      <c r="U101" s="3"/>
      <c r="V101" s="23">
        <f t="shared" si="9"/>
        <v>0</v>
      </c>
      <c r="W101" s="3"/>
      <c r="X101" s="3">
        <f t="shared" si="10"/>
        <v>802.72</v>
      </c>
      <c r="Y101" s="3"/>
      <c r="Z101" s="23">
        <f t="shared" si="11"/>
        <v>0</v>
      </c>
    </row>
    <row r="102" spans="1:26" s="24" customFormat="1" hidden="1" outlineLevel="1" x14ac:dyDescent="0.25">
      <c r="A102" s="51"/>
      <c r="B102" s="12" t="str">
        <f>CONCATENATE("          ", "5502", " - ", "FREIGHT-IN-USED TEXT")</f>
        <v xml:space="preserve">          5502 - FREIGHT-IN-USED TEXT</v>
      </c>
      <c r="C102" s="12"/>
      <c r="D102" s="3">
        <v>47.89</v>
      </c>
      <c r="E102" s="3"/>
      <c r="F102" s="23">
        <f t="shared" si="4"/>
        <v>1.0041765903979623E-4</v>
      </c>
      <c r="G102" s="3"/>
      <c r="H102" s="3"/>
      <c r="I102" s="3"/>
      <c r="J102" s="23">
        <f t="shared" si="5"/>
        <v>0</v>
      </c>
      <c r="K102" s="3"/>
      <c r="L102" s="3">
        <f t="shared" si="6"/>
        <v>47.89</v>
      </c>
      <c r="M102" s="3"/>
      <c r="N102" s="23">
        <f t="shared" si="7"/>
        <v>0</v>
      </c>
      <c r="O102" s="12"/>
      <c r="P102" s="3">
        <v>47.89</v>
      </c>
      <c r="Q102" s="3"/>
      <c r="R102" s="23">
        <f t="shared" si="8"/>
        <v>1.0041765903979623E-4</v>
      </c>
      <c r="S102" s="3"/>
      <c r="T102" s="3"/>
      <c r="U102" s="3"/>
      <c r="V102" s="23">
        <f t="shared" si="9"/>
        <v>0</v>
      </c>
      <c r="W102" s="3"/>
      <c r="X102" s="3">
        <f t="shared" si="10"/>
        <v>47.89</v>
      </c>
      <c r="Y102" s="3"/>
      <c r="Z102" s="23">
        <f t="shared" si="11"/>
        <v>0</v>
      </c>
    </row>
    <row r="103" spans="1:26" s="24" customFormat="1" hidden="1" outlineLevel="1" x14ac:dyDescent="0.25">
      <c r="A103" s="51"/>
      <c r="B103" s="12" t="str">
        <f>CONCATENATE("          ", "5528", " - ", "FREIGHT-IN-ART/TECH")</f>
        <v xml:space="preserve">          5528 - FREIGHT-IN-ART/TECH</v>
      </c>
      <c r="C103" s="12"/>
      <c r="D103" s="3">
        <v>38.049999999999997</v>
      </c>
      <c r="E103" s="3"/>
      <c r="F103" s="23">
        <f t="shared" si="4"/>
        <v>7.9784755198668744E-5</v>
      </c>
      <c r="G103" s="3"/>
      <c r="H103" s="3"/>
      <c r="I103" s="3"/>
      <c r="J103" s="23">
        <f t="shared" si="5"/>
        <v>0</v>
      </c>
      <c r="K103" s="3"/>
      <c r="L103" s="3">
        <f t="shared" si="6"/>
        <v>38.049999999999997</v>
      </c>
      <c r="M103" s="3"/>
      <c r="N103" s="23">
        <f t="shared" si="7"/>
        <v>0</v>
      </c>
      <c r="O103" s="12"/>
      <c r="P103" s="3">
        <v>38.049999999999997</v>
      </c>
      <c r="Q103" s="3"/>
      <c r="R103" s="23">
        <f t="shared" si="8"/>
        <v>7.9784755198668744E-5</v>
      </c>
      <c r="S103" s="3"/>
      <c r="T103" s="3"/>
      <c r="U103" s="3"/>
      <c r="V103" s="23">
        <f t="shared" si="9"/>
        <v>0</v>
      </c>
      <c r="W103" s="3"/>
      <c r="X103" s="3">
        <f t="shared" si="10"/>
        <v>38.049999999999997</v>
      </c>
      <c r="Y103" s="3"/>
      <c r="Z103" s="23">
        <f t="shared" si="11"/>
        <v>0</v>
      </c>
    </row>
    <row r="104" spans="1:26" s="24" customFormat="1" hidden="1" outlineLevel="1" x14ac:dyDescent="0.25">
      <c r="A104" s="51"/>
      <c r="B104" s="12" t="str">
        <f>CONCATENATE("          ", "5540", " - ", "FREIGHT-IN-LOGO CLOTHING")</f>
        <v xml:space="preserve">          5540 - FREIGHT-IN-LOGO CLOTHING</v>
      </c>
      <c r="C104" s="12"/>
      <c r="D104" s="3">
        <v>909.83</v>
      </c>
      <c r="E104" s="3"/>
      <c r="F104" s="23">
        <f t="shared" si="4"/>
        <v>1.9077677745704283E-3</v>
      </c>
      <c r="G104" s="3"/>
      <c r="H104" s="3"/>
      <c r="I104" s="3"/>
      <c r="J104" s="23">
        <f t="shared" si="5"/>
        <v>0</v>
      </c>
      <c r="K104" s="3"/>
      <c r="L104" s="3">
        <f t="shared" si="6"/>
        <v>909.83</v>
      </c>
      <c r="M104" s="3"/>
      <c r="N104" s="23">
        <f t="shared" si="7"/>
        <v>0</v>
      </c>
      <c r="O104" s="12"/>
      <c r="P104" s="3">
        <v>909.83</v>
      </c>
      <c r="Q104" s="3"/>
      <c r="R104" s="23">
        <f t="shared" si="8"/>
        <v>1.9077677745704283E-3</v>
      </c>
      <c r="S104" s="3"/>
      <c r="T104" s="3"/>
      <c r="U104" s="3"/>
      <c r="V104" s="23">
        <f t="shared" si="9"/>
        <v>0</v>
      </c>
      <c r="W104" s="3"/>
      <c r="X104" s="3">
        <f t="shared" si="10"/>
        <v>909.83</v>
      </c>
      <c r="Y104" s="3"/>
      <c r="Z104" s="23">
        <f t="shared" si="11"/>
        <v>0</v>
      </c>
    </row>
    <row r="105" spans="1:26" s="24" customFormat="1" hidden="1" outlineLevel="1" x14ac:dyDescent="0.25">
      <c r="A105" s="51"/>
      <c r="B105" s="12" t="str">
        <f>CONCATENATE("          ", "5541", " - ", "FREIGHT-IN-LOGO GIFTS")</f>
        <v xml:space="preserve">          5541 - FREIGHT-IN-LOGO GIFTS</v>
      </c>
      <c r="C105" s="12"/>
      <c r="D105" s="3">
        <v>83.58</v>
      </c>
      <c r="E105" s="3"/>
      <c r="F105" s="23">
        <f t="shared" si="4"/>
        <v>1.7525387226030839E-4</v>
      </c>
      <c r="G105" s="3"/>
      <c r="H105" s="3"/>
      <c r="I105" s="3"/>
      <c r="J105" s="23">
        <f t="shared" si="5"/>
        <v>0</v>
      </c>
      <c r="K105" s="3"/>
      <c r="L105" s="3">
        <f t="shared" si="6"/>
        <v>83.58</v>
      </c>
      <c r="M105" s="3"/>
      <c r="N105" s="23">
        <f t="shared" si="7"/>
        <v>0</v>
      </c>
      <c r="O105" s="12"/>
      <c r="P105" s="3">
        <v>83.58</v>
      </c>
      <c r="Q105" s="3"/>
      <c r="R105" s="23">
        <f t="shared" si="8"/>
        <v>1.7525387226030839E-4</v>
      </c>
      <c r="S105" s="3"/>
      <c r="T105" s="3"/>
      <c r="U105" s="3"/>
      <c r="V105" s="23">
        <f t="shared" si="9"/>
        <v>0</v>
      </c>
      <c r="W105" s="3"/>
      <c r="X105" s="3">
        <f t="shared" si="10"/>
        <v>83.58</v>
      </c>
      <c r="Y105" s="3"/>
      <c r="Z105" s="23">
        <f t="shared" si="11"/>
        <v>0</v>
      </c>
    </row>
    <row r="106" spans="1:26" s="24" customFormat="1" hidden="1" outlineLevel="1" x14ac:dyDescent="0.25">
      <c r="A106" s="51"/>
      <c r="B106" s="12" t="str">
        <f>CONCATENATE("          ", "5542", " - ", "FREIGHT-IN-EVERYDAY GIFTS")</f>
        <v xml:space="preserve">          5542 - FREIGHT-IN-EVERYDAY GIFTS</v>
      </c>
      <c r="C106" s="12"/>
      <c r="D106" s="3">
        <v>5.94</v>
      </c>
      <c r="E106" s="3"/>
      <c r="F106" s="23">
        <f t="shared" si="4"/>
        <v>1.2455228538241588E-5</v>
      </c>
      <c r="G106" s="3"/>
      <c r="H106" s="3"/>
      <c r="I106" s="3"/>
      <c r="J106" s="23">
        <f t="shared" si="5"/>
        <v>0</v>
      </c>
      <c r="K106" s="3"/>
      <c r="L106" s="3">
        <f t="shared" si="6"/>
        <v>5.94</v>
      </c>
      <c r="M106" s="3"/>
      <c r="N106" s="23">
        <f t="shared" si="7"/>
        <v>0</v>
      </c>
      <c r="O106" s="12"/>
      <c r="P106" s="3">
        <v>5.94</v>
      </c>
      <c r="Q106" s="3"/>
      <c r="R106" s="23">
        <f t="shared" si="8"/>
        <v>1.2455228538241588E-5</v>
      </c>
      <c r="S106" s="3"/>
      <c r="T106" s="3"/>
      <c r="U106" s="3"/>
      <c r="V106" s="23">
        <f t="shared" si="9"/>
        <v>0</v>
      </c>
      <c r="W106" s="3"/>
      <c r="X106" s="3">
        <f t="shared" si="10"/>
        <v>5.94</v>
      </c>
      <c r="Y106" s="3"/>
      <c r="Z106" s="23">
        <f t="shared" si="11"/>
        <v>0</v>
      </c>
    </row>
    <row r="107" spans="1:26" s="24" customFormat="1" hidden="1" outlineLevel="1" x14ac:dyDescent="0.25">
      <c r="A107" s="51"/>
      <c r="B107" s="12" t="str">
        <f>CONCATENATE("          ", "5545", " - ", "FREIGHT-IN-SPECIAL ORDERS")</f>
        <v xml:space="preserve">          5545 - FREIGHT-IN-SPECIAL ORDERS</v>
      </c>
      <c r="C107" s="12"/>
      <c r="D107" s="3">
        <v>300.39999999999998</v>
      </c>
      <c r="E107" s="3"/>
      <c r="F107" s="23">
        <f t="shared" si="4"/>
        <v>6.2989068230433882E-4</v>
      </c>
      <c r="G107" s="3"/>
      <c r="H107" s="3"/>
      <c r="I107" s="3"/>
      <c r="J107" s="23">
        <f t="shared" si="5"/>
        <v>0</v>
      </c>
      <c r="K107" s="3"/>
      <c r="L107" s="3">
        <f t="shared" si="6"/>
        <v>300.39999999999998</v>
      </c>
      <c r="M107" s="3"/>
      <c r="N107" s="23">
        <f t="shared" si="7"/>
        <v>0</v>
      </c>
      <c r="O107" s="12"/>
      <c r="P107" s="3">
        <v>300.39999999999998</v>
      </c>
      <c r="Q107" s="3"/>
      <c r="R107" s="23">
        <f t="shared" si="8"/>
        <v>6.2989068230433882E-4</v>
      </c>
      <c r="S107" s="3"/>
      <c r="T107" s="3"/>
      <c r="U107" s="3"/>
      <c r="V107" s="23">
        <f t="shared" si="9"/>
        <v>0</v>
      </c>
      <c r="W107" s="3"/>
      <c r="X107" s="3">
        <f t="shared" si="10"/>
        <v>300.39999999999998</v>
      </c>
      <c r="Y107" s="3"/>
      <c r="Z107" s="23">
        <f t="shared" si="11"/>
        <v>0</v>
      </c>
    </row>
    <row r="108" spans="1:26" s="24" customFormat="1" hidden="1" outlineLevel="1" x14ac:dyDescent="0.25">
      <c r="A108" s="51"/>
      <c r="B108" s="12" t="str">
        <f>CONCATENATE("          ", "5583", " - ", "FREIGHT-IN-COMPUTER EQUIPMENT")</f>
        <v xml:space="preserve">          5583 - FREIGHT-IN-COMPUTER EQUIPMENT</v>
      </c>
      <c r="C108" s="12"/>
      <c r="D108" s="3">
        <v>17.39</v>
      </c>
      <c r="E108" s="3"/>
      <c r="F108" s="23">
        <f t="shared" si="4"/>
        <v>3.6464044491586063E-5</v>
      </c>
      <c r="G108" s="3"/>
      <c r="H108" s="3"/>
      <c r="I108" s="3"/>
      <c r="J108" s="23">
        <f t="shared" si="5"/>
        <v>0</v>
      </c>
      <c r="K108" s="3"/>
      <c r="L108" s="3">
        <f t="shared" si="6"/>
        <v>17.39</v>
      </c>
      <c r="M108" s="3"/>
      <c r="N108" s="23">
        <f t="shared" si="7"/>
        <v>0</v>
      </c>
      <c r="O108" s="12"/>
      <c r="P108" s="3">
        <v>17.39</v>
      </c>
      <c r="Q108" s="3"/>
      <c r="R108" s="23">
        <f t="shared" si="8"/>
        <v>3.6464044491586063E-5</v>
      </c>
      <c r="S108" s="3"/>
      <c r="T108" s="3"/>
      <c r="U108" s="3"/>
      <c r="V108" s="23">
        <f t="shared" si="9"/>
        <v>0</v>
      </c>
      <c r="W108" s="3"/>
      <c r="X108" s="3">
        <f t="shared" si="10"/>
        <v>17.39</v>
      </c>
      <c r="Y108" s="3"/>
      <c r="Z108" s="23">
        <f t="shared" si="11"/>
        <v>0</v>
      </c>
    </row>
    <row r="109" spans="1:26" x14ac:dyDescent="0.25">
      <c r="A109" s="9"/>
      <c r="B109" s="10"/>
      <c r="C109" s="10"/>
      <c r="D109" s="2"/>
      <c r="E109" s="2"/>
      <c r="F109" s="6"/>
      <c r="G109" s="2"/>
      <c r="H109" s="2"/>
      <c r="I109" s="2"/>
      <c r="J109" s="6"/>
      <c r="K109" s="2"/>
      <c r="L109" s="2"/>
      <c r="M109" s="2"/>
      <c r="N109" s="6"/>
      <c r="O109" s="10"/>
      <c r="P109" s="2"/>
      <c r="Q109" s="2"/>
      <c r="R109" s="6"/>
      <c r="S109" s="2"/>
      <c r="T109" s="2"/>
      <c r="U109" s="2"/>
      <c r="V109" s="6"/>
      <c r="W109" s="2"/>
      <c r="X109" s="2"/>
      <c r="Y109" s="2"/>
      <c r="Z109" s="6"/>
    </row>
    <row r="110" spans="1:26" s="22" customFormat="1" x14ac:dyDescent="0.25">
      <c r="A110" s="10"/>
      <c r="B110" s="25" t="s">
        <v>6</v>
      </c>
      <c r="C110" s="25"/>
      <c r="D110" s="21">
        <f>D12-D78</f>
        <v>140094.12999999989</v>
      </c>
      <c r="E110" s="13"/>
      <c r="F110" s="20">
        <f>IF(D$12=0,0,D110/D$12)</f>
        <v>0.29375495050776523</v>
      </c>
      <c r="G110" s="13"/>
      <c r="H110" s="21">
        <f>H12-H78</f>
        <v>273898</v>
      </c>
      <c r="I110" s="13"/>
      <c r="J110" s="20">
        <f>IF(H$12=0,0,H110/H$12)</f>
        <v>0.39674834904259682</v>
      </c>
      <c r="K110" s="15"/>
      <c r="L110" s="21">
        <f>+D110-H110</f>
        <v>-133803.87000000011</v>
      </c>
      <c r="M110" s="15"/>
      <c r="N110" s="20">
        <f>IF(H110=0,0,L110/H110)</f>
        <v>-0.48851714871959673</v>
      </c>
      <c r="O110" s="26"/>
      <c r="P110" s="21">
        <f>P12-P78</f>
        <v>140094.12999999989</v>
      </c>
      <c r="Q110" s="13"/>
      <c r="R110" s="20">
        <f>IF(P$12=0,0,P110/P$12)</f>
        <v>0.29375495050776523</v>
      </c>
      <c r="S110" s="13"/>
      <c r="T110" s="21">
        <f>T12-T78</f>
        <v>273898</v>
      </c>
      <c r="U110" s="13"/>
      <c r="V110" s="20">
        <f>IF(T$12=0,0,T110/T$12)</f>
        <v>0.39674834904259682</v>
      </c>
      <c r="W110" s="15"/>
      <c r="X110" s="21">
        <f>+P110-T110</f>
        <v>-133803.87000000011</v>
      </c>
      <c r="Y110" s="15"/>
      <c r="Z110" s="20">
        <f>IF(T110=0,0,X110/T110)</f>
        <v>-0.48851714871959673</v>
      </c>
    </row>
    <row r="111" spans="1:26" x14ac:dyDescent="0.25">
      <c r="A111" s="9"/>
      <c r="B111" s="10"/>
      <c r="C111" s="9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6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2" customFormat="1" x14ac:dyDescent="0.25">
      <c r="A112" s="10"/>
      <c r="B112" s="26" t="s">
        <v>9</v>
      </c>
      <c r="C112" s="10"/>
      <c r="D112" s="19">
        <f>SUM(OSRRefD22x_0)</f>
        <v>699886.54999999993</v>
      </c>
      <c r="E112" s="19"/>
      <c r="F112" s="31">
        <f t="shared" ref="F112:F123" si="12">IF(D$12=0,0,D112/D$12)</f>
        <v>1.4675499883992336</v>
      </c>
      <c r="G112" s="19"/>
      <c r="H112" s="19">
        <f>SUM(OSRRefH22x_0)</f>
        <v>894305.54570326989</v>
      </c>
      <c r="I112" s="19"/>
      <c r="J112" s="31">
        <f t="shared" ref="J112:J123" si="13">IF(H$12=0,0,H112/H$12)</f>
        <v>1.2954247522705933</v>
      </c>
      <c r="K112" s="4"/>
      <c r="L112" s="19">
        <f t="shared" ref="L112:L123" si="14">+D112-H112</f>
        <v>-194418.99570326996</v>
      </c>
      <c r="M112" s="4"/>
      <c r="N112" s="31">
        <f t="shared" ref="N112:N123" si="15">IF(H112=0,0,L112/H112)</f>
        <v>-0.21739661197156221</v>
      </c>
      <c r="O112" s="10"/>
      <c r="P112" s="19">
        <f>SUM(OSRRefP22x_0)</f>
        <v>699886.54999999993</v>
      </c>
      <c r="Q112" s="19"/>
      <c r="R112" s="31">
        <f t="shared" ref="R112:R123" si="16">IF(P$12=0,0,P112/P$12)</f>
        <v>1.4675499883992336</v>
      </c>
      <c r="S112" s="19"/>
      <c r="T112" s="19">
        <f>SUM(OSRRefT22x_0)</f>
        <v>894305.54570326989</v>
      </c>
      <c r="U112" s="19"/>
      <c r="V112" s="31">
        <f t="shared" ref="V112:V123" si="17">IF(T$12=0,0,T112/T$12)</f>
        <v>1.2954247522705933</v>
      </c>
      <c r="W112" s="4"/>
      <c r="X112" s="19">
        <f t="shared" ref="X112:X123" si="18">+P112-T112</f>
        <v>-194418.99570326996</v>
      </c>
      <c r="Y112" s="4"/>
      <c r="Z112" s="31">
        <f t="shared" ref="Z112:Z123" si="19">IF(T112=0,0,X112/T112)</f>
        <v>-0.21739661197156221</v>
      </c>
    </row>
    <row r="113" spans="1:26" s="29" customFormat="1" outlineLevel="1" collapsed="1" x14ac:dyDescent="0.25">
      <c r="A113" s="28"/>
      <c r="B113" s="14" t="str">
        <f>CONCATENATE("     ","*Benefits                                         ")</f>
        <v xml:space="preserve">     *Benefits                                         </v>
      </c>
      <c r="C113" s="14"/>
      <c r="D113" s="1">
        <f>SUM(OSRRefD22_0x_0)</f>
        <v>154113.13999999998</v>
      </c>
      <c r="E113" s="1"/>
      <c r="F113" s="5">
        <f t="shared" si="12"/>
        <v>0.32315056893030658</v>
      </c>
      <c r="G113" s="1"/>
      <c r="H113" s="1">
        <f>SUM(OSRRefH22_0x_0)</f>
        <v>194578.13649224414</v>
      </c>
      <c r="I113" s="1"/>
      <c r="J113" s="5">
        <f t="shared" si="13"/>
        <v>0.28185147176351388</v>
      </c>
      <c r="K113" s="1"/>
      <c r="L113" s="1">
        <f t="shared" si="14"/>
        <v>-40464.996492244158</v>
      </c>
      <c r="M113" s="1"/>
      <c r="N113" s="5">
        <f t="shared" si="15"/>
        <v>-0.20796270959176899</v>
      </c>
      <c r="O113" s="14"/>
      <c r="P113" s="1">
        <f>SUM(OSRRefP22_0x_0)</f>
        <v>154113.13999999998</v>
      </c>
      <c r="Q113" s="1"/>
      <c r="R113" s="5">
        <f t="shared" si="16"/>
        <v>0.32315056893030658</v>
      </c>
      <c r="S113" s="1"/>
      <c r="T113" s="1">
        <f>SUM(OSRRefT22_0x_0)</f>
        <v>194578.13649224414</v>
      </c>
      <c r="U113" s="1"/>
      <c r="V113" s="5">
        <f t="shared" si="17"/>
        <v>0.28185147176351388</v>
      </c>
      <c r="W113" s="1"/>
      <c r="X113" s="1">
        <f t="shared" si="18"/>
        <v>-40464.996492244158</v>
      </c>
      <c r="Y113" s="1"/>
      <c r="Z113" s="5">
        <f t="shared" si="19"/>
        <v>-0.20796270959176899</v>
      </c>
    </row>
    <row r="114" spans="1:26" s="24" customFormat="1" hidden="1" outlineLevel="2" x14ac:dyDescent="0.25">
      <c r="A114" s="27"/>
      <c r="B114" s="12" t="str">
        <f>CONCATENATE("          ", "6111", " - ", "F.I.C.A.")</f>
        <v xml:space="preserve">          6111 - F.I.C.A.</v>
      </c>
      <c r="C114" s="12"/>
      <c r="D114" s="7">
        <v>18869.66</v>
      </c>
      <c r="E114" s="3"/>
      <c r="F114" s="8">
        <f t="shared" si="12"/>
        <v>3.9566654501500965E-2</v>
      </c>
      <c r="G114" s="3"/>
      <c r="H114" s="7">
        <v>29890.121782724997</v>
      </c>
      <c r="I114" s="3"/>
      <c r="J114" s="8">
        <f t="shared" si="13"/>
        <v>4.3296615783898762E-2</v>
      </c>
      <c r="K114" s="3"/>
      <c r="L114" s="7">
        <f t="shared" si="14"/>
        <v>-11020.461782724997</v>
      </c>
      <c r="M114" s="3"/>
      <c r="N114" s="8">
        <f t="shared" si="15"/>
        <v>-0.36869912618068607</v>
      </c>
      <c r="O114" s="12"/>
      <c r="P114" s="7">
        <v>18869.66</v>
      </c>
      <c r="Q114" s="3"/>
      <c r="R114" s="8">
        <f t="shared" si="16"/>
        <v>3.9566654501500965E-2</v>
      </c>
      <c r="S114" s="3"/>
      <c r="T114" s="7">
        <v>29890.121782724997</v>
      </c>
      <c r="U114" s="3"/>
      <c r="V114" s="8">
        <f t="shared" si="17"/>
        <v>4.3296615783898762E-2</v>
      </c>
      <c r="W114" s="3"/>
      <c r="X114" s="7">
        <f t="shared" si="18"/>
        <v>-11020.461782724997</v>
      </c>
      <c r="Y114" s="3"/>
      <c r="Z114" s="8">
        <f t="shared" si="19"/>
        <v>-0.36869912618068607</v>
      </c>
    </row>
    <row r="115" spans="1:26" s="24" customFormat="1" hidden="1" outlineLevel="2" x14ac:dyDescent="0.25">
      <c r="A115" s="27"/>
      <c r="B115" s="12" t="str">
        <f>CONCATENATE("          ", "6112", " - ", "COMPENSATION INSURANCE")</f>
        <v xml:space="preserve">          6112 - COMPENSATION INSURANCE</v>
      </c>
      <c r="C115" s="12"/>
      <c r="D115" s="7">
        <v>6219.84</v>
      </c>
      <c r="E115" s="3"/>
      <c r="F115" s="8">
        <f t="shared" si="12"/>
        <v>1.3042008193820969E-2</v>
      </c>
      <c r="G115" s="3"/>
      <c r="H115" s="7">
        <v>11187.61472848077</v>
      </c>
      <c r="I115" s="3"/>
      <c r="J115" s="8">
        <f t="shared" si="13"/>
        <v>1.6205549778564959E-2</v>
      </c>
      <c r="K115" s="3"/>
      <c r="L115" s="7">
        <f t="shared" si="14"/>
        <v>-4967.7747284807701</v>
      </c>
      <c r="M115" s="3"/>
      <c r="N115" s="8">
        <f t="shared" si="15"/>
        <v>-0.44404234942360876</v>
      </c>
      <c r="O115" s="12"/>
      <c r="P115" s="7">
        <v>6219.84</v>
      </c>
      <c r="Q115" s="3"/>
      <c r="R115" s="8">
        <f t="shared" si="16"/>
        <v>1.3042008193820969E-2</v>
      </c>
      <c r="S115" s="3"/>
      <c r="T115" s="7">
        <v>11187.61472848077</v>
      </c>
      <c r="U115" s="3"/>
      <c r="V115" s="8">
        <f t="shared" si="17"/>
        <v>1.6205549778564959E-2</v>
      </c>
      <c r="W115" s="3"/>
      <c r="X115" s="7">
        <f t="shared" si="18"/>
        <v>-4967.7747284807701</v>
      </c>
      <c r="Y115" s="3"/>
      <c r="Z115" s="8">
        <f t="shared" si="19"/>
        <v>-0.44404234942360876</v>
      </c>
    </row>
    <row r="116" spans="1:26" s="24" customFormat="1" hidden="1" outlineLevel="2" x14ac:dyDescent="0.25">
      <c r="A116" s="27"/>
      <c r="B116" s="12" t="str">
        <f>CONCATENATE("          ", "6113", " - ", "GROUP INSURANCE")</f>
        <v xml:space="preserve">          6113 - GROUP INSURANCE</v>
      </c>
      <c r="C116" s="12"/>
      <c r="D116" s="7">
        <v>75665</v>
      </c>
      <c r="E116" s="3"/>
      <c r="F116" s="8">
        <f t="shared" si="12"/>
        <v>0.15865738507509256</v>
      </c>
      <c r="G116" s="3"/>
      <c r="H116" s="7">
        <v>102214.03846153838</v>
      </c>
      <c r="I116" s="3"/>
      <c r="J116" s="8">
        <f t="shared" si="13"/>
        <v>0.14805968283299564</v>
      </c>
      <c r="K116" s="3"/>
      <c r="L116" s="7">
        <f t="shared" si="14"/>
        <v>-26549.038461538381</v>
      </c>
      <c r="M116" s="3"/>
      <c r="N116" s="8">
        <f t="shared" si="15"/>
        <v>-0.25973964888911405</v>
      </c>
      <c r="O116" s="12"/>
      <c r="P116" s="7">
        <v>75665</v>
      </c>
      <c r="Q116" s="3"/>
      <c r="R116" s="8">
        <f t="shared" si="16"/>
        <v>0.15865738507509256</v>
      </c>
      <c r="S116" s="3"/>
      <c r="T116" s="7">
        <v>102214.03846153838</v>
      </c>
      <c r="U116" s="3"/>
      <c r="V116" s="8">
        <f t="shared" si="17"/>
        <v>0.14805968283299564</v>
      </c>
      <c r="W116" s="3"/>
      <c r="X116" s="7">
        <f t="shared" si="18"/>
        <v>-26549.038461538381</v>
      </c>
      <c r="Y116" s="3"/>
      <c r="Z116" s="8">
        <f t="shared" si="19"/>
        <v>-0.25973964888911405</v>
      </c>
    </row>
    <row r="117" spans="1:26" s="24" customFormat="1" hidden="1" outlineLevel="2" x14ac:dyDescent="0.25">
      <c r="A117" s="27"/>
      <c r="B117" s="12" t="str">
        <f>CONCATENATE("          ", "6114", " - ", "STATE UNEMPLOYMENT INSURANCE")</f>
        <v xml:space="preserve">          6114 - STATE UNEMPLOYMENT INSURANCE</v>
      </c>
      <c r="C117" s="12"/>
      <c r="D117" s="7">
        <v>722.18</v>
      </c>
      <c r="E117" s="3"/>
      <c r="F117" s="8">
        <f t="shared" si="12"/>
        <v>1.5142957821123416E-3</v>
      </c>
      <c r="G117" s="3"/>
      <c r="H117" s="7">
        <v>1042.5444445000001</v>
      </c>
      <c r="I117" s="3"/>
      <c r="J117" s="8">
        <f t="shared" si="13"/>
        <v>1.5101526376932516E-3</v>
      </c>
      <c r="K117" s="3"/>
      <c r="L117" s="7">
        <f t="shared" si="14"/>
        <v>-320.3644445000001</v>
      </c>
      <c r="M117" s="3"/>
      <c r="N117" s="8">
        <f t="shared" si="15"/>
        <v>-0.30729092288592602</v>
      </c>
      <c r="O117" s="12"/>
      <c r="P117" s="7">
        <v>722.18</v>
      </c>
      <c r="Q117" s="3"/>
      <c r="R117" s="8">
        <f t="shared" si="16"/>
        <v>1.5142957821123416E-3</v>
      </c>
      <c r="S117" s="3"/>
      <c r="T117" s="7">
        <v>1042.5444445000001</v>
      </c>
      <c r="U117" s="3"/>
      <c r="V117" s="8">
        <f t="shared" si="17"/>
        <v>1.5101526376932516E-3</v>
      </c>
      <c r="W117" s="3"/>
      <c r="X117" s="7">
        <f t="shared" si="18"/>
        <v>-320.3644445000001</v>
      </c>
      <c r="Y117" s="3"/>
      <c r="Z117" s="8">
        <f t="shared" si="19"/>
        <v>-0.30729092288592602</v>
      </c>
    </row>
    <row r="118" spans="1:26" s="24" customFormat="1" hidden="1" outlineLevel="2" x14ac:dyDescent="0.25">
      <c r="A118" s="27"/>
      <c r="B118" s="12" t="str">
        <f>CONCATENATE("          ", "6115", " - ", "P.E.R.S.")</f>
        <v xml:space="preserve">          6115 - P.E.R.S.</v>
      </c>
      <c r="C118" s="12"/>
      <c r="D118" s="7">
        <v>21251.449999999997</v>
      </c>
      <c r="E118" s="3"/>
      <c r="F118" s="8">
        <f t="shared" si="12"/>
        <v>4.4560886619362652E-2</v>
      </c>
      <c r="G118" s="3"/>
      <c r="H118" s="7">
        <v>15588.932975000011</v>
      </c>
      <c r="I118" s="3"/>
      <c r="J118" s="8">
        <f t="shared" si="13"/>
        <v>2.2580973286285229E-2</v>
      </c>
      <c r="K118" s="3"/>
      <c r="L118" s="7">
        <f t="shared" si="14"/>
        <v>5662.5170249999865</v>
      </c>
      <c r="M118" s="3"/>
      <c r="N118" s="8">
        <f t="shared" si="15"/>
        <v>0.36323955167944921</v>
      </c>
      <c r="O118" s="12"/>
      <c r="P118" s="7">
        <v>21251.449999999997</v>
      </c>
      <c r="Q118" s="3"/>
      <c r="R118" s="8">
        <f t="shared" si="16"/>
        <v>4.4560886619362652E-2</v>
      </c>
      <c r="S118" s="3"/>
      <c r="T118" s="7">
        <v>15588.932975000011</v>
      </c>
      <c r="U118" s="3"/>
      <c r="V118" s="8">
        <f t="shared" si="17"/>
        <v>2.2580973286285229E-2</v>
      </c>
      <c r="W118" s="3"/>
      <c r="X118" s="7">
        <f t="shared" si="18"/>
        <v>5662.5170249999865</v>
      </c>
      <c r="Y118" s="3"/>
      <c r="Z118" s="8">
        <f t="shared" si="19"/>
        <v>0.36323955167944921</v>
      </c>
    </row>
    <row r="119" spans="1:26" s="24" customFormat="1" hidden="1" outlineLevel="2" x14ac:dyDescent="0.25">
      <c r="A119" s="27"/>
      <c r="B119" s="12" t="str">
        <f>CONCATENATE("          ", "6116", " - ", "EDUCATIONAL BENEFITS")</f>
        <v xml:space="preserve">          6116 - EDUCATIONAL BENEFITS</v>
      </c>
      <c r="C119" s="12"/>
      <c r="D119" s="7">
        <v>0</v>
      </c>
      <c r="E119" s="3"/>
      <c r="F119" s="8">
        <f t="shared" si="12"/>
        <v>0</v>
      </c>
      <c r="G119" s="3"/>
      <c r="H119" s="7">
        <v>0</v>
      </c>
      <c r="I119" s="3"/>
      <c r="J119" s="8">
        <f t="shared" si="13"/>
        <v>0</v>
      </c>
      <c r="K119" s="3"/>
      <c r="L119" s="7">
        <f t="shared" si="14"/>
        <v>0</v>
      </c>
      <c r="M119" s="3"/>
      <c r="N119" s="8">
        <f t="shared" si="15"/>
        <v>0</v>
      </c>
      <c r="O119" s="12"/>
      <c r="P119" s="7">
        <v>0</v>
      </c>
      <c r="Q119" s="3"/>
      <c r="R119" s="8">
        <f t="shared" si="16"/>
        <v>0</v>
      </c>
      <c r="S119" s="3"/>
      <c r="T119" s="7">
        <v>0</v>
      </c>
      <c r="U119" s="3"/>
      <c r="V119" s="8">
        <f t="shared" si="17"/>
        <v>0</v>
      </c>
      <c r="W119" s="3"/>
      <c r="X119" s="7">
        <f t="shared" si="18"/>
        <v>0</v>
      </c>
      <c r="Y119" s="3"/>
      <c r="Z119" s="8">
        <f t="shared" si="19"/>
        <v>0</v>
      </c>
    </row>
    <row r="120" spans="1:26" s="24" customFormat="1" hidden="1" outlineLevel="2" x14ac:dyDescent="0.25">
      <c r="A120" s="27"/>
      <c r="B120" s="12" t="str">
        <f>CONCATENATE("          ", "6117", " - ", "RETIREMENT STAFF HOURLY")</f>
        <v xml:space="preserve">          6117 - RETIREMENT STAFF HOURLY</v>
      </c>
      <c r="C120" s="12"/>
      <c r="D120" s="7">
        <v>2649.82</v>
      </c>
      <c r="E120" s="3"/>
      <c r="F120" s="8">
        <f t="shared" si="12"/>
        <v>5.5562480951520752E-3</v>
      </c>
      <c r="G120" s="3"/>
      <c r="H120" s="7"/>
      <c r="I120" s="3"/>
      <c r="J120" s="8">
        <f t="shared" si="13"/>
        <v>0</v>
      </c>
      <c r="K120" s="3"/>
      <c r="L120" s="7">
        <f t="shared" si="14"/>
        <v>2649.82</v>
      </c>
      <c r="M120" s="3"/>
      <c r="N120" s="8">
        <f t="shared" si="15"/>
        <v>0</v>
      </c>
      <c r="O120" s="12"/>
      <c r="P120" s="7">
        <v>2649.82</v>
      </c>
      <c r="Q120" s="3"/>
      <c r="R120" s="8">
        <f t="shared" si="16"/>
        <v>5.5562480951520752E-3</v>
      </c>
      <c r="S120" s="3"/>
      <c r="T120" s="7"/>
      <c r="U120" s="3"/>
      <c r="V120" s="8">
        <f t="shared" si="17"/>
        <v>0</v>
      </c>
      <c r="W120" s="3"/>
      <c r="X120" s="7">
        <f t="shared" si="18"/>
        <v>2649.82</v>
      </c>
      <c r="Y120" s="3"/>
      <c r="Z120" s="8">
        <f t="shared" si="19"/>
        <v>0</v>
      </c>
    </row>
    <row r="121" spans="1:26" s="24" customFormat="1" hidden="1" outlineLevel="2" x14ac:dyDescent="0.25">
      <c r="A121" s="27"/>
      <c r="B121" s="12" t="str">
        <f>CONCATENATE("          ", "6118", " - ", "VACATION")</f>
        <v xml:space="preserve">          6118 - VACATION</v>
      </c>
      <c r="C121" s="12"/>
      <c r="D121" s="7">
        <v>14322.85</v>
      </c>
      <c r="E121" s="3"/>
      <c r="F121" s="8">
        <f t="shared" si="12"/>
        <v>3.003272223383056E-2</v>
      </c>
      <c r="G121" s="3"/>
      <c r="H121" s="7">
        <v>16324.466813461531</v>
      </c>
      <c r="I121" s="3"/>
      <c r="J121" s="8">
        <f t="shared" si="13"/>
        <v>2.3646413107220658E-2</v>
      </c>
      <c r="K121" s="3"/>
      <c r="L121" s="7">
        <f t="shared" si="14"/>
        <v>-2001.6168134615309</v>
      </c>
      <c r="M121" s="3"/>
      <c r="N121" s="8">
        <f t="shared" si="15"/>
        <v>-0.12261452924214049</v>
      </c>
      <c r="O121" s="12"/>
      <c r="P121" s="7">
        <v>14322.85</v>
      </c>
      <c r="Q121" s="3"/>
      <c r="R121" s="8">
        <f t="shared" si="16"/>
        <v>3.003272223383056E-2</v>
      </c>
      <c r="S121" s="3"/>
      <c r="T121" s="7">
        <v>16324.466813461531</v>
      </c>
      <c r="U121" s="3"/>
      <c r="V121" s="8">
        <f t="shared" si="17"/>
        <v>2.3646413107220658E-2</v>
      </c>
      <c r="W121" s="3"/>
      <c r="X121" s="7">
        <f t="shared" si="18"/>
        <v>-2001.6168134615309</v>
      </c>
      <c r="Y121" s="3"/>
      <c r="Z121" s="8">
        <f t="shared" si="19"/>
        <v>-0.12261452924214049</v>
      </c>
    </row>
    <row r="122" spans="1:26" s="24" customFormat="1" hidden="1" outlineLevel="2" x14ac:dyDescent="0.25">
      <c r="A122" s="27"/>
      <c r="B122" s="12" t="str">
        <f>CONCATENATE("          ", "6119", " - ", "SICK LEAVE")</f>
        <v xml:space="preserve">          6119 - SICK LEAVE</v>
      </c>
      <c r="C122" s="12"/>
      <c r="D122" s="7">
        <v>10199.56</v>
      </c>
      <c r="E122" s="3"/>
      <c r="F122" s="8">
        <f t="shared" si="12"/>
        <v>2.1386843567257133E-2</v>
      </c>
      <c r="G122" s="3"/>
      <c r="H122" s="7">
        <v>11980.417286538448</v>
      </c>
      <c r="I122" s="3"/>
      <c r="J122" s="8">
        <f t="shared" si="13"/>
        <v>1.7353944823531083E-2</v>
      </c>
      <c r="K122" s="3"/>
      <c r="L122" s="7">
        <f t="shared" si="14"/>
        <v>-1780.8572865384485</v>
      </c>
      <c r="M122" s="3"/>
      <c r="N122" s="8">
        <f t="shared" si="15"/>
        <v>-0.14864735041737423</v>
      </c>
      <c r="O122" s="12"/>
      <c r="P122" s="7">
        <v>10199.56</v>
      </c>
      <c r="Q122" s="3"/>
      <c r="R122" s="8">
        <f t="shared" si="16"/>
        <v>2.1386843567257133E-2</v>
      </c>
      <c r="S122" s="3"/>
      <c r="T122" s="7">
        <v>11980.417286538448</v>
      </c>
      <c r="U122" s="3"/>
      <c r="V122" s="8">
        <f t="shared" si="17"/>
        <v>1.7353944823531083E-2</v>
      </c>
      <c r="W122" s="3"/>
      <c r="X122" s="7">
        <f t="shared" si="18"/>
        <v>-1780.8572865384485</v>
      </c>
      <c r="Y122" s="3"/>
      <c r="Z122" s="8">
        <f t="shared" si="19"/>
        <v>-0.14864735041737423</v>
      </c>
    </row>
    <row r="123" spans="1:26" s="24" customFormat="1" hidden="1" outlineLevel="2" x14ac:dyDescent="0.25">
      <c r="A123" s="27"/>
      <c r="B123" s="12" t="str">
        <f>CONCATENATE("          ", "6156", " - ", "EMPLOYEE MEALS")</f>
        <v xml:space="preserve">          6156 - EMPLOYEE MEALS</v>
      </c>
      <c r="C123" s="12"/>
      <c r="D123" s="7">
        <v>4212.78</v>
      </c>
      <c r="E123" s="3"/>
      <c r="F123" s="8">
        <f t="shared" si="12"/>
        <v>8.8335248621773388E-3</v>
      </c>
      <c r="G123" s="3"/>
      <c r="H123" s="7">
        <v>6350</v>
      </c>
      <c r="I123" s="3"/>
      <c r="J123" s="8">
        <f t="shared" si="13"/>
        <v>9.198139513324266E-3</v>
      </c>
      <c r="K123" s="3"/>
      <c r="L123" s="7">
        <f t="shared" si="14"/>
        <v>-2137.2200000000003</v>
      </c>
      <c r="M123" s="3"/>
      <c r="N123" s="8">
        <f t="shared" si="15"/>
        <v>-0.33657007874015754</v>
      </c>
      <c r="O123" s="12"/>
      <c r="P123" s="7">
        <v>4212.78</v>
      </c>
      <c r="Q123" s="3"/>
      <c r="R123" s="8">
        <f t="shared" si="16"/>
        <v>8.8335248621773388E-3</v>
      </c>
      <c r="S123" s="3"/>
      <c r="T123" s="7">
        <v>6350</v>
      </c>
      <c r="U123" s="3"/>
      <c r="V123" s="8">
        <f t="shared" si="17"/>
        <v>9.198139513324266E-3</v>
      </c>
      <c r="W123" s="3"/>
      <c r="X123" s="7">
        <f t="shared" si="18"/>
        <v>-2137.2200000000003</v>
      </c>
      <c r="Y123" s="3"/>
      <c r="Z123" s="8">
        <f t="shared" si="19"/>
        <v>-0.33657007874015754</v>
      </c>
    </row>
    <row r="124" spans="1:26" s="29" customFormat="1" outlineLevel="1" collapsed="1" x14ac:dyDescent="0.25">
      <c r="A124" s="28"/>
      <c r="B124" s="14" t="str">
        <f>CONCATENATE("     ","*Payroll                                          ")</f>
        <v xml:space="preserve">     *Payroll                                          </v>
      </c>
      <c r="C124" s="14"/>
      <c r="D124" s="1">
        <f>SUM(OSRRefD22_1x_0)</f>
        <v>277403.17000000004</v>
      </c>
      <c r="E124" s="1"/>
      <c r="F124" s="5">
        <f t="shared" ref="F124:F134" si="20">IF(D$12=0,0,D124/D$12)</f>
        <v>0.58167001339775815</v>
      </c>
      <c r="G124" s="1"/>
      <c r="H124" s="1">
        <f>SUM(OSRRefH22_1x_0)</f>
        <v>370271.07587769238</v>
      </c>
      <c r="I124" s="1"/>
      <c r="J124" s="5">
        <f t="shared" ref="J124:J134" si="21">IF(H$12=0,0,H124/H$12)</f>
        <v>0.53634724624751018</v>
      </c>
      <c r="K124" s="1"/>
      <c r="L124" s="1">
        <f t="shared" ref="L124:L134" si="22">+D124-H124</f>
        <v>-92867.905877692334</v>
      </c>
      <c r="M124" s="1"/>
      <c r="N124" s="5">
        <f t="shared" ref="N124:N134" si="23">IF(H124=0,0,L124/H124)</f>
        <v>-0.25081058696674535</v>
      </c>
      <c r="O124" s="14"/>
      <c r="P124" s="1">
        <f>SUM(OSRRefP22_1x_0)</f>
        <v>277403.17000000004</v>
      </c>
      <c r="Q124" s="1"/>
      <c r="R124" s="5">
        <f t="shared" ref="R124:R134" si="24">IF(P$12=0,0,P124/P$12)</f>
        <v>0.58167001339775815</v>
      </c>
      <c r="S124" s="1"/>
      <c r="T124" s="1">
        <f>SUM(OSRRefT22_1x_0)</f>
        <v>370271.07587769238</v>
      </c>
      <c r="U124" s="1"/>
      <c r="V124" s="5">
        <f t="shared" ref="V124:V134" si="25">IF(T$12=0,0,T124/T$12)</f>
        <v>0.53634724624751018</v>
      </c>
      <c r="W124" s="1"/>
      <c r="X124" s="1">
        <f t="shared" ref="X124:X134" si="26">+P124-T124</f>
        <v>-92867.905877692334</v>
      </c>
      <c r="Y124" s="1"/>
      <c r="Z124" s="5">
        <f t="shared" ref="Z124:Z134" si="27">IF(T124=0,0,X124/T124)</f>
        <v>-0.25081058696674535</v>
      </c>
    </row>
    <row r="125" spans="1:26" s="24" customFormat="1" hidden="1" outlineLevel="2" x14ac:dyDescent="0.25">
      <c r="A125" s="27"/>
      <c r="B125" s="12" t="str">
        <f>CONCATENATE("          ", "6001", " - ", "ADMINISTRATIVE SALARIES")</f>
        <v xml:space="preserve">          6001 - ADMINISTRATIVE SALARIES</v>
      </c>
      <c r="C125" s="12"/>
      <c r="D125" s="7">
        <v>32190.44</v>
      </c>
      <c r="E125" s="3"/>
      <c r="F125" s="8">
        <f t="shared" si="20"/>
        <v>6.7498196455648737E-2</v>
      </c>
      <c r="G125" s="3"/>
      <c r="H125" s="7">
        <v>33786.163461538446</v>
      </c>
      <c r="I125" s="3"/>
      <c r="J125" s="8">
        <f t="shared" si="21"/>
        <v>4.8940133092788871E-2</v>
      </c>
      <c r="K125" s="3"/>
      <c r="L125" s="7">
        <f t="shared" si="22"/>
        <v>-1595.7234615384477</v>
      </c>
      <c r="M125" s="3"/>
      <c r="N125" s="8">
        <f t="shared" si="23"/>
        <v>-4.7230087646825902E-2</v>
      </c>
      <c r="O125" s="12"/>
      <c r="P125" s="7">
        <v>32190.44</v>
      </c>
      <c r="Q125" s="3"/>
      <c r="R125" s="8">
        <f t="shared" si="24"/>
        <v>6.7498196455648737E-2</v>
      </c>
      <c r="S125" s="3"/>
      <c r="T125" s="7">
        <v>33786.163461538446</v>
      </c>
      <c r="U125" s="3"/>
      <c r="V125" s="8">
        <f t="shared" si="25"/>
        <v>4.8940133092788871E-2</v>
      </c>
      <c r="W125" s="3"/>
      <c r="X125" s="7">
        <f t="shared" si="26"/>
        <v>-1595.7234615384477</v>
      </c>
      <c r="Y125" s="3"/>
      <c r="Z125" s="8">
        <f t="shared" si="27"/>
        <v>-4.7230087646825902E-2</v>
      </c>
    </row>
    <row r="126" spans="1:26" s="24" customFormat="1" hidden="1" outlineLevel="2" x14ac:dyDescent="0.25">
      <c r="A126" s="27"/>
      <c r="B126" s="12" t="str">
        <f>CONCATENATE("          ", "6002", " - ", "STAFF SALARIES")</f>
        <v xml:space="preserve">          6002 - STAFF SALARIES</v>
      </c>
      <c r="C126" s="12"/>
      <c r="D126" s="7">
        <v>135928.07</v>
      </c>
      <c r="E126" s="3"/>
      <c r="F126" s="8">
        <f t="shared" si="20"/>
        <v>0.28501939000203708</v>
      </c>
      <c r="G126" s="3"/>
      <c r="H126" s="7">
        <v>130354.09241615389</v>
      </c>
      <c r="I126" s="3"/>
      <c r="J126" s="8">
        <f t="shared" si="21"/>
        <v>0.18882128002780285</v>
      </c>
      <c r="K126" s="3"/>
      <c r="L126" s="7">
        <f t="shared" si="22"/>
        <v>5573.977583846121</v>
      </c>
      <c r="M126" s="3"/>
      <c r="N126" s="8">
        <f t="shared" si="23"/>
        <v>4.276028071333015E-2</v>
      </c>
      <c r="O126" s="12"/>
      <c r="P126" s="7">
        <v>135928.07</v>
      </c>
      <c r="Q126" s="3"/>
      <c r="R126" s="8">
        <f t="shared" si="24"/>
        <v>0.28501939000203708</v>
      </c>
      <c r="S126" s="3"/>
      <c r="T126" s="7">
        <v>130354.09241615389</v>
      </c>
      <c r="U126" s="3"/>
      <c r="V126" s="8">
        <f t="shared" si="25"/>
        <v>0.18882128002780285</v>
      </c>
      <c r="W126" s="3"/>
      <c r="X126" s="7">
        <f t="shared" si="26"/>
        <v>5573.977583846121</v>
      </c>
      <c r="Y126" s="3"/>
      <c r="Z126" s="8">
        <f t="shared" si="27"/>
        <v>4.276028071333015E-2</v>
      </c>
    </row>
    <row r="127" spans="1:26" s="24" customFormat="1" hidden="1" outlineLevel="2" x14ac:dyDescent="0.25">
      <c r="A127" s="27"/>
      <c r="B127" s="12" t="str">
        <f>CONCATENATE("          ", "6003", " - ", "STAFF HOURLY-9 MONTH")</f>
        <v xml:space="preserve">          6003 - STAFF HOURLY-9 MONTH</v>
      </c>
      <c r="C127" s="12"/>
      <c r="D127" s="7"/>
      <c r="E127" s="3"/>
      <c r="F127" s="8">
        <f t="shared" si="20"/>
        <v>0</v>
      </c>
      <c r="G127" s="3"/>
      <c r="H127" s="7">
        <v>0</v>
      </c>
      <c r="I127" s="3"/>
      <c r="J127" s="8">
        <f t="shared" si="21"/>
        <v>0</v>
      </c>
      <c r="K127" s="3"/>
      <c r="L127" s="7">
        <f t="shared" si="22"/>
        <v>0</v>
      </c>
      <c r="M127" s="3"/>
      <c r="N127" s="8">
        <f t="shared" si="23"/>
        <v>0</v>
      </c>
      <c r="O127" s="12"/>
      <c r="P127" s="7"/>
      <c r="Q127" s="3"/>
      <c r="R127" s="8">
        <f t="shared" si="24"/>
        <v>0</v>
      </c>
      <c r="S127" s="3"/>
      <c r="T127" s="7">
        <v>0</v>
      </c>
      <c r="U127" s="3"/>
      <c r="V127" s="8">
        <f t="shared" si="25"/>
        <v>0</v>
      </c>
      <c r="W127" s="3"/>
      <c r="X127" s="7">
        <f t="shared" si="26"/>
        <v>0</v>
      </c>
      <c r="Y127" s="3"/>
      <c r="Z127" s="8">
        <f t="shared" si="27"/>
        <v>0</v>
      </c>
    </row>
    <row r="128" spans="1:26" s="24" customFormat="1" hidden="1" outlineLevel="2" x14ac:dyDescent="0.25">
      <c r="A128" s="27"/>
      <c r="B128" s="12" t="str">
        <f>CONCATENATE("          ", "6004", " - ", "STAFF HOURLY")</f>
        <v xml:space="preserve">          6004 - STAFF HOURLY</v>
      </c>
      <c r="C128" s="12"/>
      <c r="D128" s="7">
        <v>54669.48</v>
      </c>
      <c r="E128" s="3"/>
      <c r="F128" s="8">
        <f t="shared" si="20"/>
        <v>0.11463314267118312</v>
      </c>
      <c r="G128" s="3"/>
      <c r="H128" s="7">
        <v>116313.25</v>
      </c>
      <c r="I128" s="3"/>
      <c r="J128" s="8">
        <f t="shared" si="21"/>
        <v>0.16848275602333285</v>
      </c>
      <c r="K128" s="3"/>
      <c r="L128" s="7">
        <f t="shared" si="22"/>
        <v>-61643.77</v>
      </c>
      <c r="M128" s="3"/>
      <c r="N128" s="8">
        <f t="shared" si="23"/>
        <v>-0.52998063419257901</v>
      </c>
      <c r="O128" s="12"/>
      <c r="P128" s="7">
        <v>54669.48</v>
      </c>
      <c r="Q128" s="3"/>
      <c r="R128" s="8">
        <f t="shared" si="24"/>
        <v>0.11463314267118312</v>
      </c>
      <c r="S128" s="3"/>
      <c r="T128" s="7">
        <v>116313.25</v>
      </c>
      <c r="U128" s="3"/>
      <c r="V128" s="8">
        <f t="shared" si="25"/>
        <v>0.16848275602333285</v>
      </c>
      <c r="W128" s="3"/>
      <c r="X128" s="7">
        <f t="shared" si="26"/>
        <v>-61643.77</v>
      </c>
      <c r="Y128" s="3"/>
      <c r="Z128" s="8">
        <f t="shared" si="27"/>
        <v>-0.52998063419257901</v>
      </c>
    </row>
    <row r="129" spans="1:26" s="24" customFormat="1" hidden="1" outlineLevel="2" x14ac:dyDescent="0.25">
      <c r="A129" s="27"/>
      <c r="B129" s="12" t="str">
        <f>CONCATENATE("          ", "6005", " - ", "TEMPORARY WAGES-HOURLY")</f>
        <v xml:space="preserve">          6005 - TEMPORARY WAGES-HOURLY</v>
      </c>
      <c r="C129" s="12"/>
      <c r="D129" s="7">
        <v>19122.939999999999</v>
      </c>
      <c r="E129" s="3"/>
      <c r="F129" s="8">
        <f t="shared" si="20"/>
        <v>4.0097742091427871E-2</v>
      </c>
      <c r="G129" s="3"/>
      <c r="H129" s="7">
        <v>5341.02</v>
      </c>
      <c r="I129" s="3"/>
      <c r="J129" s="8">
        <f t="shared" si="21"/>
        <v>7.7366058430638068E-3</v>
      </c>
      <c r="K129" s="3"/>
      <c r="L129" s="7">
        <f t="shared" si="22"/>
        <v>13781.919999999998</v>
      </c>
      <c r="M129" s="3"/>
      <c r="N129" s="8">
        <f t="shared" si="23"/>
        <v>2.5803910114547404</v>
      </c>
      <c r="O129" s="12"/>
      <c r="P129" s="7">
        <v>19122.939999999999</v>
      </c>
      <c r="Q129" s="3"/>
      <c r="R129" s="8">
        <f t="shared" si="24"/>
        <v>4.0097742091427871E-2</v>
      </c>
      <c r="S129" s="3"/>
      <c r="T129" s="7">
        <v>5341.02</v>
      </c>
      <c r="U129" s="3"/>
      <c r="V129" s="8">
        <f t="shared" si="25"/>
        <v>7.7366058430638068E-3</v>
      </c>
      <c r="W129" s="3"/>
      <c r="X129" s="7">
        <f t="shared" si="26"/>
        <v>13781.919999999998</v>
      </c>
      <c r="Y129" s="3"/>
      <c r="Z129" s="8">
        <f t="shared" si="27"/>
        <v>2.5803910114547404</v>
      </c>
    </row>
    <row r="130" spans="1:26" s="24" customFormat="1" hidden="1" outlineLevel="2" x14ac:dyDescent="0.25">
      <c r="A130" s="27"/>
      <c r="B130" s="12" t="str">
        <f>CONCATENATE("          ", "6006", " - ", "TEMPORARY PART TIME")</f>
        <v xml:space="preserve">          6006 - TEMPORARY PART TIME</v>
      </c>
      <c r="C130" s="12"/>
      <c r="D130" s="7">
        <v>2048.21</v>
      </c>
      <c r="E130" s="3"/>
      <c r="F130" s="8">
        <f t="shared" si="20"/>
        <v>4.2947682902881824E-3</v>
      </c>
      <c r="G130" s="3"/>
      <c r="H130" s="7">
        <v>0</v>
      </c>
      <c r="I130" s="3"/>
      <c r="J130" s="8">
        <f t="shared" si="21"/>
        <v>0</v>
      </c>
      <c r="K130" s="3"/>
      <c r="L130" s="7">
        <f t="shared" si="22"/>
        <v>2048.21</v>
      </c>
      <c r="M130" s="3"/>
      <c r="N130" s="8">
        <f t="shared" si="23"/>
        <v>0</v>
      </c>
      <c r="O130" s="12"/>
      <c r="P130" s="7">
        <v>2048.21</v>
      </c>
      <c r="Q130" s="3"/>
      <c r="R130" s="8">
        <f t="shared" si="24"/>
        <v>4.2947682902881824E-3</v>
      </c>
      <c r="S130" s="3"/>
      <c r="T130" s="7">
        <v>0</v>
      </c>
      <c r="U130" s="3"/>
      <c r="V130" s="8">
        <f t="shared" si="25"/>
        <v>0</v>
      </c>
      <c r="W130" s="3"/>
      <c r="X130" s="7">
        <f t="shared" si="26"/>
        <v>2048.21</v>
      </c>
      <c r="Y130" s="3"/>
      <c r="Z130" s="8">
        <f t="shared" si="27"/>
        <v>0</v>
      </c>
    </row>
    <row r="131" spans="1:26" s="24" customFormat="1" hidden="1" outlineLevel="2" x14ac:dyDescent="0.25">
      <c r="A131" s="27"/>
      <c r="B131" s="12" t="str">
        <f>CONCATENATE("          ", "6007", " - ", "STUDENT HOURLY")</f>
        <v xml:space="preserve">          6007 - STUDENT HOURLY</v>
      </c>
      <c r="C131" s="12"/>
      <c r="D131" s="7">
        <v>33444.03</v>
      </c>
      <c r="E131" s="3"/>
      <c r="F131" s="8">
        <f t="shared" si="20"/>
        <v>7.0126773887173033E-2</v>
      </c>
      <c r="G131" s="3"/>
      <c r="H131" s="7">
        <v>79457.799999999988</v>
      </c>
      <c r="I131" s="3"/>
      <c r="J131" s="8">
        <f t="shared" si="21"/>
        <v>0.11509668186170342</v>
      </c>
      <c r="K131" s="3"/>
      <c r="L131" s="7">
        <f t="shared" si="22"/>
        <v>-46013.76999999999</v>
      </c>
      <c r="M131" s="3"/>
      <c r="N131" s="8">
        <f t="shared" si="23"/>
        <v>-0.57909695460986832</v>
      </c>
      <c r="O131" s="12"/>
      <c r="P131" s="7">
        <v>33444.03</v>
      </c>
      <c r="Q131" s="3"/>
      <c r="R131" s="8">
        <f t="shared" si="24"/>
        <v>7.0126773887173033E-2</v>
      </c>
      <c r="S131" s="3"/>
      <c r="T131" s="7">
        <v>79457.799999999988</v>
      </c>
      <c r="U131" s="3"/>
      <c r="V131" s="8">
        <f t="shared" si="25"/>
        <v>0.11509668186170342</v>
      </c>
      <c r="W131" s="3"/>
      <c r="X131" s="7">
        <f t="shared" si="26"/>
        <v>-46013.76999999999</v>
      </c>
      <c r="Y131" s="3"/>
      <c r="Z131" s="8">
        <f t="shared" si="27"/>
        <v>-0.57909695460986832</v>
      </c>
    </row>
    <row r="132" spans="1:26" s="24" customFormat="1" hidden="1" outlineLevel="2" x14ac:dyDescent="0.25">
      <c r="A132" s="27"/>
      <c r="B132" s="12" t="str">
        <f>CONCATENATE("          ", "6008", " - ", "STUDENT HOURLY-FICA EXEMPT")</f>
        <v xml:space="preserve">          6008 - STUDENT HOURLY-FICA EXEMPT</v>
      </c>
      <c r="C132" s="12"/>
      <c r="D132" s="7"/>
      <c r="E132" s="3"/>
      <c r="F132" s="8">
        <f t="shared" si="20"/>
        <v>0</v>
      </c>
      <c r="G132" s="3"/>
      <c r="H132" s="7">
        <v>5018.75</v>
      </c>
      <c r="I132" s="3"/>
      <c r="J132" s="8">
        <f t="shared" si="21"/>
        <v>7.2697893988182922E-3</v>
      </c>
      <c r="K132" s="3"/>
      <c r="L132" s="7">
        <f t="shared" si="22"/>
        <v>-5018.75</v>
      </c>
      <c r="M132" s="3"/>
      <c r="N132" s="8">
        <f t="shared" si="23"/>
        <v>-1</v>
      </c>
      <c r="O132" s="12"/>
      <c r="P132" s="7"/>
      <c r="Q132" s="3"/>
      <c r="R132" s="8">
        <f t="shared" si="24"/>
        <v>0</v>
      </c>
      <c r="S132" s="3"/>
      <c r="T132" s="7">
        <v>5018.75</v>
      </c>
      <c r="U132" s="3"/>
      <c r="V132" s="8">
        <f t="shared" si="25"/>
        <v>7.2697893988182922E-3</v>
      </c>
      <c r="W132" s="3"/>
      <c r="X132" s="7">
        <f t="shared" si="26"/>
        <v>-5018.75</v>
      </c>
      <c r="Y132" s="3"/>
      <c r="Z132" s="8">
        <f t="shared" si="27"/>
        <v>-1</v>
      </c>
    </row>
    <row r="133" spans="1:26" s="24" customFormat="1" hidden="1" outlineLevel="2" x14ac:dyDescent="0.25">
      <c r="A133" s="27"/>
      <c r="B133" s="12" t="str">
        <f>CONCATENATE("          ", "6009", " - ", "TEMPORARY-SEASONAL")</f>
        <v xml:space="preserve">          6009 - TEMPORARY-SEASONAL</v>
      </c>
      <c r="C133" s="12"/>
      <c r="D133" s="7"/>
      <c r="E133" s="3"/>
      <c r="F133" s="8">
        <f t="shared" si="20"/>
        <v>0</v>
      </c>
      <c r="G133" s="3"/>
      <c r="H133" s="7">
        <v>0</v>
      </c>
      <c r="I133" s="3"/>
      <c r="J133" s="8">
        <f t="shared" si="21"/>
        <v>0</v>
      </c>
      <c r="K133" s="3"/>
      <c r="L133" s="7">
        <f t="shared" si="22"/>
        <v>0</v>
      </c>
      <c r="M133" s="3"/>
      <c r="N133" s="8">
        <f t="shared" si="23"/>
        <v>0</v>
      </c>
      <c r="O133" s="12"/>
      <c r="P133" s="7"/>
      <c r="Q133" s="3"/>
      <c r="R133" s="8">
        <f t="shared" si="24"/>
        <v>0</v>
      </c>
      <c r="S133" s="3"/>
      <c r="T133" s="7">
        <v>0</v>
      </c>
      <c r="U133" s="3"/>
      <c r="V133" s="8">
        <f t="shared" si="25"/>
        <v>0</v>
      </c>
      <c r="W133" s="3"/>
      <c r="X133" s="7">
        <f t="shared" si="26"/>
        <v>0</v>
      </c>
      <c r="Y133" s="3"/>
      <c r="Z133" s="8">
        <f t="shared" si="27"/>
        <v>0</v>
      </c>
    </row>
    <row r="134" spans="1:26" s="24" customFormat="1" hidden="1" outlineLevel="2" x14ac:dyDescent="0.25">
      <c r="A134" s="27"/>
      <c r="B134" s="12" t="str">
        <f>CONCATENATE("          ", "6010", " - ", "GRATUITY")</f>
        <v xml:space="preserve">          6010 - GRATUITY</v>
      </c>
      <c r="C134" s="12"/>
      <c r="D134" s="7"/>
      <c r="E134" s="3"/>
      <c r="F134" s="8">
        <f t="shared" si="20"/>
        <v>0</v>
      </c>
      <c r="G134" s="3"/>
      <c r="H134" s="7">
        <v>0</v>
      </c>
      <c r="I134" s="3"/>
      <c r="J134" s="8">
        <f t="shared" si="21"/>
        <v>0</v>
      </c>
      <c r="K134" s="3"/>
      <c r="L134" s="7">
        <f t="shared" si="22"/>
        <v>0</v>
      </c>
      <c r="M134" s="3"/>
      <c r="N134" s="8">
        <f t="shared" si="23"/>
        <v>0</v>
      </c>
      <c r="O134" s="12"/>
      <c r="P134" s="7"/>
      <c r="Q134" s="3"/>
      <c r="R134" s="8">
        <f t="shared" si="24"/>
        <v>0</v>
      </c>
      <c r="S134" s="3"/>
      <c r="T134" s="7">
        <v>0</v>
      </c>
      <c r="U134" s="3"/>
      <c r="V134" s="8">
        <f t="shared" si="25"/>
        <v>0</v>
      </c>
      <c r="W134" s="3"/>
      <c r="X134" s="7">
        <f t="shared" si="26"/>
        <v>0</v>
      </c>
      <c r="Y134" s="3"/>
      <c r="Z134" s="8">
        <f t="shared" si="27"/>
        <v>0</v>
      </c>
    </row>
    <row r="135" spans="1:26" s="29" customFormat="1" outlineLevel="1" collapsed="1" x14ac:dyDescent="0.25">
      <c r="A135" s="28"/>
      <c r="B135" s="14" t="str">
        <f>CONCATENATE("     ","Advertising/Promo                                 ")</f>
        <v xml:space="preserve">     Advertising/Promo                                 </v>
      </c>
      <c r="C135" s="14"/>
      <c r="D135" s="1">
        <f>SUM(OSRRefD22_2x_0)</f>
        <v>3510.94</v>
      </c>
      <c r="E135" s="1"/>
      <c r="F135" s="5">
        <f t="shared" ref="F135:F139" si="28">IF(D$12=0,0,D135/D$12)</f>
        <v>7.3618788020292794E-3</v>
      </c>
      <c r="G135" s="1"/>
      <c r="H135" s="1">
        <f>SUM(OSRRefH22_2x_0)</f>
        <v>3520</v>
      </c>
      <c r="I135" s="1"/>
      <c r="J135" s="5">
        <f t="shared" ref="J135:J139" si="29">IF(H$12=0,0,H135/H$12)</f>
        <v>5.0988111947876244E-3</v>
      </c>
      <c r="K135" s="1"/>
      <c r="L135" s="1">
        <f t="shared" ref="L135:L139" si="30">+D135-H135</f>
        <v>-9.0599999999999454</v>
      </c>
      <c r="M135" s="1"/>
      <c r="N135" s="5">
        <f t="shared" ref="N135:N139" si="31">IF(H135=0,0,L135/H135)</f>
        <v>-2.5738636363636207E-3</v>
      </c>
      <c r="O135" s="14"/>
      <c r="P135" s="1">
        <f>SUM(OSRRefP22_2x_0)</f>
        <v>3510.94</v>
      </c>
      <c r="Q135" s="1"/>
      <c r="R135" s="5">
        <f t="shared" ref="R135:R139" si="32">IF(P$12=0,0,P135/P$12)</f>
        <v>7.3618788020292794E-3</v>
      </c>
      <c r="S135" s="1"/>
      <c r="T135" s="1">
        <f>SUM(OSRRefT22_2x_0)</f>
        <v>3520</v>
      </c>
      <c r="U135" s="1"/>
      <c r="V135" s="5">
        <f t="shared" ref="V135:V139" si="33">IF(T$12=0,0,T135/T$12)</f>
        <v>5.0988111947876244E-3</v>
      </c>
      <c r="W135" s="1"/>
      <c r="X135" s="1">
        <f t="shared" ref="X135:X139" si="34">+P135-T135</f>
        <v>-9.0599999999999454</v>
      </c>
      <c r="Y135" s="1"/>
      <c r="Z135" s="5">
        <f t="shared" ref="Z135:Z139" si="35">IF(T135=0,0,X135/T135)</f>
        <v>-2.5738636363636207E-3</v>
      </c>
    </row>
    <row r="136" spans="1:26" s="24" customFormat="1" hidden="1" outlineLevel="2" x14ac:dyDescent="0.25">
      <c r="A136" s="27"/>
      <c r="B136" s="12" t="str">
        <f>CONCATENATE("          ", "6362", " - ", "ADVERTISING EXPENSE")</f>
        <v xml:space="preserve">          6362 - ADVERTISING EXPENSE</v>
      </c>
      <c r="C136" s="12"/>
      <c r="D136" s="7">
        <v>3510.94</v>
      </c>
      <c r="E136" s="3"/>
      <c r="F136" s="8">
        <f t="shared" si="28"/>
        <v>7.3618788020292794E-3</v>
      </c>
      <c r="G136" s="3"/>
      <c r="H136" s="7">
        <v>3520</v>
      </c>
      <c r="I136" s="3"/>
      <c r="J136" s="8">
        <f t="shared" si="29"/>
        <v>5.0988111947876244E-3</v>
      </c>
      <c r="K136" s="3"/>
      <c r="L136" s="7">
        <f t="shared" si="30"/>
        <v>-9.0599999999999454</v>
      </c>
      <c r="M136" s="3"/>
      <c r="N136" s="8">
        <f t="shared" si="31"/>
        <v>-2.5738636363636207E-3</v>
      </c>
      <c r="O136" s="12"/>
      <c r="P136" s="7">
        <v>3510.94</v>
      </c>
      <c r="Q136" s="3"/>
      <c r="R136" s="8">
        <f t="shared" si="32"/>
        <v>7.3618788020292794E-3</v>
      </c>
      <c r="S136" s="3"/>
      <c r="T136" s="7">
        <v>3520</v>
      </c>
      <c r="U136" s="3"/>
      <c r="V136" s="8">
        <f t="shared" si="33"/>
        <v>5.0988111947876244E-3</v>
      </c>
      <c r="W136" s="3"/>
      <c r="X136" s="7">
        <f t="shared" si="34"/>
        <v>-9.0599999999999454</v>
      </c>
      <c r="Y136" s="3"/>
      <c r="Z136" s="8">
        <f t="shared" si="35"/>
        <v>-2.5738636363636207E-3</v>
      </c>
    </row>
    <row r="137" spans="1:26" s="29" customFormat="1" outlineLevel="1" collapsed="1" x14ac:dyDescent="0.25">
      <c r="A137" s="28"/>
      <c r="B137" s="14" t="str">
        <f>CONCATENATE("     ","Bad Debts/Over/Short                              ")</f>
        <v xml:space="preserve">     Bad Debts/Over/Short                              </v>
      </c>
      <c r="C137" s="14"/>
      <c r="D137" s="1">
        <f>SUM(OSRRefD22_3x_0)</f>
        <v>4.9800000000000004</v>
      </c>
      <c r="E137" s="1"/>
      <c r="F137" s="5">
        <f t="shared" si="28"/>
        <v>1.0442262309838907E-5</v>
      </c>
      <c r="G137" s="1"/>
      <c r="H137" s="1">
        <f>SUM(OSRRefH22_3x_0)</f>
        <v>135</v>
      </c>
      <c r="I137" s="1"/>
      <c r="J137" s="5">
        <f t="shared" si="29"/>
        <v>1.9555099752736627E-4</v>
      </c>
      <c r="K137" s="1"/>
      <c r="L137" s="1">
        <f t="shared" si="30"/>
        <v>-130.02000000000001</v>
      </c>
      <c r="M137" s="1"/>
      <c r="N137" s="5">
        <f t="shared" si="31"/>
        <v>-0.96311111111111114</v>
      </c>
      <c r="O137" s="14"/>
      <c r="P137" s="1">
        <f>SUM(OSRRefP22_3x_0)</f>
        <v>4.9800000000000004</v>
      </c>
      <c r="Q137" s="1"/>
      <c r="R137" s="5">
        <f t="shared" si="32"/>
        <v>1.0442262309838907E-5</v>
      </c>
      <c r="S137" s="1"/>
      <c r="T137" s="1">
        <f>SUM(OSRRefT22_3x_0)</f>
        <v>135</v>
      </c>
      <c r="U137" s="1"/>
      <c r="V137" s="5">
        <f t="shared" si="33"/>
        <v>1.9555099752736627E-4</v>
      </c>
      <c r="W137" s="1"/>
      <c r="X137" s="1">
        <f t="shared" si="34"/>
        <v>-130.02000000000001</v>
      </c>
      <c r="Y137" s="1"/>
      <c r="Z137" s="5">
        <f t="shared" si="35"/>
        <v>-0.96311111111111114</v>
      </c>
    </row>
    <row r="138" spans="1:26" s="24" customFormat="1" hidden="1" outlineLevel="2" x14ac:dyDescent="0.25">
      <c r="A138" s="27"/>
      <c r="B138" s="12" t="str">
        <f>CONCATENATE("          ", "6272", " - ", "CASH (OVER/SHORT)")</f>
        <v xml:space="preserve">          6272 - CASH (OVER/SHORT)</v>
      </c>
      <c r="C138" s="12"/>
      <c r="D138" s="7">
        <v>4.9800000000000004</v>
      </c>
      <c r="E138" s="3"/>
      <c r="F138" s="8">
        <f t="shared" si="28"/>
        <v>1.0442262309838907E-5</v>
      </c>
      <c r="G138" s="3"/>
      <c r="H138" s="7">
        <v>85</v>
      </c>
      <c r="I138" s="3"/>
      <c r="J138" s="8">
        <f t="shared" si="29"/>
        <v>1.2312470214686025E-4</v>
      </c>
      <c r="K138" s="3"/>
      <c r="L138" s="7">
        <f t="shared" si="30"/>
        <v>-80.02</v>
      </c>
      <c r="M138" s="3"/>
      <c r="N138" s="8">
        <f t="shared" si="31"/>
        <v>-0.94141176470588228</v>
      </c>
      <c r="O138" s="12"/>
      <c r="P138" s="7">
        <v>4.9800000000000004</v>
      </c>
      <c r="Q138" s="3"/>
      <c r="R138" s="8">
        <f t="shared" si="32"/>
        <v>1.0442262309838907E-5</v>
      </c>
      <c r="S138" s="3"/>
      <c r="T138" s="7">
        <v>85</v>
      </c>
      <c r="U138" s="3"/>
      <c r="V138" s="8">
        <f t="shared" si="33"/>
        <v>1.2312470214686025E-4</v>
      </c>
      <c r="W138" s="3"/>
      <c r="X138" s="7">
        <f t="shared" si="34"/>
        <v>-80.02</v>
      </c>
      <c r="Y138" s="3"/>
      <c r="Z138" s="8">
        <f t="shared" si="35"/>
        <v>-0.94141176470588228</v>
      </c>
    </row>
    <row r="139" spans="1:26" s="24" customFormat="1" hidden="1" outlineLevel="2" x14ac:dyDescent="0.25">
      <c r="A139" s="27"/>
      <c r="B139" s="12" t="str">
        <f>CONCATENATE("          ", "6342", " - ", "BAD DEBT")</f>
        <v xml:space="preserve">          6342 - BAD DEBT</v>
      </c>
      <c r="C139" s="12"/>
      <c r="D139" s="7"/>
      <c r="E139" s="3"/>
      <c r="F139" s="8">
        <f t="shared" si="28"/>
        <v>0</v>
      </c>
      <c r="G139" s="3"/>
      <c r="H139" s="7">
        <v>50</v>
      </c>
      <c r="I139" s="3"/>
      <c r="J139" s="8">
        <f t="shared" si="29"/>
        <v>7.2426295380506025E-5</v>
      </c>
      <c r="K139" s="3"/>
      <c r="L139" s="7">
        <f t="shared" si="30"/>
        <v>-50</v>
      </c>
      <c r="M139" s="3"/>
      <c r="N139" s="8">
        <f t="shared" si="31"/>
        <v>-1</v>
      </c>
      <c r="O139" s="12"/>
      <c r="P139" s="7"/>
      <c r="Q139" s="3"/>
      <c r="R139" s="8">
        <f t="shared" si="32"/>
        <v>0</v>
      </c>
      <c r="S139" s="3"/>
      <c r="T139" s="7">
        <v>50</v>
      </c>
      <c r="U139" s="3"/>
      <c r="V139" s="8">
        <f t="shared" si="33"/>
        <v>7.2426295380506025E-5</v>
      </c>
      <c r="W139" s="3"/>
      <c r="X139" s="7">
        <f t="shared" si="34"/>
        <v>-50</v>
      </c>
      <c r="Y139" s="3"/>
      <c r="Z139" s="8">
        <f t="shared" si="35"/>
        <v>-1</v>
      </c>
    </row>
    <row r="140" spans="1:26" s="29" customFormat="1" outlineLevel="1" collapsed="1" x14ac:dyDescent="0.25">
      <c r="A140" s="28"/>
      <c r="B140" s="14" t="str">
        <f>CONCATENATE("     ","Bank/card Fees                                    ")</f>
        <v xml:space="preserve">     Bank/card Fees                                    </v>
      </c>
      <c r="C140" s="14"/>
      <c r="D140" s="1">
        <f>SUM(OSRRefD22_4x_0)</f>
        <v>3706.36</v>
      </c>
      <c r="E140" s="1"/>
      <c r="F140" s="5">
        <f t="shared" ref="F140:F145" si="36">IF(D$12=0,0,D140/D$12)</f>
        <v>7.7716432398985003E-3</v>
      </c>
      <c r="G140" s="1"/>
      <c r="H140" s="1">
        <f>SUM(OSRRefH22_4x_0)</f>
        <v>7611</v>
      </c>
      <c r="I140" s="1"/>
      <c r="J140" s="5">
        <f t="shared" ref="J140:J145" si="37">IF(H$12=0,0,H140/H$12)</f>
        <v>1.1024730682820628E-2</v>
      </c>
      <c r="K140" s="1"/>
      <c r="L140" s="1">
        <f t="shared" ref="L140:L145" si="38">+D140-H140</f>
        <v>-3904.64</v>
      </c>
      <c r="M140" s="1"/>
      <c r="N140" s="5">
        <f t="shared" ref="N140:N145" si="39">IF(H140=0,0,L140/H140)</f>
        <v>-0.51302588358954149</v>
      </c>
      <c r="O140" s="14"/>
      <c r="P140" s="1">
        <f>SUM(OSRRefP22_4x_0)</f>
        <v>3706.36</v>
      </c>
      <c r="Q140" s="1"/>
      <c r="R140" s="5">
        <f t="shared" ref="R140:R145" si="40">IF(P$12=0,0,P140/P$12)</f>
        <v>7.7716432398985003E-3</v>
      </c>
      <c r="S140" s="1"/>
      <c r="T140" s="1">
        <f>SUM(OSRRefT22_4x_0)</f>
        <v>7611</v>
      </c>
      <c r="U140" s="1"/>
      <c r="V140" s="5">
        <f t="shared" ref="V140:V145" si="41">IF(T$12=0,0,T140/T$12)</f>
        <v>1.1024730682820628E-2</v>
      </c>
      <c r="W140" s="1"/>
      <c r="X140" s="1">
        <f t="shared" ref="X140:X145" si="42">+P140-T140</f>
        <v>-3904.64</v>
      </c>
      <c r="Y140" s="1"/>
      <c r="Z140" s="5">
        <f t="shared" ref="Z140:Z145" si="43">IF(T140=0,0,X140/T140)</f>
        <v>-0.51302588358954149</v>
      </c>
    </row>
    <row r="141" spans="1:26" s="24" customFormat="1" hidden="1" outlineLevel="2" x14ac:dyDescent="0.25">
      <c r="A141" s="27"/>
      <c r="B141" s="12" t="str">
        <f>CONCATENATE("          ", "6381", " - ", "BANK/CREDIT CARD FEES")</f>
        <v xml:space="preserve">          6381 - BANK/CREDIT CARD FEES</v>
      </c>
      <c r="C141" s="12"/>
      <c r="D141" s="7">
        <v>3706.36</v>
      </c>
      <c r="E141" s="3"/>
      <c r="F141" s="8">
        <f t="shared" si="36"/>
        <v>7.7716432398985003E-3</v>
      </c>
      <c r="G141" s="3"/>
      <c r="H141" s="7">
        <v>7611</v>
      </c>
      <c r="I141" s="3"/>
      <c r="J141" s="8">
        <f t="shared" si="37"/>
        <v>1.1024730682820628E-2</v>
      </c>
      <c r="K141" s="3"/>
      <c r="L141" s="7">
        <f t="shared" si="38"/>
        <v>-3904.64</v>
      </c>
      <c r="M141" s="3"/>
      <c r="N141" s="8">
        <f t="shared" si="39"/>
        <v>-0.51302588358954149</v>
      </c>
      <c r="O141" s="12"/>
      <c r="P141" s="7">
        <v>3706.36</v>
      </c>
      <c r="Q141" s="3"/>
      <c r="R141" s="8">
        <f t="shared" si="40"/>
        <v>7.7716432398985003E-3</v>
      </c>
      <c r="S141" s="3"/>
      <c r="T141" s="7">
        <v>7611</v>
      </c>
      <c r="U141" s="3"/>
      <c r="V141" s="8">
        <f t="shared" si="41"/>
        <v>1.1024730682820628E-2</v>
      </c>
      <c r="W141" s="3"/>
      <c r="X141" s="7">
        <f t="shared" si="42"/>
        <v>-3904.64</v>
      </c>
      <c r="Y141" s="3"/>
      <c r="Z141" s="8">
        <f t="shared" si="43"/>
        <v>-0.51302588358954149</v>
      </c>
    </row>
    <row r="142" spans="1:26" s="29" customFormat="1" outlineLevel="1" collapsed="1" x14ac:dyDescent="0.25">
      <c r="A142" s="28"/>
      <c r="B142" s="14" t="str">
        <f>CONCATENATE("     ","Depreciation                                      ")</f>
        <v xml:space="preserve">     Depreciation                                      </v>
      </c>
      <c r="C142" s="14"/>
      <c r="D142" s="1">
        <f>SUM(OSRRefD22_5x_0)</f>
        <v>77387.06</v>
      </c>
      <c r="E142" s="1"/>
      <c r="F142" s="5">
        <f t="shared" si="36"/>
        <v>0.16226826905767913</v>
      </c>
      <c r="G142" s="1"/>
      <c r="H142" s="1">
        <f>SUM(OSRRefH22_5x_0)</f>
        <v>78384</v>
      </c>
      <c r="I142" s="1"/>
      <c r="J142" s="5">
        <f t="shared" si="37"/>
        <v>0.11354125474211169</v>
      </c>
      <c r="K142" s="1"/>
      <c r="L142" s="1">
        <f t="shared" si="38"/>
        <v>-996.94000000000233</v>
      </c>
      <c r="M142" s="1"/>
      <c r="N142" s="5">
        <f t="shared" si="39"/>
        <v>-1.2718667074913276E-2</v>
      </c>
      <c r="O142" s="14"/>
      <c r="P142" s="1">
        <f>SUM(OSRRefP22_5x_0)</f>
        <v>77387.06</v>
      </c>
      <c r="Q142" s="1"/>
      <c r="R142" s="5">
        <f t="shared" si="40"/>
        <v>0.16226826905767913</v>
      </c>
      <c r="S142" s="1"/>
      <c r="T142" s="1">
        <f>SUM(OSRRefT22_5x_0)</f>
        <v>78384</v>
      </c>
      <c r="U142" s="1"/>
      <c r="V142" s="5">
        <f t="shared" si="41"/>
        <v>0.11354125474211169</v>
      </c>
      <c r="W142" s="1"/>
      <c r="X142" s="1">
        <f t="shared" si="42"/>
        <v>-996.94000000000233</v>
      </c>
      <c r="Y142" s="1"/>
      <c r="Z142" s="5">
        <f t="shared" si="43"/>
        <v>-1.2718667074913276E-2</v>
      </c>
    </row>
    <row r="143" spans="1:26" s="24" customFormat="1" hidden="1" outlineLevel="2" x14ac:dyDescent="0.25">
      <c r="A143" s="27"/>
      <c r="B143" s="12" t="str">
        <f>CONCATENATE("          ", "6321", " - ", "BUILDING DEPRECIATION")</f>
        <v xml:space="preserve">          6321 - BUILDING DEPRECIATION</v>
      </c>
      <c r="C143" s="12"/>
      <c r="D143" s="7">
        <v>45321.919999999998</v>
      </c>
      <c r="E143" s="3"/>
      <c r="F143" s="8">
        <f t="shared" si="36"/>
        <v>9.5032806631633354E-2</v>
      </c>
      <c r="G143" s="3"/>
      <c r="H143" s="7"/>
      <c r="I143" s="3"/>
      <c r="J143" s="8">
        <f t="shared" si="37"/>
        <v>0</v>
      </c>
      <c r="K143" s="3"/>
      <c r="L143" s="7">
        <f t="shared" si="38"/>
        <v>45321.919999999998</v>
      </c>
      <c r="M143" s="3"/>
      <c r="N143" s="8">
        <f t="shared" si="39"/>
        <v>0</v>
      </c>
      <c r="O143" s="12"/>
      <c r="P143" s="7">
        <v>45321.919999999998</v>
      </c>
      <c r="Q143" s="3"/>
      <c r="R143" s="8">
        <f t="shared" si="40"/>
        <v>9.5032806631633354E-2</v>
      </c>
      <c r="S143" s="3"/>
      <c r="T143" s="7"/>
      <c r="U143" s="3"/>
      <c r="V143" s="8">
        <f t="shared" si="41"/>
        <v>0</v>
      </c>
      <c r="W143" s="3"/>
      <c r="X143" s="7">
        <f t="shared" si="42"/>
        <v>45321.919999999998</v>
      </c>
      <c r="Y143" s="3"/>
      <c r="Z143" s="8">
        <f t="shared" si="43"/>
        <v>0</v>
      </c>
    </row>
    <row r="144" spans="1:26" s="24" customFormat="1" hidden="1" outlineLevel="2" x14ac:dyDescent="0.25">
      <c r="A144" s="27"/>
      <c r="B144" s="12" t="str">
        <f>CONCATENATE("          ", "6322", " - ", "EQUIPMENT DEPRECIATION EXPENSE")</f>
        <v xml:space="preserve">          6322 - EQUIPMENT DEPRECIATION EXPENSE</v>
      </c>
      <c r="C144" s="12"/>
      <c r="D144" s="7">
        <v>32065.139999999996</v>
      </c>
      <c r="E144" s="3"/>
      <c r="F144" s="8">
        <f t="shared" si="36"/>
        <v>6.7235462426045764E-2</v>
      </c>
      <c r="G144" s="3"/>
      <c r="H144" s="7">
        <v>77834</v>
      </c>
      <c r="I144" s="3"/>
      <c r="J144" s="8">
        <f t="shared" si="37"/>
        <v>0.11274456549292612</v>
      </c>
      <c r="K144" s="3"/>
      <c r="L144" s="7">
        <f t="shared" si="38"/>
        <v>-45768.86</v>
      </c>
      <c r="M144" s="3"/>
      <c r="N144" s="8">
        <f t="shared" si="39"/>
        <v>-0.58803170850785003</v>
      </c>
      <c r="O144" s="12"/>
      <c r="P144" s="7">
        <v>32065.139999999996</v>
      </c>
      <c r="Q144" s="3"/>
      <c r="R144" s="8">
        <f t="shared" si="40"/>
        <v>6.7235462426045764E-2</v>
      </c>
      <c r="S144" s="3"/>
      <c r="T144" s="7">
        <v>77834</v>
      </c>
      <c r="U144" s="3"/>
      <c r="V144" s="8">
        <f t="shared" si="41"/>
        <v>0.11274456549292612</v>
      </c>
      <c r="W144" s="3"/>
      <c r="X144" s="7">
        <f t="shared" si="42"/>
        <v>-45768.86</v>
      </c>
      <c r="Y144" s="3"/>
      <c r="Z144" s="8">
        <f t="shared" si="43"/>
        <v>-0.58803170850785003</v>
      </c>
    </row>
    <row r="145" spans="1:26" s="24" customFormat="1" hidden="1" outlineLevel="2" x14ac:dyDescent="0.25">
      <c r="A145" s="27"/>
      <c r="B145" s="12" t="str">
        <f>CONCATENATE("          ", "6326", " - ", "VEHICLES DEPRECIATION EXPENSE")</f>
        <v xml:space="preserve">          6326 - VEHICLES DEPRECIATION EXPENSE</v>
      </c>
      <c r="C145" s="12"/>
      <c r="D145" s="7"/>
      <c r="E145" s="3"/>
      <c r="F145" s="8">
        <f t="shared" si="36"/>
        <v>0</v>
      </c>
      <c r="G145" s="3"/>
      <c r="H145" s="7">
        <v>550</v>
      </c>
      <c r="I145" s="3"/>
      <c r="J145" s="8">
        <f t="shared" si="37"/>
        <v>7.9668924918556633E-4</v>
      </c>
      <c r="K145" s="3"/>
      <c r="L145" s="7">
        <f t="shared" si="38"/>
        <v>-550</v>
      </c>
      <c r="M145" s="3"/>
      <c r="N145" s="8">
        <f t="shared" si="39"/>
        <v>-1</v>
      </c>
      <c r="O145" s="12"/>
      <c r="P145" s="7"/>
      <c r="Q145" s="3"/>
      <c r="R145" s="8">
        <f t="shared" si="40"/>
        <v>0</v>
      </c>
      <c r="S145" s="3"/>
      <c r="T145" s="7">
        <v>550</v>
      </c>
      <c r="U145" s="3"/>
      <c r="V145" s="8">
        <f t="shared" si="41"/>
        <v>7.9668924918556633E-4</v>
      </c>
      <c r="W145" s="3"/>
      <c r="X145" s="7">
        <f t="shared" si="42"/>
        <v>-550</v>
      </c>
      <c r="Y145" s="3"/>
      <c r="Z145" s="8">
        <f t="shared" si="43"/>
        <v>-1</v>
      </c>
    </row>
    <row r="146" spans="1:26" s="29" customFormat="1" outlineLevel="1" collapsed="1" x14ac:dyDescent="0.25">
      <c r="A146" s="28"/>
      <c r="B146" s="14" t="str">
        <f>CONCATENATE("     ","Discounts and Markdowns                           ")</f>
        <v xml:space="preserve">     Discounts and Markdowns                           </v>
      </c>
      <c r="C146" s="14"/>
      <c r="D146" s="1">
        <f>SUM(OSRRefD22_6x_0)</f>
        <v>0</v>
      </c>
      <c r="E146" s="1"/>
      <c r="F146" s="5">
        <f t="shared" ref="F146:F150" si="44">IF(D$12=0,0,D146/D$12)</f>
        <v>0</v>
      </c>
      <c r="G146" s="1"/>
      <c r="H146" s="1">
        <f>SUM(OSRRefH22_6x_0)</f>
        <v>24820</v>
      </c>
      <c r="I146" s="1"/>
      <c r="J146" s="5">
        <f t="shared" ref="J146:J150" si="45">IF(H$12=0,0,H146/H$12)</f>
        <v>3.5952413026883193E-2</v>
      </c>
      <c r="K146" s="1"/>
      <c r="L146" s="1">
        <f t="shared" ref="L146:L150" si="46">+D146-H146</f>
        <v>-24820</v>
      </c>
      <c r="M146" s="1"/>
      <c r="N146" s="5">
        <f t="shared" ref="N146:N150" si="47">IF(H146=0,0,L146/H146)</f>
        <v>-1</v>
      </c>
      <c r="O146" s="14"/>
      <c r="P146" s="1">
        <f>SUM(OSRRefP22_6x_0)</f>
        <v>0</v>
      </c>
      <c r="Q146" s="1"/>
      <c r="R146" s="5">
        <f t="shared" ref="R146:R150" si="48">IF(P$12=0,0,P146/P$12)</f>
        <v>0</v>
      </c>
      <c r="S146" s="1"/>
      <c r="T146" s="1">
        <f>SUM(OSRRefT22_6x_0)</f>
        <v>24820</v>
      </c>
      <c r="U146" s="1"/>
      <c r="V146" s="5">
        <f t="shared" ref="V146:V150" si="49">IF(T$12=0,0,T146/T$12)</f>
        <v>3.5952413026883193E-2</v>
      </c>
      <c r="W146" s="1"/>
      <c r="X146" s="1">
        <f t="shared" ref="X146:X150" si="50">+P146-T146</f>
        <v>-24820</v>
      </c>
      <c r="Y146" s="1"/>
      <c r="Z146" s="5">
        <f t="shared" ref="Z146:Z150" si="51">IF(T146=0,0,X146/T146)</f>
        <v>-1</v>
      </c>
    </row>
    <row r="147" spans="1:26" s="24" customFormat="1" hidden="1" outlineLevel="2" x14ac:dyDescent="0.25">
      <c r="A147" s="27"/>
      <c r="B147" s="12" t="str">
        <f>CONCATENATE("          ", "6382", " - ", "DISCOUNTS/MARK DOWNS")</f>
        <v xml:space="preserve">          6382 - DISCOUNTS/MARK DOWNS</v>
      </c>
      <c r="C147" s="12"/>
      <c r="D147" s="7"/>
      <c r="E147" s="3"/>
      <c r="F147" s="8">
        <f t="shared" si="44"/>
        <v>0</v>
      </c>
      <c r="G147" s="3"/>
      <c r="H147" s="7">
        <v>24820</v>
      </c>
      <c r="I147" s="3"/>
      <c r="J147" s="8">
        <f t="shared" si="45"/>
        <v>3.5952413026883193E-2</v>
      </c>
      <c r="K147" s="3"/>
      <c r="L147" s="7">
        <f t="shared" si="46"/>
        <v>-24820</v>
      </c>
      <c r="M147" s="3"/>
      <c r="N147" s="8">
        <f t="shared" si="47"/>
        <v>-1</v>
      </c>
      <c r="O147" s="12"/>
      <c r="P147" s="7"/>
      <c r="Q147" s="3"/>
      <c r="R147" s="8">
        <f t="shared" si="48"/>
        <v>0</v>
      </c>
      <c r="S147" s="3"/>
      <c r="T147" s="7">
        <v>24820</v>
      </c>
      <c r="U147" s="3"/>
      <c r="V147" s="8">
        <f t="shared" si="49"/>
        <v>3.5952413026883193E-2</v>
      </c>
      <c r="W147" s="3"/>
      <c r="X147" s="7">
        <f t="shared" si="50"/>
        <v>-24820</v>
      </c>
      <c r="Y147" s="3"/>
      <c r="Z147" s="8">
        <f t="shared" si="51"/>
        <v>-1</v>
      </c>
    </row>
    <row r="148" spans="1:26" s="29" customFormat="1" outlineLevel="1" collapsed="1" x14ac:dyDescent="0.25">
      <c r="A148" s="28"/>
      <c r="B148" s="14" t="str">
        <f>CONCATENATE("     ","Donations                                         ")</f>
        <v xml:space="preserve">     Donations                                         </v>
      </c>
      <c r="C148" s="14"/>
      <c r="D148" s="1">
        <f>SUM(OSRRefD22_7x_0)</f>
        <v>0</v>
      </c>
      <c r="E148" s="1"/>
      <c r="F148" s="5">
        <f t="shared" si="44"/>
        <v>0</v>
      </c>
      <c r="G148" s="1"/>
      <c r="H148" s="1">
        <f>SUM(OSRRefH22_7x_0)</f>
        <v>1000</v>
      </c>
      <c r="I148" s="1"/>
      <c r="J148" s="5">
        <f t="shared" si="45"/>
        <v>1.4485259076101205E-3</v>
      </c>
      <c r="K148" s="1"/>
      <c r="L148" s="1">
        <f t="shared" si="46"/>
        <v>-1000</v>
      </c>
      <c r="M148" s="1"/>
      <c r="N148" s="5">
        <f t="shared" si="47"/>
        <v>-1</v>
      </c>
      <c r="O148" s="14"/>
      <c r="P148" s="1">
        <f>SUM(OSRRefP22_7x_0)</f>
        <v>0</v>
      </c>
      <c r="Q148" s="1"/>
      <c r="R148" s="5">
        <f t="shared" si="48"/>
        <v>0</v>
      </c>
      <c r="S148" s="1"/>
      <c r="T148" s="1">
        <f>SUM(OSRRefT22_7x_0)</f>
        <v>1000</v>
      </c>
      <c r="U148" s="1"/>
      <c r="V148" s="5">
        <f t="shared" si="49"/>
        <v>1.4485259076101205E-3</v>
      </c>
      <c r="W148" s="1"/>
      <c r="X148" s="1">
        <f t="shared" si="50"/>
        <v>-1000</v>
      </c>
      <c r="Y148" s="1"/>
      <c r="Z148" s="5">
        <f t="shared" si="51"/>
        <v>-1</v>
      </c>
    </row>
    <row r="149" spans="1:26" s="24" customFormat="1" hidden="1" outlineLevel="2" x14ac:dyDescent="0.25">
      <c r="A149" s="27"/>
      <c r="B149" s="12" t="str">
        <f>CONCATENATE("          ", "6395", " - ", "DONATION-OFF CAMPUS")</f>
        <v xml:space="preserve">          6395 - DONATION-OFF CAMPUS</v>
      </c>
      <c r="C149" s="12"/>
      <c r="D149" s="7"/>
      <c r="E149" s="3"/>
      <c r="F149" s="8">
        <f t="shared" si="44"/>
        <v>0</v>
      </c>
      <c r="G149" s="3"/>
      <c r="H149" s="7">
        <v>0</v>
      </c>
      <c r="I149" s="3"/>
      <c r="J149" s="8">
        <f t="shared" si="45"/>
        <v>0</v>
      </c>
      <c r="K149" s="3"/>
      <c r="L149" s="7">
        <f t="shared" si="46"/>
        <v>0</v>
      </c>
      <c r="M149" s="3"/>
      <c r="N149" s="8">
        <f t="shared" si="47"/>
        <v>0</v>
      </c>
      <c r="O149" s="12"/>
      <c r="P149" s="7"/>
      <c r="Q149" s="3"/>
      <c r="R149" s="8">
        <f t="shared" si="48"/>
        <v>0</v>
      </c>
      <c r="S149" s="3"/>
      <c r="T149" s="7">
        <v>0</v>
      </c>
      <c r="U149" s="3"/>
      <c r="V149" s="8">
        <f t="shared" si="49"/>
        <v>0</v>
      </c>
      <c r="W149" s="3"/>
      <c r="X149" s="7">
        <f t="shared" si="50"/>
        <v>0</v>
      </c>
      <c r="Y149" s="3"/>
      <c r="Z149" s="8">
        <f t="shared" si="51"/>
        <v>0</v>
      </c>
    </row>
    <row r="150" spans="1:26" s="24" customFormat="1" hidden="1" outlineLevel="2" x14ac:dyDescent="0.25">
      <c r="A150" s="27"/>
      <c r="B150" s="12" t="str">
        <f>CONCATENATE("          ", "6399", " - ", "DONATION-ON CAMPUS")</f>
        <v xml:space="preserve">          6399 - DONATION-ON CAMPUS</v>
      </c>
      <c r="C150" s="12"/>
      <c r="D150" s="7"/>
      <c r="E150" s="3"/>
      <c r="F150" s="8">
        <f t="shared" si="44"/>
        <v>0</v>
      </c>
      <c r="G150" s="3"/>
      <c r="H150" s="7">
        <v>1000</v>
      </c>
      <c r="I150" s="3"/>
      <c r="J150" s="8">
        <f t="shared" si="45"/>
        <v>1.4485259076101205E-3</v>
      </c>
      <c r="K150" s="3"/>
      <c r="L150" s="7">
        <f t="shared" si="46"/>
        <v>-1000</v>
      </c>
      <c r="M150" s="3"/>
      <c r="N150" s="8">
        <f t="shared" si="47"/>
        <v>-1</v>
      </c>
      <c r="O150" s="12"/>
      <c r="P150" s="7"/>
      <c r="Q150" s="3"/>
      <c r="R150" s="8">
        <f t="shared" si="48"/>
        <v>0</v>
      </c>
      <c r="S150" s="3"/>
      <c r="T150" s="7">
        <v>1000</v>
      </c>
      <c r="U150" s="3"/>
      <c r="V150" s="8">
        <f t="shared" si="49"/>
        <v>1.4485259076101205E-3</v>
      </c>
      <c r="W150" s="3"/>
      <c r="X150" s="7">
        <f t="shared" si="50"/>
        <v>-1000</v>
      </c>
      <c r="Y150" s="3"/>
      <c r="Z150" s="8">
        <f t="shared" si="51"/>
        <v>-1</v>
      </c>
    </row>
    <row r="151" spans="1:26" s="29" customFormat="1" outlineLevel="1" collapsed="1" x14ac:dyDescent="0.25">
      <c r="A151" s="28"/>
      <c r="B151" s="14" t="str">
        <f>CONCATENATE("     ","Employees' Appreciation                           ")</f>
        <v xml:space="preserve">     Employees' Appreciation                           </v>
      </c>
      <c r="C151" s="14"/>
      <c r="D151" s="1">
        <f>SUM(OSRRefD22_8x_0)</f>
        <v>107.7</v>
      </c>
      <c r="E151" s="1"/>
      <c r="F151" s="5">
        <f t="shared" ref="F151:F157" si="52">IF(D$12=0,0,D151/D$12)</f>
        <v>2.2582964874892576E-4</v>
      </c>
      <c r="G151" s="1"/>
      <c r="H151" s="1">
        <f>SUM(OSRRefH22_8x_0)</f>
        <v>565</v>
      </c>
      <c r="I151" s="1"/>
      <c r="J151" s="5">
        <f t="shared" ref="J151:J157" si="53">IF(H$12=0,0,H151/H$12)</f>
        <v>8.1841713779971814E-4</v>
      </c>
      <c r="K151" s="1"/>
      <c r="L151" s="1">
        <f t="shared" ref="L151:L157" si="54">+D151-H151</f>
        <v>-457.3</v>
      </c>
      <c r="M151" s="1"/>
      <c r="N151" s="5">
        <f t="shared" ref="N151:N157" si="55">IF(H151=0,0,L151/H151)</f>
        <v>-0.80938053097345131</v>
      </c>
      <c r="O151" s="14"/>
      <c r="P151" s="1">
        <f>SUM(OSRRefP22_8x_0)</f>
        <v>107.7</v>
      </c>
      <c r="Q151" s="1"/>
      <c r="R151" s="5">
        <f t="shared" ref="R151:R157" si="56">IF(P$12=0,0,P151/P$12)</f>
        <v>2.2582964874892576E-4</v>
      </c>
      <c r="S151" s="1"/>
      <c r="T151" s="1">
        <f>SUM(OSRRefT22_8x_0)</f>
        <v>565</v>
      </c>
      <c r="U151" s="1"/>
      <c r="V151" s="5">
        <f t="shared" ref="V151:V157" si="57">IF(T$12=0,0,T151/T$12)</f>
        <v>8.1841713779971814E-4</v>
      </c>
      <c r="W151" s="1"/>
      <c r="X151" s="1">
        <f t="shared" ref="X151:X157" si="58">+P151-T151</f>
        <v>-457.3</v>
      </c>
      <c r="Y151" s="1"/>
      <c r="Z151" s="5">
        <f t="shared" ref="Z151:Z157" si="59">IF(T151=0,0,X151/T151)</f>
        <v>-0.80938053097345131</v>
      </c>
    </row>
    <row r="152" spans="1:26" s="24" customFormat="1" hidden="1" outlineLevel="2" x14ac:dyDescent="0.25">
      <c r="A152" s="27"/>
      <c r="B152" s="12" t="str">
        <f>CONCATENATE("          ", "6277", " - ", "EMPLOYEE APPRECIATION")</f>
        <v xml:space="preserve">          6277 - EMPLOYEE APPRECIATION</v>
      </c>
      <c r="C152" s="12"/>
      <c r="D152" s="7">
        <v>107.7</v>
      </c>
      <c r="E152" s="3"/>
      <c r="F152" s="8">
        <f t="shared" si="52"/>
        <v>2.2582964874892576E-4</v>
      </c>
      <c r="G152" s="3"/>
      <c r="H152" s="7">
        <v>565</v>
      </c>
      <c r="I152" s="3"/>
      <c r="J152" s="8">
        <f t="shared" si="53"/>
        <v>8.1841713779971814E-4</v>
      </c>
      <c r="K152" s="3"/>
      <c r="L152" s="7">
        <f t="shared" si="54"/>
        <v>-457.3</v>
      </c>
      <c r="M152" s="3"/>
      <c r="N152" s="8">
        <f t="shared" si="55"/>
        <v>-0.80938053097345131</v>
      </c>
      <c r="O152" s="12"/>
      <c r="P152" s="7">
        <v>107.7</v>
      </c>
      <c r="Q152" s="3"/>
      <c r="R152" s="8">
        <f t="shared" si="56"/>
        <v>2.2582964874892576E-4</v>
      </c>
      <c r="S152" s="3"/>
      <c r="T152" s="7">
        <v>565</v>
      </c>
      <c r="U152" s="3"/>
      <c r="V152" s="8">
        <f t="shared" si="57"/>
        <v>8.1841713779971814E-4</v>
      </c>
      <c r="W152" s="3"/>
      <c r="X152" s="7">
        <f t="shared" si="58"/>
        <v>-457.3</v>
      </c>
      <c r="Y152" s="3"/>
      <c r="Z152" s="8">
        <f t="shared" si="59"/>
        <v>-0.80938053097345131</v>
      </c>
    </row>
    <row r="153" spans="1:26" s="29" customFormat="1" outlineLevel="1" collapsed="1" x14ac:dyDescent="0.25">
      <c r="A153" s="28"/>
      <c r="B153" s="14" t="str">
        <f>CONCATENATE("     ","Equipment Rental                                  ")</f>
        <v xml:space="preserve">     Equipment Rental                                  </v>
      </c>
      <c r="C153" s="14"/>
      <c r="D153" s="1">
        <f>SUM(OSRRefD22_9x_0)</f>
        <v>2638.66</v>
      </c>
      <c r="E153" s="1"/>
      <c r="F153" s="5">
        <f t="shared" si="52"/>
        <v>5.5328473627468929E-3</v>
      </c>
      <c r="G153" s="1"/>
      <c r="H153" s="1">
        <f>SUM(OSRRefH22_9x_0)</f>
        <v>4050.3333333333326</v>
      </c>
      <c r="I153" s="1"/>
      <c r="J153" s="5">
        <f t="shared" si="53"/>
        <v>5.8670127677901904E-3</v>
      </c>
      <c r="K153" s="1"/>
      <c r="L153" s="1">
        <f t="shared" si="54"/>
        <v>-1411.6733333333327</v>
      </c>
      <c r="M153" s="1"/>
      <c r="N153" s="5">
        <f t="shared" si="55"/>
        <v>-0.34853263105917198</v>
      </c>
      <c r="O153" s="14"/>
      <c r="P153" s="1">
        <f>SUM(OSRRefP22_9x_0)</f>
        <v>2638.66</v>
      </c>
      <c r="Q153" s="1"/>
      <c r="R153" s="5">
        <f t="shared" si="56"/>
        <v>5.5328473627468929E-3</v>
      </c>
      <c r="S153" s="1"/>
      <c r="T153" s="1">
        <f>SUM(OSRRefT22_9x_0)</f>
        <v>4050.3333333333326</v>
      </c>
      <c r="U153" s="1"/>
      <c r="V153" s="5">
        <f t="shared" si="57"/>
        <v>5.8670127677901904E-3</v>
      </c>
      <c r="W153" s="1"/>
      <c r="X153" s="1">
        <f t="shared" si="58"/>
        <v>-1411.6733333333327</v>
      </c>
      <c r="Y153" s="1"/>
      <c r="Z153" s="5">
        <f t="shared" si="59"/>
        <v>-0.34853263105917198</v>
      </c>
    </row>
    <row r="154" spans="1:26" s="24" customFormat="1" hidden="1" outlineLevel="2" x14ac:dyDescent="0.25">
      <c r="A154" s="27"/>
      <c r="B154" s="12" t="str">
        <f>CONCATENATE("          ", "6351", " - ", "EQUIPMENT RENTAL")</f>
        <v xml:space="preserve">          6351 - EQUIPMENT RENTAL</v>
      </c>
      <c r="C154" s="12"/>
      <c r="D154" s="7">
        <v>2638.66</v>
      </c>
      <c r="E154" s="3"/>
      <c r="F154" s="8">
        <f t="shared" si="52"/>
        <v>5.5328473627468929E-3</v>
      </c>
      <c r="G154" s="3"/>
      <c r="H154" s="7">
        <v>4050.3333333333326</v>
      </c>
      <c r="I154" s="3"/>
      <c r="J154" s="8">
        <f t="shared" si="53"/>
        <v>5.8670127677901904E-3</v>
      </c>
      <c r="K154" s="3"/>
      <c r="L154" s="7">
        <f t="shared" si="54"/>
        <v>-1411.6733333333327</v>
      </c>
      <c r="M154" s="3"/>
      <c r="N154" s="8">
        <f t="shared" si="55"/>
        <v>-0.34853263105917198</v>
      </c>
      <c r="O154" s="12"/>
      <c r="P154" s="7">
        <v>2638.66</v>
      </c>
      <c r="Q154" s="3"/>
      <c r="R154" s="8">
        <f t="shared" si="56"/>
        <v>5.5328473627468929E-3</v>
      </c>
      <c r="S154" s="3"/>
      <c r="T154" s="7">
        <v>4050.3333333333326</v>
      </c>
      <c r="U154" s="3"/>
      <c r="V154" s="8">
        <f t="shared" si="57"/>
        <v>5.8670127677901904E-3</v>
      </c>
      <c r="W154" s="3"/>
      <c r="X154" s="7">
        <f t="shared" si="58"/>
        <v>-1411.6733333333327</v>
      </c>
      <c r="Y154" s="3"/>
      <c r="Z154" s="8">
        <f t="shared" si="59"/>
        <v>-0.34853263105917198</v>
      </c>
    </row>
    <row r="155" spans="1:26" s="29" customFormat="1" outlineLevel="1" collapsed="1" x14ac:dyDescent="0.25">
      <c r="A155" s="28"/>
      <c r="B155" s="14" t="str">
        <f>CONCATENATE("     ","Freight out/Postage                               ")</f>
        <v xml:space="preserve">     Freight out/Postage                               </v>
      </c>
      <c r="C155" s="14"/>
      <c r="D155" s="1">
        <f>SUM(OSRRefD22_10x_0)</f>
        <v>8939.26</v>
      </c>
      <c r="E155" s="1"/>
      <c r="F155" s="5">
        <f t="shared" si="52"/>
        <v>1.8744196340532239E-2</v>
      </c>
      <c r="G155" s="1"/>
      <c r="H155" s="1">
        <f>SUM(OSRRefH22_10x_0)</f>
        <v>5045</v>
      </c>
      <c r="I155" s="1"/>
      <c r="J155" s="5">
        <f t="shared" si="53"/>
        <v>7.3078132038930585E-3</v>
      </c>
      <c r="K155" s="1"/>
      <c r="L155" s="1">
        <f t="shared" si="54"/>
        <v>3894.26</v>
      </c>
      <c r="M155" s="1"/>
      <c r="N155" s="5">
        <f t="shared" si="55"/>
        <v>0.77190485629335981</v>
      </c>
      <c r="O155" s="14"/>
      <c r="P155" s="1">
        <f>SUM(OSRRefP22_10x_0)</f>
        <v>8939.26</v>
      </c>
      <c r="Q155" s="1"/>
      <c r="R155" s="5">
        <f t="shared" si="56"/>
        <v>1.8744196340532239E-2</v>
      </c>
      <c r="S155" s="1"/>
      <c r="T155" s="1">
        <f>SUM(OSRRefT22_10x_0)</f>
        <v>5045</v>
      </c>
      <c r="U155" s="1"/>
      <c r="V155" s="5">
        <f t="shared" si="57"/>
        <v>7.3078132038930585E-3</v>
      </c>
      <c r="W155" s="1"/>
      <c r="X155" s="1">
        <f t="shared" si="58"/>
        <v>3894.26</v>
      </c>
      <c r="Y155" s="1"/>
      <c r="Z155" s="5">
        <f t="shared" si="59"/>
        <v>0.77190485629335981</v>
      </c>
    </row>
    <row r="156" spans="1:26" s="24" customFormat="1" hidden="1" outlineLevel="2" x14ac:dyDescent="0.25">
      <c r="A156" s="27"/>
      <c r="B156" s="12" t="str">
        <f>CONCATENATE("          ", "6305", " - ", "FREIGHT OUT")</f>
        <v xml:space="preserve">          6305 - FREIGHT OUT</v>
      </c>
      <c r="C156" s="12"/>
      <c r="D156" s="7">
        <v>12094.7</v>
      </c>
      <c r="E156" s="3"/>
      <c r="F156" s="8">
        <f t="shared" si="52"/>
        <v>2.5360648586106149E-2</v>
      </c>
      <c r="G156" s="3"/>
      <c r="H156" s="7">
        <v>1515</v>
      </c>
      <c r="I156" s="3"/>
      <c r="J156" s="8">
        <f t="shared" si="53"/>
        <v>2.1945167500293326E-3</v>
      </c>
      <c r="K156" s="3"/>
      <c r="L156" s="7">
        <f t="shared" si="54"/>
        <v>10579.7</v>
      </c>
      <c r="M156" s="3"/>
      <c r="N156" s="8">
        <f t="shared" si="55"/>
        <v>6.9833003300330034</v>
      </c>
      <c r="O156" s="12"/>
      <c r="P156" s="7">
        <v>12094.7</v>
      </c>
      <c r="Q156" s="3"/>
      <c r="R156" s="8">
        <f t="shared" si="56"/>
        <v>2.5360648586106149E-2</v>
      </c>
      <c r="S156" s="3"/>
      <c r="T156" s="7">
        <v>1515</v>
      </c>
      <c r="U156" s="3"/>
      <c r="V156" s="8">
        <f t="shared" si="57"/>
        <v>2.1945167500293326E-3</v>
      </c>
      <c r="W156" s="3"/>
      <c r="X156" s="7">
        <f t="shared" si="58"/>
        <v>10579.7</v>
      </c>
      <c r="Y156" s="3"/>
      <c r="Z156" s="8">
        <f t="shared" si="59"/>
        <v>6.9833003300330034</v>
      </c>
    </row>
    <row r="157" spans="1:26" s="24" customFormat="1" hidden="1" outlineLevel="2" x14ac:dyDescent="0.25">
      <c r="A157" s="27"/>
      <c r="B157" s="12" t="str">
        <f>CONCATENATE("          ", "6307", " - ", "POSTAGE")</f>
        <v xml:space="preserve">          6307 - POSTAGE</v>
      </c>
      <c r="C157" s="12"/>
      <c r="D157" s="7">
        <v>-3155.44</v>
      </c>
      <c r="E157" s="3"/>
      <c r="F157" s="8">
        <f t="shared" si="52"/>
        <v>-6.616452245573912E-3</v>
      </c>
      <c r="G157" s="3"/>
      <c r="H157" s="7">
        <v>3530</v>
      </c>
      <c r="I157" s="3"/>
      <c r="J157" s="8">
        <f t="shared" si="53"/>
        <v>5.1132964538637259E-3</v>
      </c>
      <c r="K157" s="3"/>
      <c r="L157" s="7">
        <f t="shared" si="54"/>
        <v>-6685.4400000000005</v>
      </c>
      <c r="M157" s="3"/>
      <c r="N157" s="8">
        <f t="shared" si="55"/>
        <v>-1.8938923512747876</v>
      </c>
      <c r="O157" s="12"/>
      <c r="P157" s="7">
        <v>-3155.44</v>
      </c>
      <c r="Q157" s="3"/>
      <c r="R157" s="8">
        <f t="shared" si="56"/>
        <v>-6.616452245573912E-3</v>
      </c>
      <c r="S157" s="3"/>
      <c r="T157" s="7">
        <v>3530</v>
      </c>
      <c r="U157" s="3"/>
      <c r="V157" s="8">
        <f t="shared" si="57"/>
        <v>5.1132964538637259E-3</v>
      </c>
      <c r="W157" s="3"/>
      <c r="X157" s="7">
        <f t="shared" si="58"/>
        <v>-6685.4400000000005</v>
      </c>
      <c r="Y157" s="3"/>
      <c r="Z157" s="8">
        <f t="shared" si="59"/>
        <v>-1.8938923512747876</v>
      </c>
    </row>
    <row r="158" spans="1:26" s="29" customFormat="1" outlineLevel="1" collapsed="1" x14ac:dyDescent="0.25">
      <c r="A158" s="28"/>
      <c r="B158" s="14" t="str">
        <f>CONCATENATE("     ","General                                           ")</f>
        <v xml:space="preserve">     General                                           </v>
      </c>
      <c r="C158" s="14"/>
      <c r="D158" s="1">
        <f>SUM(OSRRefD22_11x_0)</f>
        <v>8780.7099999999991</v>
      </c>
      <c r="E158" s="1"/>
      <c r="F158" s="5">
        <f t="shared" ref="F158:F160" si="60">IF(D$12=0,0,D158/D$12)</f>
        <v>1.8411742386872605E-2</v>
      </c>
      <c r="G158" s="1"/>
      <c r="H158" s="1">
        <f>SUM(OSRRefH22_11x_0)</f>
        <v>14085</v>
      </c>
      <c r="I158" s="1"/>
      <c r="J158" s="5">
        <f t="shared" ref="J158:J160" si="61">IF(H$12=0,0,H158/H$12)</f>
        <v>2.0402487408688549E-2</v>
      </c>
      <c r="K158" s="1"/>
      <c r="L158" s="1">
        <f t="shared" ref="L158:L160" si="62">+D158-H158</f>
        <v>-5304.2900000000009</v>
      </c>
      <c r="M158" s="1"/>
      <c r="N158" s="5">
        <f t="shared" ref="N158:N160" si="63">IF(H158=0,0,L158/H158)</f>
        <v>-0.37659140930067453</v>
      </c>
      <c r="O158" s="14"/>
      <c r="P158" s="1">
        <f>SUM(OSRRefP22_11x_0)</f>
        <v>8780.7099999999991</v>
      </c>
      <c r="Q158" s="1"/>
      <c r="R158" s="5">
        <f t="shared" ref="R158:R160" si="64">IF(P$12=0,0,P158/P$12)</f>
        <v>1.8411742386872605E-2</v>
      </c>
      <c r="S158" s="1"/>
      <c r="T158" s="1">
        <f>SUM(OSRRefT22_11x_0)</f>
        <v>14085</v>
      </c>
      <c r="U158" s="1"/>
      <c r="V158" s="5">
        <f t="shared" ref="V158:V160" si="65">IF(T$12=0,0,T158/T$12)</f>
        <v>2.0402487408688549E-2</v>
      </c>
      <c r="W158" s="1"/>
      <c r="X158" s="1">
        <f t="shared" ref="X158:X160" si="66">+P158-T158</f>
        <v>-5304.2900000000009</v>
      </c>
      <c r="Y158" s="1"/>
      <c r="Z158" s="5">
        <f t="shared" ref="Z158:Z160" si="67">IF(T158=0,0,X158/T158)</f>
        <v>-0.37659140930067453</v>
      </c>
    </row>
    <row r="159" spans="1:26" s="24" customFormat="1" hidden="1" outlineLevel="2" x14ac:dyDescent="0.25">
      <c r="A159" s="27"/>
      <c r="B159" s="12" t="str">
        <f>CONCATENATE("          ", "6276", " - ", "PROPERTY TAX")</f>
        <v xml:space="preserve">          6276 - PROPERTY TAX</v>
      </c>
      <c r="C159" s="12"/>
      <c r="D159" s="7"/>
      <c r="E159" s="3"/>
      <c r="F159" s="8">
        <f t="shared" si="60"/>
        <v>0</v>
      </c>
      <c r="G159" s="3"/>
      <c r="H159" s="7">
        <v>150</v>
      </c>
      <c r="I159" s="3"/>
      <c r="J159" s="8">
        <f t="shared" si="61"/>
        <v>2.1727888614151808E-4</v>
      </c>
      <c r="K159" s="3"/>
      <c r="L159" s="7">
        <f t="shared" si="62"/>
        <v>-150</v>
      </c>
      <c r="M159" s="3"/>
      <c r="N159" s="8">
        <f t="shared" si="63"/>
        <v>-1</v>
      </c>
      <c r="O159" s="12"/>
      <c r="P159" s="7"/>
      <c r="Q159" s="3"/>
      <c r="R159" s="8">
        <f t="shared" si="64"/>
        <v>0</v>
      </c>
      <c r="S159" s="3"/>
      <c r="T159" s="7">
        <v>150</v>
      </c>
      <c r="U159" s="3"/>
      <c r="V159" s="8">
        <f t="shared" si="65"/>
        <v>2.1727888614151808E-4</v>
      </c>
      <c r="W159" s="3"/>
      <c r="X159" s="7">
        <f t="shared" si="66"/>
        <v>-150</v>
      </c>
      <c r="Y159" s="3"/>
      <c r="Z159" s="8">
        <f t="shared" si="67"/>
        <v>-1</v>
      </c>
    </row>
    <row r="160" spans="1:26" s="24" customFormat="1" hidden="1" outlineLevel="2" x14ac:dyDescent="0.25">
      <c r="A160" s="27"/>
      <c r="B160" s="12" t="str">
        <f>CONCATENATE("          ", "6279", " - ", "GENERAL EXPENSE")</f>
        <v xml:space="preserve">          6279 - GENERAL EXPENSE</v>
      </c>
      <c r="C160" s="12"/>
      <c r="D160" s="7">
        <v>8780.7099999999991</v>
      </c>
      <c r="E160" s="3"/>
      <c r="F160" s="8">
        <f t="shared" si="60"/>
        <v>1.8411742386872605E-2</v>
      </c>
      <c r="G160" s="3"/>
      <c r="H160" s="7">
        <v>13935</v>
      </c>
      <c r="I160" s="3"/>
      <c r="J160" s="8">
        <f t="shared" si="61"/>
        <v>2.018520852254703E-2</v>
      </c>
      <c r="K160" s="3"/>
      <c r="L160" s="7">
        <f t="shared" si="62"/>
        <v>-5154.2900000000009</v>
      </c>
      <c r="M160" s="3"/>
      <c r="N160" s="8">
        <f t="shared" si="63"/>
        <v>-0.36988087549336213</v>
      </c>
      <c r="O160" s="12"/>
      <c r="P160" s="7">
        <v>8780.7099999999991</v>
      </c>
      <c r="Q160" s="3"/>
      <c r="R160" s="8">
        <f t="shared" si="64"/>
        <v>1.8411742386872605E-2</v>
      </c>
      <c r="S160" s="3"/>
      <c r="T160" s="7">
        <v>13935</v>
      </c>
      <c r="U160" s="3"/>
      <c r="V160" s="8">
        <f t="shared" si="65"/>
        <v>2.018520852254703E-2</v>
      </c>
      <c r="W160" s="3"/>
      <c r="X160" s="7">
        <f t="shared" si="66"/>
        <v>-5154.2900000000009</v>
      </c>
      <c r="Y160" s="3"/>
      <c r="Z160" s="8">
        <f t="shared" si="67"/>
        <v>-0.36988087549336213</v>
      </c>
    </row>
    <row r="161" spans="1:26" s="29" customFormat="1" outlineLevel="1" collapsed="1" x14ac:dyDescent="0.25">
      <c r="A161" s="28"/>
      <c r="B161" s="14" t="str">
        <f>CONCATENATE("     ","Insurance                                         ")</f>
        <v xml:space="preserve">     Insurance                                         </v>
      </c>
      <c r="C161" s="14"/>
      <c r="D161" s="1">
        <f>SUM(OSRRefD22_12x_0)</f>
        <v>8563.32</v>
      </c>
      <c r="E161" s="1"/>
      <c r="F161" s="5">
        <f t="shared" ref="F161:F177" si="68">IF(D$12=0,0,D161/D$12)</f>
        <v>1.7955910378130463E-2</v>
      </c>
      <c r="G161" s="1"/>
      <c r="H161" s="1">
        <f>SUM(OSRRefH22_12x_0)</f>
        <v>9321</v>
      </c>
      <c r="I161" s="1"/>
      <c r="J161" s="5">
        <f t="shared" ref="J161:J177" si="69">IF(H$12=0,0,H161/H$12)</f>
        <v>1.3501709984833934E-2</v>
      </c>
      <c r="K161" s="1"/>
      <c r="L161" s="1">
        <f t="shared" ref="L161:L177" si="70">+D161-H161</f>
        <v>-757.68000000000029</v>
      </c>
      <c r="M161" s="1"/>
      <c r="N161" s="5">
        <f t="shared" ref="N161:N177" si="71">IF(H161=0,0,L161/H161)</f>
        <v>-8.128741551335697E-2</v>
      </c>
      <c r="O161" s="14"/>
      <c r="P161" s="1">
        <f>SUM(OSRRefP22_12x_0)</f>
        <v>8563.32</v>
      </c>
      <c r="Q161" s="1"/>
      <c r="R161" s="5">
        <f t="shared" ref="R161:R177" si="72">IF(P$12=0,0,P161/P$12)</f>
        <v>1.7955910378130463E-2</v>
      </c>
      <c r="S161" s="1"/>
      <c r="T161" s="1">
        <f>SUM(OSRRefT22_12x_0)</f>
        <v>9321</v>
      </c>
      <c r="U161" s="1"/>
      <c r="V161" s="5">
        <f t="shared" ref="V161:V177" si="73">IF(T$12=0,0,T161/T$12)</f>
        <v>1.3501709984833934E-2</v>
      </c>
      <c r="W161" s="1"/>
      <c r="X161" s="1">
        <f t="shared" ref="X161:X177" si="74">+P161-T161</f>
        <v>-757.68000000000029</v>
      </c>
      <c r="Y161" s="1"/>
      <c r="Z161" s="5">
        <f t="shared" ref="Z161:Z177" si="75">IF(T161=0,0,X161/T161)</f>
        <v>-8.128741551335697E-2</v>
      </c>
    </row>
    <row r="162" spans="1:26" s="24" customFormat="1" hidden="1" outlineLevel="2" x14ac:dyDescent="0.25">
      <c r="A162" s="27"/>
      <c r="B162" s="12" t="str">
        <f>CONCATENATE("          ", "6314", " - ", "LIABILITY INSURANCE")</f>
        <v xml:space="preserve">          6314 - LIABILITY INSURANCE</v>
      </c>
      <c r="C162" s="12"/>
      <c r="D162" s="7">
        <v>8563.32</v>
      </c>
      <c r="E162" s="3"/>
      <c r="F162" s="8">
        <f t="shared" si="68"/>
        <v>1.7955910378130463E-2</v>
      </c>
      <c r="G162" s="3"/>
      <c r="H162" s="7">
        <v>9321</v>
      </c>
      <c r="I162" s="3"/>
      <c r="J162" s="8">
        <f t="shared" si="69"/>
        <v>1.3501709984833934E-2</v>
      </c>
      <c r="K162" s="3"/>
      <c r="L162" s="7">
        <f t="shared" si="70"/>
        <v>-757.68000000000029</v>
      </c>
      <c r="M162" s="3"/>
      <c r="N162" s="8">
        <f t="shared" si="71"/>
        <v>-8.128741551335697E-2</v>
      </c>
      <c r="O162" s="12"/>
      <c r="P162" s="7">
        <v>8563.32</v>
      </c>
      <c r="Q162" s="3"/>
      <c r="R162" s="8">
        <f t="shared" si="72"/>
        <v>1.7955910378130463E-2</v>
      </c>
      <c r="S162" s="3"/>
      <c r="T162" s="7">
        <v>9321</v>
      </c>
      <c r="U162" s="3"/>
      <c r="V162" s="8">
        <f t="shared" si="73"/>
        <v>1.3501709984833934E-2</v>
      </c>
      <c r="W162" s="3"/>
      <c r="X162" s="7">
        <f t="shared" si="74"/>
        <v>-757.68000000000029</v>
      </c>
      <c r="Y162" s="3"/>
      <c r="Z162" s="8">
        <f t="shared" si="75"/>
        <v>-8.128741551335697E-2</v>
      </c>
    </row>
    <row r="163" spans="1:26" s="29" customFormat="1" outlineLevel="1" collapsed="1" x14ac:dyDescent="0.25">
      <c r="A163" s="28"/>
      <c r="B163" s="14" t="str">
        <f>CONCATENATE("     ","Interest                                          ")</f>
        <v xml:space="preserve">     Interest                                          </v>
      </c>
      <c r="C163" s="14"/>
      <c r="D163" s="1">
        <f>SUM(OSRRefD22_13x_0)</f>
        <v>11554</v>
      </c>
      <c r="E163" s="1"/>
      <c r="F163" s="5">
        <f t="shared" si="68"/>
        <v>2.4226887294754765E-2</v>
      </c>
      <c r="G163" s="1"/>
      <c r="H163" s="1">
        <f>SUM(OSRRefH22_13x_0)</f>
        <v>11554</v>
      </c>
      <c r="I163" s="1"/>
      <c r="J163" s="5">
        <f t="shared" si="69"/>
        <v>1.6736268336527332E-2</v>
      </c>
      <c r="K163" s="1"/>
      <c r="L163" s="1">
        <f t="shared" si="70"/>
        <v>0</v>
      </c>
      <c r="M163" s="1"/>
      <c r="N163" s="5">
        <f t="shared" si="71"/>
        <v>0</v>
      </c>
      <c r="O163" s="14"/>
      <c r="P163" s="1">
        <f>SUM(OSRRefP22_13x_0)</f>
        <v>11554</v>
      </c>
      <c r="Q163" s="1"/>
      <c r="R163" s="5">
        <f t="shared" si="72"/>
        <v>2.4226887294754765E-2</v>
      </c>
      <c r="S163" s="1"/>
      <c r="T163" s="1">
        <f>SUM(OSRRefT22_13x_0)</f>
        <v>11554</v>
      </c>
      <c r="U163" s="1"/>
      <c r="V163" s="5">
        <f t="shared" si="73"/>
        <v>1.6736268336527332E-2</v>
      </c>
      <c r="W163" s="1"/>
      <c r="X163" s="1">
        <f t="shared" si="74"/>
        <v>0</v>
      </c>
      <c r="Y163" s="1"/>
      <c r="Z163" s="5">
        <f t="shared" si="75"/>
        <v>0</v>
      </c>
    </row>
    <row r="164" spans="1:26" s="24" customFormat="1" hidden="1" outlineLevel="2" x14ac:dyDescent="0.25">
      <c r="A164" s="27"/>
      <c r="B164" s="12" t="str">
        <f>CONCATENATE("          ", "6401", " - ", "INTEREST EXPENSE")</f>
        <v xml:space="preserve">          6401 - INTEREST EXPENSE</v>
      </c>
      <c r="C164" s="12"/>
      <c r="D164" s="7">
        <v>11554</v>
      </c>
      <c r="E164" s="3"/>
      <c r="F164" s="8">
        <f t="shared" si="68"/>
        <v>2.4226887294754765E-2</v>
      </c>
      <c r="G164" s="3"/>
      <c r="H164" s="7">
        <v>11554</v>
      </c>
      <c r="I164" s="3"/>
      <c r="J164" s="8">
        <f t="shared" si="69"/>
        <v>1.6736268336527332E-2</v>
      </c>
      <c r="K164" s="3"/>
      <c r="L164" s="7">
        <f t="shared" si="70"/>
        <v>0</v>
      </c>
      <c r="M164" s="3"/>
      <c r="N164" s="8">
        <f t="shared" si="71"/>
        <v>0</v>
      </c>
      <c r="O164" s="12"/>
      <c r="P164" s="7">
        <v>11554</v>
      </c>
      <c r="Q164" s="3"/>
      <c r="R164" s="8">
        <f t="shared" si="72"/>
        <v>2.4226887294754765E-2</v>
      </c>
      <c r="S164" s="3"/>
      <c r="T164" s="7">
        <v>11554</v>
      </c>
      <c r="U164" s="3"/>
      <c r="V164" s="8">
        <f t="shared" si="73"/>
        <v>1.6736268336527332E-2</v>
      </c>
      <c r="W164" s="3"/>
      <c r="X164" s="7">
        <f t="shared" si="74"/>
        <v>0</v>
      </c>
      <c r="Y164" s="3"/>
      <c r="Z164" s="8">
        <f t="shared" si="75"/>
        <v>0</v>
      </c>
    </row>
    <row r="165" spans="1:26" s="29" customFormat="1" outlineLevel="1" collapsed="1" x14ac:dyDescent="0.25">
      <c r="A165" s="28"/>
      <c r="B165" s="14" t="str">
        <f>CONCATENATE("     ","Inventory Adjustment                              ")</f>
        <v xml:space="preserve">     Inventory Adjustment                              </v>
      </c>
      <c r="C165" s="14"/>
      <c r="D165" s="1">
        <f>SUM(OSRRefD22_14x_0)</f>
        <v>3350</v>
      </c>
      <c r="E165" s="1"/>
      <c r="F165" s="5">
        <f t="shared" si="68"/>
        <v>7.0244134011968546E-3</v>
      </c>
      <c r="G165" s="1"/>
      <c r="H165" s="1">
        <f>SUM(OSRRefH22_14x_0)</f>
        <v>4350</v>
      </c>
      <c r="I165" s="1"/>
      <c r="J165" s="5">
        <f t="shared" si="69"/>
        <v>6.3010876981040246E-3</v>
      </c>
      <c r="K165" s="1"/>
      <c r="L165" s="1">
        <f t="shared" si="70"/>
        <v>-1000</v>
      </c>
      <c r="M165" s="1"/>
      <c r="N165" s="5">
        <f t="shared" si="71"/>
        <v>-0.22988505747126436</v>
      </c>
      <c r="O165" s="14"/>
      <c r="P165" s="1">
        <f>SUM(OSRRefP22_14x_0)</f>
        <v>3350</v>
      </c>
      <c r="Q165" s="1"/>
      <c r="R165" s="5">
        <f t="shared" si="72"/>
        <v>7.0244134011968546E-3</v>
      </c>
      <c r="S165" s="1"/>
      <c r="T165" s="1">
        <f>SUM(OSRRefT22_14x_0)</f>
        <v>4350</v>
      </c>
      <c r="U165" s="1"/>
      <c r="V165" s="5">
        <f t="shared" si="73"/>
        <v>6.3010876981040246E-3</v>
      </c>
      <c r="W165" s="1"/>
      <c r="X165" s="1">
        <f t="shared" si="74"/>
        <v>-1000</v>
      </c>
      <c r="Y165" s="1"/>
      <c r="Z165" s="5">
        <f t="shared" si="75"/>
        <v>-0.22988505747126436</v>
      </c>
    </row>
    <row r="166" spans="1:26" s="24" customFormat="1" hidden="1" outlineLevel="2" x14ac:dyDescent="0.25">
      <c r="A166" s="27"/>
      <c r="B166" s="12" t="str">
        <f>CONCATENATE("          ", "6408", " - ", "INVENTORY ADJUSTMENT")</f>
        <v xml:space="preserve">          6408 - INVENTORY ADJUSTMENT</v>
      </c>
      <c r="C166" s="12"/>
      <c r="D166" s="7">
        <v>3350</v>
      </c>
      <c r="E166" s="3"/>
      <c r="F166" s="8">
        <f t="shared" si="68"/>
        <v>7.0244134011968546E-3</v>
      </c>
      <c r="G166" s="3"/>
      <c r="H166" s="7">
        <v>4350</v>
      </c>
      <c r="I166" s="3"/>
      <c r="J166" s="8">
        <f t="shared" si="69"/>
        <v>6.3010876981040246E-3</v>
      </c>
      <c r="K166" s="3"/>
      <c r="L166" s="7">
        <f t="shared" si="70"/>
        <v>-1000</v>
      </c>
      <c r="M166" s="3"/>
      <c r="N166" s="8">
        <f t="shared" si="71"/>
        <v>-0.22988505747126436</v>
      </c>
      <c r="O166" s="12"/>
      <c r="P166" s="7">
        <v>3350</v>
      </c>
      <c r="Q166" s="3"/>
      <c r="R166" s="8">
        <f t="shared" si="72"/>
        <v>7.0244134011968546E-3</v>
      </c>
      <c r="S166" s="3"/>
      <c r="T166" s="7">
        <v>4350</v>
      </c>
      <c r="U166" s="3"/>
      <c r="V166" s="8">
        <f t="shared" si="73"/>
        <v>6.3010876981040246E-3</v>
      </c>
      <c r="W166" s="3"/>
      <c r="X166" s="7">
        <f t="shared" si="74"/>
        <v>-1000</v>
      </c>
      <c r="Y166" s="3"/>
      <c r="Z166" s="8">
        <f t="shared" si="75"/>
        <v>-0.22988505747126436</v>
      </c>
    </row>
    <row r="167" spans="1:26" s="29" customFormat="1" outlineLevel="1" collapsed="1" x14ac:dyDescent="0.25">
      <c r="A167" s="28"/>
      <c r="B167" s="14" t="str">
        <f>CONCATENATE("     ","Professional Services                             ")</f>
        <v xml:space="preserve">     Professional Services                             </v>
      </c>
      <c r="C167" s="14"/>
      <c r="D167" s="1">
        <f>SUM(OSRRefD22_15x_0)</f>
        <v>0</v>
      </c>
      <c r="E167" s="1"/>
      <c r="F167" s="5">
        <f t="shared" si="68"/>
        <v>0</v>
      </c>
      <c r="G167" s="1"/>
      <c r="H167" s="1">
        <f>SUM(OSRRefH22_15x_0)</f>
        <v>6550</v>
      </c>
      <c r="I167" s="1"/>
      <c r="J167" s="5">
        <f t="shared" si="69"/>
        <v>9.4878446948462904E-3</v>
      </c>
      <c r="K167" s="1"/>
      <c r="L167" s="1">
        <f t="shared" si="70"/>
        <v>-6550</v>
      </c>
      <c r="M167" s="1"/>
      <c r="N167" s="5">
        <f t="shared" si="71"/>
        <v>-1</v>
      </c>
      <c r="O167" s="14"/>
      <c r="P167" s="1">
        <f>SUM(OSRRefP22_15x_0)</f>
        <v>0</v>
      </c>
      <c r="Q167" s="1"/>
      <c r="R167" s="5">
        <f t="shared" si="72"/>
        <v>0</v>
      </c>
      <c r="S167" s="1"/>
      <c r="T167" s="1">
        <f>SUM(OSRRefT22_15x_0)</f>
        <v>6550</v>
      </c>
      <c r="U167" s="1"/>
      <c r="V167" s="5">
        <f t="shared" si="73"/>
        <v>9.4878446948462904E-3</v>
      </c>
      <c r="W167" s="1"/>
      <c r="X167" s="1">
        <f t="shared" si="74"/>
        <v>-6550</v>
      </c>
      <c r="Y167" s="1"/>
      <c r="Z167" s="5">
        <f t="shared" si="75"/>
        <v>-1</v>
      </c>
    </row>
    <row r="168" spans="1:26" s="24" customFormat="1" hidden="1" outlineLevel="2" x14ac:dyDescent="0.25">
      <c r="A168" s="27"/>
      <c r="B168" s="12" t="str">
        <f>CONCATENATE("          ", "6336", " - ", "PROFESSIONAL SERVICES")</f>
        <v xml:space="preserve">          6336 - PROFESSIONAL SERVICES</v>
      </c>
      <c r="C168" s="12"/>
      <c r="D168" s="7"/>
      <c r="E168" s="3"/>
      <c r="F168" s="8">
        <f t="shared" si="68"/>
        <v>0</v>
      </c>
      <c r="G168" s="3"/>
      <c r="H168" s="7">
        <v>6550</v>
      </c>
      <c r="I168" s="3"/>
      <c r="J168" s="8">
        <f t="shared" si="69"/>
        <v>9.4878446948462904E-3</v>
      </c>
      <c r="K168" s="3"/>
      <c r="L168" s="7">
        <f t="shared" si="70"/>
        <v>-6550</v>
      </c>
      <c r="M168" s="3"/>
      <c r="N168" s="8">
        <f t="shared" si="71"/>
        <v>-1</v>
      </c>
      <c r="O168" s="12"/>
      <c r="P168" s="7"/>
      <c r="Q168" s="3"/>
      <c r="R168" s="8">
        <f t="shared" si="72"/>
        <v>0</v>
      </c>
      <c r="S168" s="3"/>
      <c r="T168" s="7">
        <v>6550</v>
      </c>
      <c r="U168" s="3"/>
      <c r="V168" s="8">
        <f t="shared" si="73"/>
        <v>9.4878446948462904E-3</v>
      </c>
      <c r="W168" s="3"/>
      <c r="X168" s="7">
        <f t="shared" si="74"/>
        <v>-6550</v>
      </c>
      <c r="Y168" s="3"/>
      <c r="Z168" s="8">
        <f t="shared" si="75"/>
        <v>-1</v>
      </c>
    </row>
    <row r="169" spans="1:26" s="29" customFormat="1" outlineLevel="1" collapsed="1" x14ac:dyDescent="0.25">
      <c r="A169" s="28"/>
      <c r="B169" s="14" t="str">
        <f>CONCATENATE("     ","R/H Commissions                                   ")</f>
        <v xml:space="preserve">     R/H Commissions                                   </v>
      </c>
      <c r="C169" s="14"/>
      <c r="D169" s="1">
        <f>SUM(OSRRefD22_16x_0)</f>
        <v>1151.68</v>
      </c>
      <c r="E169" s="1"/>
      <c r="F169" s="5">
        <f t="shared" si="68"/>
        <v>2.4148884853404163E-3</v>
      </c>
      <c r="G169" s="1"/>
      <c r="H169" s="1">
        <f>SUM(OSRRefH22_16x_0)</f>
        <v>0</v>
      </c>
      <c r="I169" s="1"/>
      <c r="J169" s="5">
        <f t="shared" si="69"/>
        <v>0</v>
      </c>
      <c r="K169" s="1"/>
      <c r="L169" s="1">
        <f t="shared" si="70"/>
        <v>1151.68</v>
      </c>
      <c r="M169" s="1"/>
      <c r="N169" s="5">
        <f t="shared" si="71"/>
        <v>0</v>
      </c>
      <c r="O169" s="14"/>
      <c r="P169" s="1">
        <f>SUM(OSRRefP22_16x_0)</f>
        <v>1151.68</v>
      </c>
      <c r="Q169" s="1"/>
      <c r="R169" s="5">
        <f t="shared" si="72"/>
        <v>2.4148884853404163E-3</v>
      </c>
      <c r="S169" s="1"/>
      <c r="T169" s="1">
        <f>SUM(OSRRefT22_16x_0)</f>
        <v>0</v>
      </c>
      <c r="U169" s="1"/>
      <c r="V169" s="5">
        <f t="shared" si="73"/>
        <v>0</v>
      </c>
      <c r="W169" s="1"/>
      <c r="X169" s="1">
        <f t="shared" si="74"/>
        <v>1151.68</v>
      </c>
      <c r="Y169" s="1"/>
      <c r="Z169" s="5">
        <f t="shared" si="75"/>
        <v>0</v>
      </c>
    </row>
    <row r="170" spans="1:26" s="24" customFormat="1" hidden="1" outlineLevel="2" x14ac:dyDescent="0.25">
      <c r="A170" s="27"/>
      <c r="B170" s="12" t="str">
        <f>CONCATENATE("          ", "6387", " - ", "COMMISSION DUE HOUSING")</f>
        <v xml:space="preserve">          6387 - COMMISSION DUE HOUSING</v>
      </c>
      <c r="C170" s="12"/>
      <c r="D170" s="7">
        <v>1151.68</v>
      </c>
      <c r="E170" s="3"/>
      <c r="F170" s="8">
        <f t="shared" si="68"/>
        <v>2.4148884853404163E-3</v>
      </c>
      <c r="G170" s="3"/>
      <c r="H170" s="7"/>
      <c r="I170" s="3"/>
      <c r="J170" s="8">
        <f t="shared" si="69"/>
        <v>0</v>
      </c>
      <c r="K170" s="3"/>
      <c r="L170" s="7">
        <f t="shared" si="70"/>
        <v>1151.68</v>
      </c>
      <c r="M170" s="3"/>
      <c r="N170" s="8">
        <f t="shared" si="71"/>
        <v>0</v>
      </c>
      <c r="O170" s="12"/>
      <c r="P170" s="7">
        <v>1151.68</v>
      </c>
      <c r="Q170" s="3"/>
      <c r="R170" s="8">
        <f t="shared" si="72"/>
        <v>2.4148884853404163E-3</v>
      </c>
      <c r="S170" s="3"/>
      <c r="T170" s="7"/>
      <c r="U170" s="3"/>
      <c r="V170" s="8">
        <f t="shared" si="73"/>
        <v>0</v>
      </c>
      <c r="W170" s="3"/>
      <c r="X170" s="7">
        <f t="shared" si="74"/>
        <v>1151.68</v>
      </c>
      <c r="Y170" s="3"/>
      <c r="Z170" s="8">
        <f t="shared" si="75"/>
        <v>0</v>
      </c>
    </row>
    <row r="171" spans="1:26" s="29" customFormat="1" outlineLevel="1" collapsed="1" x14ac:dyDescent="0.25">
      <c r="A171" s="28"/>
      <c r="B171" s="14" t="str">
        <f>CONCATENATE("     ","Rent                                              ")</f>
        <v xml:space="preserve">     Rent                                              </v>
      </c>
      <c r="C171" s="14"/>
      <c r="D171" s="1">
        <f>SUM(OSRRefD22_17x_0)</f>
        <v>6900</v>
      </c>
      <c r="E171" s="1"/>
      <c r="F171" s="5">
        <f t="shared" si="68"/>
        <v>1.4468194766644267E-2</v>
      </c>
      <c r="G171" s="1"/>
      <c r="H171" s="1">
        <f>SUM(OSRRefH22_17x_0)</f>
        <v>8843</v>
      </c>
      <c r="I171" s="1"/>
      <c r="J171" s="5">
        <f t="shared" si="69"/>
        <v>1.2809314600996297E-2</v>
      </c>
      <c r="K171" s="1"/>
      <c r="L171" s="1">
        <f t="shared" si="70"/>
        <v>-1943</v>
      </c>
      <c r="M171" s="1"/>
      <c r="N171" s="5">
        <f t="shared" si="71"/>
        <v>-0.21972181386407327</v>
      </c>
      <c r="O171" s="14"/>
      <c r="P171" s="1">
        <f>SUM(OSRRefP22_17x_0)</f>
        <v>6900</v>
      </c>
      <c r="Q171" s="1"/>
      <c r="R171" s="5">
        <f t="shared" si="72"/>
        <v>1.4468194766644267E-2</v>
      </c>
      <c r="S171" s="1"/>
      <c r="T171" s="1">
        <f>SUM(OSRRefT22_17x_0)</f>
        <v>8843</v>
      </c>
      <c r="U171" s="1"/>
      <c r="V171" s="5">
        <f t="shared" si="73"/>
        <v>1.2809314600996297E-2</v>
      </c>
      <c r="W171" s="1"/>
      <c r="X171" s="1">
        <f t="shared" si="74"/>
        <v>-1943</v>
      </c>
      <c r="Y171" s="1"/>
      <c r="Z171" s="5">
        <f t="shared" si="75"/>
        <v>-0.21972181386407327</v>
      </c>
    </row>
    <row r="172" spans="1:26" s="24" customFormat="1" hidden="1" outlineLevel="2" x14ac:dyDescent="0.25">
      <c r="A172" s="27"/>
      <c r="B172" s="12" t="str">
        <f>CONCATENATE("          ", "6273", " - ", "RENT")</f>
        <v xml:space="preserve">          6273 - RENT</v>
      </c>
      <c r="C172" s="12"/>
      <c r="D172" s="7">
        <v>6900</v>
      </c>
      <c r="E172" s="3"/>
      <c r="F172" s="8">
        <f t="shared" si="68"/>
        <v>1.4468194766644267E-2</v>
      </c>
      <c r="G172" s="3"/>
      <c r="H172" s="7">
        <v>8843</v>
      </c>
      <c r="I172" s="3"/>
      <c r="J172" s="8">
        <f t="shared" si="69"/>
        <v>1.2809314600996297E-2</v>
      </c>
      <c r="K172" s="3"/>
      <c r="L172" s="7">
        <f t="shared" si="70"/>
        <v>-1943</v>
      </c>
      <c r="M172" s="3"/>
      <c r="N172" s="8">
        <f t="shared" si="71"/>
        <v>-0.21972181386407327</v>
      </c>
      <c r="O172" s="12"/>
      <c r="P172" s="7">
        <v>6900</v>
      </c>
      <c r="Q172" s="3"/>
      <c r="R172" s="8">
        <f t="shared" si="72"/>
        <v>1.4468194766644267E-2</v>
      </c>
      <c r="S172" s="3"/>
      <c r="T172" s="7">
        <v>8843</v>
      </c>
      <c r="U172" s="3"/>
      <c r="V172" s="8">
        <f t="shared" si="73"/>
        <v>1.2809314600996297E-2</v>
      </c>
      <c r="W172" s="3"/>
      <c r="X172" s="7">
        <f t="shared" si="74"/>
        <v>-1943</v>
      </c>
      <c r="Y172" s="3"/>
      <c r="Z172" s="8">
        <f t="shared" si="75"/>
        <v>-0.21972181386407327</v>
      </c>
    </row>
    <row r="173" spans="1:26" s="29" customFormat="1" outlineLevel="1" collapsed="1" x14ac:dyDescent="0.25">
      <c r="A173" s="28"/>
      <c r="B173" s="14" t="str">
        <f>CONCATENATE("     ","Repair and Maintenance                            ")</f>
        <v xml:space="preserve">     Repair and Maintenance                            </v>
      </c>
      <c r="C173" s="14"/>
      <c r="D173" s="1">
        <f>SUM(OSRRefD22_18x_0)</f>
        <v>70573.83</v>
      </c>
      <c r="E173" s="1"/>
      <c r="F173" s="5">
        <f t="shared" si="68"/>
        <v>0.14798201708232497</v>
      </c>
      <c r="G173" s="1"/>
      <c r="H173" s="1">
        <f>SUM(OSRRefH22_18x_0)</f>
        <v>62918</v>
      </c>
      <c r="I173" s="1"/>
      <c r="J173" s="5">
        <f t="shared" si="69"/>
        <v>9.1138353055013568E-2</v>
      </c>
      <c r="K173" s="1"/>
      <c r="L173" s="1">
        <f t="shared" si="70"/>
        <v>7655.8300000000017</v>
      </c>
      <c r="M173" s="1"/>
      <c r="N173" s="5">
        <f t="shared" si="71"/>
        <v>0.12167948758701805</v>
      </c>
      <c r="O173" s="14"/>
      <c r="P173" s="1">
        <f>SUM(OSRRefP22_18x_0)</f>
        <v>70573.83</v>
      </c>
      <c r="Q173" s="1"/>
      <c r="R173" s="5">
        <f t="shared" si="72"/>
        <v>0.14798201708232497</v>
      </c>
      <c r="S173" s="1"/>
      <c r="T173" s="1">
        <f>SUM(OSRRefT22_18x_0)</f>
        <v>62918</v>
      </c>
      <c r="U173" s="1"/>
      <c r="V173" s="5">
        <f t="shared" si="73"/>
        <v>9.1138353055013568E-2</v>
      </c>
      <c r="W173" s="1"/>
      <c r="X173" s="1">
        <f t="shared" si="74"/>
        <v>7655.8300000000017</v>
      </c>
      <c r="Y173" s="1"/>
      <c r="Z173" s="5">
        <f t="shared" si="75"/>
        <v>0.12167948758701805</v>
      </c>
    </row>
    <row r="174" spans="1:26" s="24" customFormat="1" hidden="1" outlineLevel="2" x14ac:dyDescent="0.25">
      <c r="A174" s="27"/>
      <c r="B174" s="12" t="str">
        <f>CONCATENATE("          ", "6371", " - ", "COMPUTER SOFTWARE MAINTENANCE")</f>
        <v xml:space="preserve">          6371 - COMPUTER SOFTWARE MAINTENANCE</v>
      </c>
      <c r="C174" s="12"/>
      <c r="D174" s="7">
        <v>58428.780000000006</v>
      </c>
      <c r="E174" s="3"/>
      <c r="F174" s="8">
        <f t="shared" si="68"/>
        <v>0.12251579261121875</v>
      </c>
      <c r="G174" s="3"/>
      <c r="H174" s="7">
        <v>45000</v>
      </c>
      <c r="I174" s="3"/>
      <c r="J174" s="8">
        <f t="shared" si="69"/>
        <v>6.5183665842455427E-2</v>
      </c>
      <c r="K174" s="3"/>
      <c r="L174" s="7">
        <f t="shared" si="70"/>
        <v>13428.780000000006</v>
      </c>
      <c r="M174" s="3"/>
      <c r="N174" s="8">
        <f t="shared" si="71"/>
        <v>0.29841733333333348</v>
      </c>
      <c r="O174" s="12"/>
      <c r="P174" s="7">
        <v>58428.780000000006</v>
      </c>
      <c r="Q174" s="3"/>
      <c r="R174" s="8">
        <f t="shared" si="72"/>
        <v>0.12251579261121875</v>
      </c>
      <c r="S174" s="3"/>
      <c r="T174" s="7">
        <v>45000</v>
      </c>
      <c r="U174" s="3"/>
      <c r="V174" s="8">
        <f t="shared" si="73"/>
        <v>6.5183665842455427E-2</v>
      </c>
      <c r="W174" s="3"/>
      <c r="X174" s="7">
        <f t="shared" si="74"/>
        <v>13428.780000000006</v>
      </c>
      <c r="Y174" s="3"/>
      <c r="Z174" s="8">
        <f t="shared" si="75"/>
        <v>0.29841733333333348</v>
      </c>
    </row>
    <row r="175" spans="1:26" s="24" customFormat="1" hidden="1" outlineLevel="2" x14ac:dyDescent="0.25">
      <c r="A175" s="27"/>
      <c r="B175" s="12" t="str">
        <f>CONCATENATE("          ", "6372", " - ", "COMPUTER HARDWARE MAINTENANCE")</f>
        <v xml:space="preserve">          6372 - COMPUTER HARDWARE MAINTENANCE</v>
      </c>
      <c r="C175" s="12"/>
      <c r="D175" s="7"/>
      <c r="E175" s="3"/>
      <c r="F175" s="8">
        <f t="shared" si="68"/>
        <v>0</v>
      </c>
      <c r="G175" s="3"/>
      <c r="H175" s="7">
        <v>4583</v>
      </c>
      <c r="I175" s="3"/>
      <c r="J175" s="8">
        <f t="shared" si="69"/>
        <v>6.6385942345771826E-3</v>
      </c>
      <c r="K175" s="3"/>
      <c r="L175" s="7">
        <f t="shared" si="70"/>
        <v>-4583</v>
      </c>
      <c r="M175" s="3"/>
      <c r="N175" s="8">
        <f t="shared" si="71"/>
        <v>-1</v>
      </c>
      <c r="O175" s="12"/>
      <c r="P175" s="7"/>
      <c r="Q175" s="3"/>
      <c r="R175" s="8">
        <f t="shared" si="72"/>
        <v>0</v>
      </c>
      <c r="S175" s="3"/>
      <c r="T175" s="7">
        <v>4583</v>
      </c>
      <c r="U175" s="3"/>
      <c r="V175" s="8">
        <f t="shared" si="73"/>
        <v>6.6385942345771826E-3</v>
      </c>
      <c r="W175" s="3"/>
      <c r="X175" s="7">
        <f t="shared" si="74"/>
        <v>-4583</v>
      </c>
      <c r="Y175" s="3"/>
      <c r="Z175" s="8">
        <f t="shared" si="75"/>
        <v>-1</v>
      </c>
    </row>
    <row r="176" spans="1:26" s="24" customFormat="1" hidden="1" outlineLevel="2" x14ac:dyDescent="0.25">
      <c r="A176" s="27"/>
      <c r="B176" s="12" t="str">
        <f>CONCATENATE("          ", "6373", " - ", "MAINTENANCE CONTRACTS")</f>
        <v xml:space="preserve">          6373 - MAINTENANCE CONTRACTS</v>
      </c>
      <c r="C176" s="12"/>
      <c r="D176" s="7">
        <v>8771.25</v>
      </c>
      <c r="E176" s="3"/>
      <c r="F176" s="8">
        <f t="shared" si="68"/>
        <v>1.8391906282163556E-2</v>
      </c>
      <c r="G176" s="3"/>
      <c r="H176" s="7">
        <v>3598</v>
      </c>
      <c r="I176" s="3"/>
      <c r="J176" s="8">
        <f t="shared" si="69"/>
        <v>5.2117962155812138E-3</v>
      </c>
      <c r="K176" s="3"/>
      <c r="L176" s="7">
        <f t="shared" si="70"/>
        <v>5173.25</v>
      </c>
      <c r="M176" s="3"/>
      <c r="N176" s="8">
        <f t="shared" si="71"/>
        <v>1.4378126737076153</v>
      </c>
      <c r="O176" s="12"/>
      <c r="P176" s="7">
        <v>8771.25</v>
      </c>
      <c r="Q176" s="3"/>
      <c r="R176" s="8">
        <f t="shared" si="72"/>
        <v>1.8391906282163556E-2</v>
      </c>
      <c r="S176" s="3"/>
      <c r="T176" s="7">
        <v>3598</v>
      </c>
      <c r="U176" s="3"/>
      <c r="V176" s="8">
        <f t="shared" si="73"/>
        <v>5.2117962155812138E-3</v>
      </c>
      <c r="W176" s="3"/>
      <c r="X176" s="7">
        <f t="shared" si="74"/>
        <v>5173.25</v>
      </c>
      <c r="Y176" s="3"/>
      <c r="Z176" s="8">
        <f t="shared" si="75"/>
        <v>1.4378126737076153</v>
      </c>
    </row>
    <row r="177" spans="1:26" s="24" customFormat="1" hidden="1" outlineLevel="2" x14ac:dyDescent="0.25">
      <c r="A177" s="27"/>
      <c r="B177" s="12" t="str">
        <f>CONCATENATE("          ", "6375", " - ", "OUTSIDE REPAIRS &amp; MAINTENANCE")</f>
        <v xml:space="preserve">          6375 - OUTSIDE REPAIRS &amp; MAINTENANCE</v>
      </c>
      <c r="C177" s="12"/>
      <c r="D177" s="7">
        <v>3373.8</v>
      </c>
      <c r="E177" s="3"/>
      <c r="F177" s="8">
        <f t="shared" si="68"/>
        <v>7.0743181889426719E-3</v>
      </c>
      <c r="G177" s="3"/>
      <c r="H177" s="7">
        <v>9737</v>
      </c>
      <c r="I177" s="3"/>
      <c r="J177" s="8">
        <f t="shared" si="69"/>
        <v>1.4104296762399745E-2</v>
      </c>
      <c r="K177" s="3"/>
      <c r="L177" s="7">
        <f t="shared" si="70"/>
        <v>-6363.2</v>
      </c>
      <c r="M177" s="3"/>
      <c r="N177" s="8">
        <f t="shared" si="71"/>
        <v>-0.65350724042312824</v>
      </c>
      <c r="O177" s="12"/>
      <c r="P177" s="7">
        <v>3373.8</v>
      </c>
      <c r="Q177" s="3"/>
      <c r="R177" s="8">
        <f t="shared" si="72"/>
        <v>7.0743181889426719E-3</v>
      </c>
      <c r="S177" s="3"/>
      <c r="T177" s="7">
        <v>9737</v>
      </c>
      <c r="U177" s="3"/>
      <c r="V177" s="8">
        <f t="shared" si="73"/>
        <v>1.4104296762399745E-2</v>
      </c>
      <c r="W177" s="3"/>
      <c r="X177" s="7">
        <f t="shared" si="74"/>
        <v>-6363.2</v>
      </c>
      <c r="Y177" s="3"/>
      <c r="Z177" s="8">
        <f t="shared" si="75"/>
        <v>-0.65350724042312824</v>
      </c>
    </row>
    <row r="178" spans="1:26" s="29" customFormat="1" outlineLevel="1" collapsed="1" x14ac:dyDescent="0.25">
      <c r="A178" s="28"/>
      <c r="B178" s="14" t="str">
        <f>CONCATENATE("     ","Royalty &amp; Commissions                             ")</f>
        <v xml:space="preserve">     Royalty &amp; Commissions                             </v>
      </c>
      <c r="C178" s="14"/>
      <c r="D178" s="1">
        <f>SUM(OSRRefD22_19x_0)</f>
        <v>10989.75</v>
      </c>
      <c r="E178" s="1"/>
      <c r="F178" s="5">
        <f t="shared" ref="F178:F182" si="76">IF(D$12=0,0,D178/D$12)</f>
        <v>2.3043745425612876E-2</v>
      </c>
      <c r="G178" s="1"/>
      <c r="H178" s="1">
        <f>SUM(OSRRefH22_19x_0)</f>
        <v>6421</v>
      </c>
      <c r="I178" s="1"/>
      <c r="J178" s="5">
        <f t="shared" ref="J178:J182" si="77">IF(H$12=0,0,H178/H$12)</f>
        <v>9.3009848527645846E-3</v>
      </c>
      <c r="K178" s="1"/>
      <c r="L178" s="1">
        <f t="shared" ref="L178:L182" si="78">+D178-H178</f>
        <v>4568.75</v>
      </c>
      <c r="M178" s="1"/>
      <c r="N178" s="5">
        <f t="shared" ref="N178:N182" si="79">IF(H178=0,0,L178/H178)</f>
        <v>0.71153247157763588</v>
      </c>
      <c r="O178" s="14"/>
      <c r="P178" s="1">
        <f>SUM(OSRRefP22_19x_0)</f>
        <v>10989.75</v>
      </c>
      <c r="Q178" s="1"/>
      <c r="R178" s="5">
        <f t="shared" ref="R178:R182" si="80">IF(P$12=0,0,P178/P$12)</f>
        <v>2.3043745425612876E-2</v>
      </c>
      <c r="S178" s="1"/>
      <c r="T178" s="1">
        <f>SUM(OSRRefT22_19x_0)</f>
        <v>6421</v>
      </c>
      <c r="U178" s="1"/>
      <c r="V178" s="5">
        <f t="shared" ref="V178:V182" si="81">IF(T$12=0,0,T178/T$12)</f>
        <v>9.3009848527645846E-3</v>
      </c>
      <c r="W178" s="1"/>
      <c r="X178" s="1">
        <f t="shared" ref="X178:X182" si="82">+P178-T178</f>
        <v>4568.75</v>
      </c>
      <c r="Y178" s="1"/>
      <c r="Z178" s="5">
        <f t="shared" ref="Z178:Z182" si="83">IF(T178=0,0,X178/T178)</f>
        <v>0.71153247157763588</v>
      </c>
    </row>
    <row r="179" spans="1:26" s="24" customFormat="1" hidden="1" outlineLevel="2" x14ac:dyDescent="0.25">
      <c r="A179" s="27"/>
      <c r="B179" s="12" t="str">
        <f>CONCATENATE("          ", "6252", " - ", "ROYALTY DUE CSTV")</f>
        <v xml:space="preserve">          6252 - ROYALTY DUE CSTV</v>
      </c>
      <c r="C179" s="12"/>
      <c r="D179" s="7"/>
      <c r="E179" s="3"/>
      <c r="F179" s="8">
        <f t="shared" si="76"/>
        <v>0</v>
      </c>
      <c r="G179" s="3"/>
      <c r="H179" s="7">
        <v>1085</v>
      </c>
      <c r="I179" s="3"/>
      <c r="J179" s="8">
        <f t="shared" si="77"/>
        <v>1.5716506097569808E-3</v>
      </c>
      <c r="K179" s="3"/>
      <c r="L179" s="7">
        <f t="shared" si="78"/>
        <v>-1085</v>
      </c>
      <c r="M179" s="3"/>
      <c r="N179" s="8">
        <f t="shared" si="79"/>
        <v>-1</v>
      </c>
      <c r="O179" s="12"/>
      <c r="P179" s="7"/>
      <c r="Q179" s="3"/>
      <c r="R179" s="8">
        <f t="shared" si="80"/>
        <v>0</v>
      </c>
      <c r="S179" s="3"/>
      <c r="T179" s="7">
        <v>1085</v>
      </c>
      <c r="U179" s="3"/>
      <c r="V179" s="8">
        <f t="shared" si="81"/>
        <v>1.5716506097569808E-3</v>
      </c>
      <c r="W179" s="3"/>
      <c r="X179" s="7">
        <f t="shared" si="82"/>
        <v>-1085</v>
      </c>
      <c r="Y179" s="3"/>
      <c r="Z179" s="8">
        <f t="shared" si="83"/>
        <v>-1</v>
      </c>
    </row>
    <row r="180" spans="1:26" s="24" customFormat="1" hidden="1" outlineLevel="2" x14ac:dyDescent="0.25">
      <c r="A180" s="27"/>
      <c r="B180" s="12" t="str">
        <f>CONCATENATE("          ", "6253", " - ", "ROYALTY DUE ATHLETICS-LRG")</f>
        <v xml:space="preserve">          6253 - ROYALTY DUE ATHLETICS-LRG</v>
      </c>
      <c r="C180" s="12"/>
      <c r="D180" s="7">
        <v>5672.2</v>
      </c>
      <c r="E180" s="3"/>
      <c r="F180" s="8">
        <f t="shared" si="76"/>
        <v>1.189369483411009E-2</v>
      </c>
      <c r="G180" s="3"/>
      <c r="H180" s="7">
        <v>4037</v>
      </c>
      <c r="I180" s="3"/>
      <c r="J180" s="8">
        <f t="shared" si="77"/>
        <v>5.8476990890220567E-3</v>
      </c>
      <c r="K180" s="3"/>
      <c r="L180" s="7">
        <f t="shared" si="78"/>
        <v>1635.1999999999998</v>
      </c>
      <c r="M180" s="3"/>
      <c r="N180" s="8">
        <f t="shared" si="79"/>
        <v>0.40505325736933362</v>
      </c>
      <c r="O180" s="12"/>
      <c r="P180" s="7">
        <v>5672.2</v>
      </c>
      <c r="Q180" s="3"/>
      <c r="R180" s="8">
        <f t="shared" si="80"/>
        <v>1.189369483411009E-2</v>
      </c>
      <c r="S180" s="3"/>
      <c r="T180" s="7">
        <v>4037</v>
      </c>
      <c r="U180" s="3"/>
      <c r="V180" s="8">
        <f t="shared" si="81"/>
        <v>5.8476990890220567E-3</v>
      </c>
      <c r="W180" s="3"/>
      <c r="X180" s="7">
        <f t="shared" si="82"/>
        <v>1635.1999999999998</v>
      </c>
      <c r="Y180" s="3"/>
      <c r="Z180" s="8">
        <f t="shared" si="83"/>
        <v>0.40505325736933362</v>
      </c>
    </row>
    <row r="181" spans="1:26" s="24" customFormat="1" hidden="1" outlineLevel="2" x14ac:dyDescent="0.25">
      <c r="A181" s="27"/>
      <c r="B181" s="12" t="str">
        <f>CONCATENATE("          ", "6254", " - ", "ROYALTY &amp; COMMISSIONS")</f>
        <v xml:space="preserve">          6254 - ROYALTY &amp; COMMISSIONS</v>
      </c>
      <c r="C181" s="12"/>
      <c r="D181" s="7"/>
      <c r="E181" s="3"/>
      <c r="F181" s="8">
        <f t="shared" si="76"/>
        <v>0</v>
      </c>
      <c r="G181" s="3"/>
      <c r="H181" s="7">
        <v>1149</v>
      </c>
      <c r="I181" s="3"/>
      <c r="J181" s="8">
        <f t="shared" si="77"/>
        <v>1.6643562678440285E-3</v>
      </c>
      <c r="K181" s="3"/>
      <c r="L181" s="7">
        <f t="shared" si="78"/>
        <v>-1149</v>
      </c>
      <c r="M181" s="3"/>
      <c r="N181" s="8">
        <f t="shared" si="79"/>
        <v>-1</v>
      </c>
      <c r="O181" s="12"/>
      <c r="P181" s="7"/>
      <c r="Q181" s="3"/>
      <c r="R181" s="8">
        <f t="shared" si="80"/>
        <v>0</v>
      </c>
      <c r="S181" s="3"/>
      <c r="T181" s="7">
        <v>1149</v>
      </c>
      <c r="U181" s="3"/>
      <c r="V181" s="8">
        <f t="shared" si="81"/>
        <v>1.6643562678440285E-3</v>
      </c>
      <c r="W181" s="3"/>
      <c r="X181" s="7">
        <f t="shared" si="82"/>
        <v>-1149</v>
      </c>
      <c r="Y181" s="3"/>
      <c r="Z181" s="8">
        <f t="shared" si="83"/>
        <v>-1</v>
      </c>
    </row>
    <row r="182" spans="1:26" s="24" customFormat="1" hidden="1" outlineLevel="2" x14ac:dyDescent="0.25">
      <c r="A182" s="27"/>
      <c r="B182" s="12" t="str">
        <f>CONCATENATE("          ", "6259", " - ", "ROYALTY &amp; COMMISSIONS")</f>
        <v xml:space="preserve">          6259 - ROYALTY &amp; COMMISSIONS</v>
      </c>
      <c r="C182" s="12"/>
      <c r="D182" s="7">
        <v>5317.55</v>
      </c>
      <c r="E182" s="3"/>
      <c r="F182" s="8">
        <f t="shared" si="76"/>
        <v>1.1150050591502788E-2</v>
      </c>
      <c r="G182" s="3"/>
      <c r="H182" s="7">
        <v>150</v>
      </c>
      <c r="I182" s="3"/>
      <c r="J182" s="8">
        <f t="shared" si="77"/>
        <v>2.1727888614151808E-4</v>
      </c>
      <c r="K182" s="3"/>
      <c r="L182" s="7">
        <f t="shared" si="78"/>
        <v>5167.55</v>
      </c>
      <c r="M182" s="3"/>
      <c r="N182" s="8">
        <f t="shared" si="79"/>
        <v>34.450333333333333</v>
      </c>
      <c r="O182" s="12"/>
      <c r="P182" s="7">
        <v>5317.55</v>
      </c>
      <c r="Q182" s="3"/>
      <c r="R182" s="8">
        <f t="shared" si="80"/>
        <v>1.1150050591502788E-2</v>
      </c>
      <c r="S182" s="3"/>
      <c r="T182" s="7">
        <v>150</v>
      </c>
      <c r="U182" s="3"/>
      <c r="V182" s="8">
        <f t="shared" si="81"/>
        <v>2.1727888614151808E-4</v>
      </c>
      <c r="W182" s="3"/>
      <c r="X182" s="7">
        <f t="shared" si="82"/>
        <v>5167.55</v>
      </c>
      <c r="Y182" s="3"/>
      <c r="Z182" s="8">
        <f t="shared" si="83"/>
        <v>34.450333333333333</v>
      </c>
    </row>
    <row r="183" spans="1:26" s="29" customFormat="1" outlineLevel="1" collapsed="1" x14ac:dyDescent="0.25">
      <c r="A183" s="28"/>
      <c r="B183" s="14" t="str">
        <f>CONCATENATE("     ","Services                                          ")</f>
        <v xml:space="preserve">     Services                                          </v>
      </c>
      <c r="C183" s="14"/>
      <c r="D183" s="1">
        <f>SUM(OSRRefD22_20x_0)</f>
        <v>15839.01</v>
      </c>
      <c r="E183" s="1"/>
      <c r="F183" s="5">
        <f t="shared" ref="F183:F188" si="84">IF(D$12=0,0,D183/D$12)</f>
        <v>3.3211866897221193E-2</v>
      </c>
      <c r="G183" s="1"/>
      <c r="H183" s="1">
        <f>SUM(OSRRefH22_20x_0)</f>
        <v>30010</v>
      </c>
      <c r="I183" s="1"/>
      <c r="J183" s="5">
        <f t="shared" ref="J183:J188" si="85">IF(H$12=0,0,H183/H$12)</f>
        <v>4.3470262487379716E-2</v>
      </c>
      <c r="K183" s="1"/>
      <c r="L183" s="1">
        <f t="shared" ref="L183:L188" si="86">+D183-H183</f>
        <v>-14170.99</v>
      </c>
      <c r="M183" s="1"/>
      <c r="N183" s="5">
        <f t="shared" ref="N183:N188" si="87">IF(H183=0,0,L183/H183)</f>
        <v>-0.47220893035654782</v>
      </c>
      <c r="O183" s="14"/>
      <c r="P183" s="1">
        <f>SUM(OSRRefP22_20x_0)</f>
        <v>15839.01</v>
      </c>
      <c r="Q183" s="1"/>
      <c r="R183" s="5">
        <f t="shared" ref="R183:R188" si="88">IF(P$12=0,0,P183/P$12)</f>
        <v>3.3211866897221193E-2</v>
      </c>
      <c r="S183" s="1"/>
      <c r="T183" s="1">
        <f>SUM(OSRRefT22_20x_0)</f>
        <v>30010</v>
      </c>
      <c r="U183" s="1"/>
      <c r="V183" s="5">
        <f t="shared" ref="V183:V188" si="89">IF(T$12=0,0,T183/T$12)</f>
        <v>4.3470262487379716E-2</v>
      </c>
      <c r="W183" s="1"/>
      <c r="X183" s="1">
        <f t="shared" ref="X183:X188" si="90">+P183-T183</f>
        <v>-14170.99</v>
      </c>
      <c r="Y183" s="1"/>
      <c r="Z183" s="5">
        <f t="shared" ref="Z183:Z188" si="91">IF(T183=0,0,X183/T183)</f>
        <v>-0.47220893035654782</v>
      </c>
    </row>
    <row r="184" spans="1:26" s="24" customFormat="1" hidden="1" outlineLevel="2" x14ac:dyDescent="0.25">
      <c r="A184" s="27"/>
      <c r="B184" s="12" t="str">
        <f>CONCATENATE("          ", "6282", " - ", "JANITORIAL/EXTERMINATOR EXPENS")</f>
        <v xml:space="preserve">          6282 - JANITORIAL/EXTERMINATOR EXPENS</v>
      </c>
      <c r="C184" s="12"/>
      <c r="D184" s="7">
        <v>1644.8</v>
      </c>
      <c r="E184" s="3"/>
      <c r="F184" s="8">
        <f t="shared" si="84"/>
        <v>3.4488821379965928E-3</v>
      </c>
      <c r="G184" s="3"/>
      <c r="H184" s="7">
        <v>6862</v>
      </c>
      <c r="I184" s="3"/>
      <c r="J184" s="8">
        <f t="shared" si="85"/>
        <v>9.939784778020648E-3</v>
      </c>
      <c r="K184" s="3"/>
      <c r="L184" s="7">
        <f t="shared" si="86"/>
        <v>-5217.2</v>
      </c>
      <c r="M184" s="3"/>
      <c r="N184" s="8">
        <f t="shared" si="87"/>
        <v>-0.76030311862430777</v>
      </c>
      <c r="O184" s="12"/>
      <c r="P184" s="7">
        <v>1644.8</v>
      </c>
      <c r="Q184" s="3"/>
      <c r="R184" s="8">
        <f t="shared" si="88"/>
        <v>3.4488821379965928E-3</v>
      </c>
      <c r="S184" s="3"/>
      <c r="T184" s="7">
        <v>6862</v>
      </c>
      <c r="U184" s="3"/>
      <c r="V184" s="8">
        <f t="shared" si="89"/>
        <v>9.939784778020648E-3</v>
      </c>
      <c r="W184" s="3"/>
      <c r="X184" s="7">
        <f t="shared" si="90"/>
        <v>-5217.2</v>
      </c>
      <c r="Y184" s="3"/>
      <c r="Z184" s="8">
        <f t="shared" si="91"/>
        <v>-0.76030311862430777</v>
      </c>
    </row>
    <row r="185" spans="1:26" s="24" customFormat="1" hidden="1" outlineLevel="2" x14ac:dyDescent="0.25">
      <c r="A185" s="27"/>
      <c r="B185" s="12" t="str">
        <f>CONCATENATE("          ", "6283", " - ", "PLANT SERVICE")</f>
        <v xml:space="preserve">          6283 - PLANT SERVICE</v>
      </c>
      <c r="C185" s="12"/>
      <c r="D185" s="7">
        <v>130</v>
      </c>
      <c r="E185" s="3"/>
      <c r="F185" s="8">
        <f t="shared" si="84"/>
        <v>2.7258917676286303E-4</v>
      </c>
      <c r="G185" s="3"/>
      <c r="H185" s="7">
        <v>62</v>
      </c>
      <c r="I185" s="3"/>
      <c r="J185" s="8">
        <f t="shared" si="85"/>
        <v>8.9808606271827478E-5</v>
      </c>
      <c r="K185" s="3"/>
      <c r="L185" s="7">
        <f t="shared" si="86"/>
        <v>68</v>
      </c>
      <c r="M185" s="3"/>
      <c r="N185" s="8">
        <f t="shared" si="87"/>
        <v>1.096774193548387</v>
      </c>
      <c r="O185" s="12"/>
      <c r="P185" s="7">
        <v>130</v>
      </c>
      <c r="Q185" s="3"/>
      <c r="R185" s="8">
        <f t="shared" si="88"/>
        <v>2.7258917676286303E-4</v>
      </c>
      <c r="S185" s="3"/>
      <c r="T185" s="7">
        <v>62</v>
      </c>
      <c r="U185" s="3"/>
      <c r="V185" s="8">
        <f t="shared" si="89"/>
        <v>8.9808606271827478E-5</v>
      </c>
      <c r="W185" s="3"/>
      <c r="X185" s="7">
        <f t="shared" si="90"/>
        <v>68</v>
      </c>
      <c r="Y185" s="3"/>
      <c r="Z185" s="8">
        <f t="shared" si="91"/>
        <v>1.096774193548387</v>
      </c>
    </row>
    <row r="186" spans="1:26" s="24" customFormat="1" hidden="1" outlineLevel="2" x14ac:dyDescent="0.25">
      <c r="A186" s="27"/>
      <c r="B186" s="12" t="str">
        <f>CONCATENATE("          ", "6284", " - ", "TRASH REMOVAL EXPENSE")</f>
        <v xml:space="preserve">          6284 - TRASH REMOVAL EXPENSE</v>
      </c>
      <c r="C186" s="12"/>
      <c r="D186" s="7">
        <v>1142.57</v>
      </c>
      <c r="E186" s="3"/>
      <c r="F186" s="8">
        <f t="shared" si="84"/>
        <v>2.395786274568803E-3</v>
      </c>
      <c r="G186" s="3"/>
      <c r="H186" s="7">
        <v>2615</v>
      </c>
      <c r="I186" s="3"/>
      <c r="J186" s="8">
        <f t="shared" si="85"/>
        <v>3.7878952484004655E-3</v>
      </c>
      <c r="K186" s="3"/>
      <c r="L186" s="7">
        <f t="shared" si="86"/>
        <v>-1472.43</v>
      </c>
      <c r="M186" s="3"/>
      <c r="N186" s="8">
        <f t="shared" si="87"/>
        <v>-0.56307074569789672</v>
      </c>
      <c r="O186" s="12"/>
      <c r="P186" s="7">
        <v>1142.57</v>
      </c>
      <c r="Q186" s="3"/>
      <c r="R186" s="8">
        <f t="shared" si="88"/>
        <v>2.395786274568803E-3</v>
      </c>
      <c r="S186" s="3"/>
      <c r="T186" s="7">
        <v>2615</v>
      </c>
      <c r="U186" s="3"/>
      <c r="V186" s="8">
        <f t="shared" si="89"/>
        <v>3.7878952484004655E-3</v>
      </c>
      <c r="W186" s="3"/>
      <c r="X186" s="7">
        <f t="shared" si="90"/>
        <v>-1472.43</v>
      </c>
      <c r="Y186" s="3"/>
      <c r="Z186" s="8">
        <f t="shared" si="91"/>
        <v>-0.56307074569789672</v>
      </c>
    </row>
    <row r="187" spans="1:26" s="24" customFormat="1" hidden="1" outlineLevel="2" x14ac:dyDescent="0.25">
      <c r="A187" s="27"/>
      <c r="B187" s="12" t="str">
        <f>CONCATENATE("          ", "6285", " - ", "JANITORIAL SERVICES")</f>
        <v xml:space="preserve">          6285 - JANITORIAL SERVICES</v>
      </c>
      <c r="C187" s="12"/>
      <c r="D187" s="7">
        <v>10984.17</v>
      </c>
      <c r="E187" s="3"/>
      <c r="F187" s="8">
        <f t="shared" si="84"/>
        <v>2.3032045059410287E-2</v>
      </c>
      <c r="G187" s="3"/>
      <c r="H187" s="7">
        <v>15929</v>
      </c>
      <c r="I187" s="3"/>
      <c r="J187" s="8">
        <f t="shared" si="85"/>
        <v>2.3073569182321611E-2</v>
      </c>
      <c r="K187" s="3"/>
      <c r="L187" s="7">
        <f t="shared" si="86"/>
        <v>-4944.83</v>
      </c>
      <c r="M187" s="3"/>
      <c r="N187" s="8">
        <f t="shared" si="87"/>
        <v>-0.31042940548684789</v>
      </c>
      <c r="O187" s="12"/>
      <c r="P187" s="7">
        <v>10984.17</v>
      </c>
      <c r="Q187" s="3"/>
      <c r="R187" s="8">
        <f t="shared" si="88"/>
        <v>2.3032045059410287E-2</v>
      </c>
      <c r="S187" s="3"/>
      <c r="T187" s="7">
        <v>15929</v>
      </c>
      <c r="U187" s="3"/>
      <c r="V187" s="8">
        <f t="shared" si="89"/>
        <v>2.3073569182321611E-2</v>
      </c>
      <c r="W187" s="3"/>
      <c r="X187" s="7">
        <f t="shared" si="90"/>
        <v>-4944.83</v>
      </c>
      <c r="Y187" s="3"/>
      <c r="Z187" s="8">
        <f t="shared" si="91"/>
        <v>-0.31042940548684789</v>
      </c>
    </row>
    <row r="188" spans="1:26" s="24" customFormat="1" hidden="1" outlineLevel="2" x14ac:dyDescent="0.25">
      <c r="A188" s="27"/>
      <c r="B188" s="12" t="str">
        <f>CONCATENATE("          ", "6286", " - ", "LAUNDRY EXPENSE")</f>
        <v xml:space="preserve">          6286 - LAUNDRY EXPENSE</v>
      </c>
      <c r="C188" s="12"/>
      <c r="D188" s="7">
        <v>1937.47</v>
      </c>
      <c r="E188" s="3"/>
      <c r="F188" s="8">
        <f t="shared" si="84"/>
        <v>4.0625642484826479E-3</v>
      </c>
      <c r="G188" s="3"/>
      <c r="H188" s="7">
        <v>4542</v>
      </c>
      <c r="I188" s="3"/>
      <c r="J188" s="8">
        <f t="shared" si="85"/>
        <v>6.5792046723651678E-3</v>
      </c>
      <c r="K188" s="3"/>
      <c r="L188" s="7">
        <f t="shared" si="86"/>
        <v>-2604.5299999999997</v>
      </c>
      <c r="M188" s="3"/>
      <c r="N188" s="8">
        <f t="shared" si="87"/>
        <v>-0.57343240863055922</v>
      </c>
      <c r="O188" s="12"/>
      <c r="P188" s="7">
        <v>1937.47</v>
      </c>
      <c r="Q188" s="3"/>
      <c r="R188" s="8">
        <f t="shared" si="88"/>
        <v>4.0625642484826479E-3</v>
      </c>
      <c r="S188" s="3"/>
      <c r="T188" s="7">
        <v>4542</v>
      </c>
      <c r="U188" s="3"/>
      <c r="V188" s="8">
        <f t="shared" si="89"/>
        <v>6.5792046723651678E-3</v>
      </c>
      <c r="W188" s="3"/>
      <c r="X188" s="7">
        <f t="shared" si="90"/>
        <v>-2604.5299999999997</v>
      </c>
      <c r="Y188" s="3"/>
      <c r="Z188" s="8">
        <f t="shared" si="91"/>
        <v>-0.57343240863055922</v>
      </c>
    </row>
    <row r="189" spans="1:26" s="29" customFormat="1" outlineLevel="1" collapsed="1" x14ac:dyDescent="0.25">
      <c r="A189" s="28"/>
      <c r="B189" s="14" t="str">
        <f>CONCATENATE("     ","Subscriptions &amp; Dues                              ")</f>
        <v xml:space="preserve">     Subscriptions &amp; Dues                              </v>
      </c>
      <c r="C189" s="14"/>
      <c r="D189" s="1">
        <f>SUM(OSRRefD22_21x_0)</f>
        <v>374.32</v>
      </c>
      <c r="E189" s="1"/>
      <c r="F189" s="5">
        <f t="shared" ref="F189:F191" si="92">IF(D$12=0,0,D189/D$12)</f>
        <v>7.8488908189134525E-4</v>
      </c>
      <c r="G189" s="1"/>
      <c r="H189" s="1">
        <f>SUM(OSRRefH22_21x_0)</f>
        <v>2868</v>
      </c>
      <c r="I189" s="1"/>
      <c r="J189" s="5">
        <f t="shared" ref="J189:J191" si="93">IF(H$12=0,0,H189/H$12)</f>
        <v>4.1543723030258257E-3</v>
      </c>
      <c r="K189" s="1"/>
      <c r="L189" s="1">
        <f t="shared" ref="L189:L191" si="94">+D189-H189</f>
        <v>-2493.6799999999998</v>
      </c>
      <c r="M189" s="1"/>
      <c r="N189" s="5">
        <f t="shared" ref="N189:N191" si="95">IF(H189=0,0,L189/H189)</f>
        <v>-0.86948396094839608</v>
      </c>
      <c r="O189" s="14"/>
      <c r="P189" s="1">
        <f>SUM(OSRRefP22_21x_0)</f>
        <v>374.32</v>
      </c>
      <c r="Q189" s="1"/>
      <c r="R189" s="5">
        <f t="shared" ref="R189:R191" si="96">IF(P$12=0,0,P189/P$12)</f>
        <v>7.8488908189134525E-4</v>
      </c>
      <c r="S189" s="1"/>
      <c r="T189" s="1">
        <f>SUM(OSRRefT22_21x_0)</f>
        <v>2868</v>
      </c>
      <c r="U189" s="1"/>
      <c r="V189" s="5">
        <f t="shared" ref="V189:V191" si="97">IF(T$12=0,0,T189/T$12)</f>
        <v>4.1543723030258257E-3</v>
      </c>
      <c r="W189" s="1"/>
      <c r="X189" s="1">
        <f t="shared" ref="X189:X191" si="98">+P189-T189</f>
        <v>-2493.6799999999998</v>
      </c>
      <c r="Y189" s="1"/>
      <c r="Z189" s="5">
        <f t="shared" ref="Z189:Z191" si="99">IF(T189=0,0,X189/T189)</f>
        <v>-0.86948396094839608</v>
      </c>
    </row>
    <row r="190" spans="1:26" s="24" customFormat="1" hidden="1" outlineLevel="2" x14ac:dyDescent="0.25">
      <c r="A190" s="27"/>
      <c r="B190" s="12" t="str">
        <f>CONCATENATE("          ", "6258", " - ", "MEMBERSHIP DUES")</f>
        <v xml:space="preserve">          6258 - MEMBERSHIP DUES</v>
      </c>
      <c r="C190" s="12"/>
      <c r="D190" s="7">
        <v>290</v>
      </c>
      <c r="E190" s="3"/>
      <c r="F190" s="8">
        <f t="shared" si="92"/>
        <v>6.0808354816330981E-4</v>
      </c>
      <c r="G190" s="3"/>
      <c r="H190" s="7">
        <v>2495</v>
      </c>
      <c r="I190" s="3"/>
      <c r="J190" s="8">
        <f t="shared" si="93"/>
        <v>3.6140721394872506E-3</v>
      </c>
      <c r="K190" s="3"/>
      <c r="L190" s="7">
        <f t="shared" si="94"/>
        <v>-2205</v>
      </c>
      <c r="M190" s="3"/>
      <c r="N190" s="8">
        <f t="shared" si="95"/>
        <v>-0.88376753507014028</v>
      </c>
      <c r="O190" s="12"/>
      <c r="P190" s="7">
        <v>290</v>
      </c>
      <c r="Q190" s="3"/>
      <c r="R190" s="8">
        <f t="shared" si="96"/>
        <v>6.0808354816330981E-4</v>
      </c>
      <c r="S190" s="3"/>
      <c r="T190" s="7">
        <v>2495</v>
      </c>
      <c r="U190" s="3"/>
      <c r="V190" s="8">
        <f t="shared" si="97"/>
        <v>3.6140721394872506E-3</v>
      </c>
      <c r="W190" s="3"/>
      <c r="X190" s="7">
        <f t="shared" si="98"/>
        <v>-2205</v>
      </c>
      <c r="Y190" s="3"/>
      <c r="Z190" s="8">
        <f t="shared" si="99"/>
        <v>-0.88376753507014028</v>
      </c>
    </row>
    <row r="191" spans="1:26" s="24" customFormat="1" hidden="1" outlineLevel="2" x14ac:dyDescent="0.25">
      <c r="A191" s="27"/>
      <c r="B191" s="12" t="str">
        <f>CONCATENATE("          ", "6275", " - ", "SUBSCRIPTIONS")</f>
        <v xml:space="preserve">          6275 - SUBSCRIPTIONS</v>
      </c>
      <c r="C191" s="12"/>
      <c r="D191" s="7">
        <v>84.32</v>
      </c>
      <c r="E191" s="3"/>
      <c r="F191" s="8">
        <f t="shared" si="92"/>
        <v>1.7680553372803544E-4</v>
      </c>
      <c r="G191" s="3"/>
      <c r="H191" s="7">
        <v>373</v>
      </c>
      <c r="I191" s="3"/>
      <c r="J191" s="8">
        <f t="shared" si="93"/>
        <v>5.40300163538575E-4</v>
      </c>
      <c r="K191" s="3"/>
      <c r="L191" s="7">
        <f t="shared" si="94"/>
        <v>-288.68</v>
      </c>
      <c r="M191" s="3"/>
      <c r="N191" s="8">
        <f t="shared" si="95"/>
        <v>-0.77394101876675603</v>
      </c>
      <c r="O191" s="12"/>
      <c r="P191" s="7">
        <v>84.32</v>
      </c>
      <c r="Q191" s="3"/>
      <c r="R191" s="8">
        <f t="shared" si="96"/>
        <v>1.7680553372803544E-4</v>
      </c>
      <c r="S191" s="3"/>
      <c r="T191" s="7">
        <v>373</v>
      </c>
      <c r="U191" s="3"/>
      <c r="V191" s="8">
        <f t="shared" si="97"/>
        <v>5.40300163538575E-4</v>
      </c>
      <c r="W191" s="3"/>
      <c r="X191" s="7">
        <f t="shared" si="98"/>
        <v>-288.68</v>
      </c>
      <c r="Y191" s="3"/>
      <c r="Z191" s="8">
        <f t="shared" si="99"/>
        <v>-0.77394101876675603</v>
      </c>
    </row>
    <row r="192" spans="1:26" s="29" customFormat="1" outlineLevel="1" collapsed="1" x14ac:dyDescent="0.25">
      <c r="A192" s="28"/>
      <c r="B192" s="14" t="str">
        <f>CONCATENATE("     ","Supplies                                          ")</f>
        <v xml:space="preserve">     Supplies                                          </v>
      </c>
      <c r="C192" s="14"/>
      <c r="D192" s="1">
        <f>SUM(OSRRefD22_22x_0)</f>
        <v>19842.560000000001</v>
      </c>
      <c r="E192" s="1"/>
      <c r="F192" s="5">
        <f t="shared" ref="F192:F203" si="100">IF(D$12=0,0,D192/D$12)</f>
        <v>4.1606669963597812E-2</v>
      </c>
      <c r="G192" s="1"/>
      <c r="H192" s="1">
        <f>SUM(OSRRefH22_22x_0)</f>
        <v>31726</v>
      </c>
      <c r="I192" s="1"/>
      <c r="J192" s="5">
        <f t="shared" ref="J192:J203" si="101">IF(H$12=0,0,H192/H$12)</f>
        <v>4.5955932944838684E-2</v>
      </c>
      <c r="K192" s="1"/>
      <c r="L192" s="1">
        <f t="shared" ref="L192:L203" si="102">+D192-H192</f>
        <v>-11883.439999999999</v>
      </c>
      <c r="M192" s="1"/>
      <c r="N192" s="5">
        <f t="shared" ref="N192:N203" si="103">IF(H192=0,0,L192/H192)</f>
        <v>-0.37456471033221961</v>
      </c>
      <c r="O192" s="14"/>
      <c r="P192" s="1">
        <f>SUM(OSRRefP22_22x_0)</f>
        <v>19842.560000000001</v>
      </c>
      <c r="Q192" s="1"/>
      <c r="R192" s="5">
        <f t="shared" ref="R192:R203" si="104">IF(P$12=0,0,P192/P$12)</f>
        <v>4.1606669963597812E-2</v>
      </c>
      <c r="S192" s="1"/>
      <c r="T192" s="1">
        <f>SUM(OSRRefT22_22x_0)</f>
        <v>31726</v>
      </c>
      <c r="U192" s="1"/>
      <c r="V192" s="5">
        <f t="shared" ref="V192:V203" si="105">IF(T$12=0,0,T192/T$12)</f>
        <v>4.5955932944838684E-2</v>
      </c>
      <c r="W192" s="1"/>
      <c r="X192" s="1">
        <f t="shared" ref="X192:X203" si="106">+P192-T192</f>
        <v>-11883.439999999999</v>
      </c>
      <c r="Y192" s="1"/>
      <c r="Z192" s="5">
        <f t="shared" ref="Z192:Z203" si="107">IF(T192=0,0,X192/T192)</f>
        <v>-0.37456471033221961</v>
      </c>
    </row>
    <row r="193" spans="1:26" s="24" customFormat="1" hidden="1" outlineLevel="2" x14ac:dyDescent="0.25">
      <c r="A193" s="27"/>
      <c r="B193" s="12" t="str">
        <f>CONCATENATE("          ", "6234", " - ", "EXPENDABLE SUPPLIES &amp; EQUIPMEN")</f>
        <v xml:space="preserve">          6234 - EXPENDABLE SUPPLIES &amp; EQUIPMEN</v>
      </c>
      <c r="C193" s="12"/>
      <c r="D193" s="7"/>
      <c r="E193" s="3"/>
      <c r="F193" s="8">
        <f t="shared" si="100"/>
        <v>0</v>
      </c>
      <c r="G193" s="3"/>
      <c r="H193" s="7">
        <v>7250</v>
      </c>
      <c r="I193" s="3"/>
      <c r="J193" s="8">
        <f t="shared" si="101"/>
        <v>1.0501812830173374E-2</v>
      </c>
      <c r="K193" s="3"/>
      <c r="L193" s="7">
        <f t="shared" si="102"/>
        <v>-7250</v>
      </c>
      <c r="M193" s="3"/>
      <c r="N193" s="8">
        <f t="shared" si="103"/>
        <v>-1</v>
      </c>
      <c r="O193" s="12"/>
      <c r="P193" s="7"/>
      <c r="Q193" s="3"/>
      <c r="R193" s="8">
        <f t="shared" si="104"/>
        <v>0</v>
      </c>
      <c r="S193" s="3"/>
      <c r="T193" s="7">
        <v>7250</v>
      </c>
      <c r="U193" s="3"/>
      <c r="V193" s="8">
        <f t="shared" si="105"/>
        <v>1.0501812830173374E-2</v>
      </c>
      <c r="W193" s="3"/>
      <c r="X193" s="7">
        <f t="shared" si="106"/>
        <v>-7250</v>
      </c>
      <c r="Y193" s="3"/>
      <c r="Z193" s="8">
        <f t="shared" si="107"/>
        <v>-1</v>
      </c>
    </row>
    <row r="194" spans="1:26" s="24" customFormat="1" hidden="1" outlineLevel="2" x14ac:dyDescent="0.25">
      <c r="A194" s="27"/>
      <c r="B194" s="12" t="str">
        <f>CONCATENATE("          ", "6235", " - ", "COVID-19 EXPENSES")</f>
        <v xml:space="preserve">          6235 - COVID-19 EXPENSES</v>
      </c>
      <c r="C194" s="12"/>
      <c r="D194" s="7">
        <v>12389.44</v>
      </c>
      <c r="E194" s="3"/>
      <c r="F194" s="8">
        <f t="shared" si="100"/>
        <v>2.5978671155022198E-2</v>
      </c>
      <c r="G194" s="3"/>
      <c r="H194" s="7">
        <v>5500</v>
      </c>
      <c r="I194" s="3"/>
      <c r="J194" s="8">
        <f t="shared" si="101"/>
        <v>7.9668924918556636E-3</v>
      </c>
      <c r="K194" s="3"/>
      <c r="L194" s="7">
        <f t="shared" si="102"/>
        <v>6889.4400000000005</v>
      </c>
      <c r="M194" s="3"/>
      <c r="N194" s="8">
        <f t="shared" si="103"/>
        <v>1.2526254545454547</v>
      </c>
      <c r="O194" s="12"/>
      <c r="P194" s="7">
        <v>12389.44</v>
      </c>
      <c r="Q194" s="3"/>
      <c r="R194" s="8">
        <f t="shared" si="104"/>
        <v>2.5978671155022198E-2</v>
      </c>
      <c r="S194" s="3"/>
      <c r="T194" s="7">
        <v>5500</v>
      </c>
      <c r="U194" s="3"/>
      <c r="V194" s="8">
        <f t="shared" si="105"/>
        <v>7.9668924918556636E-3</v>
      </c>
      <c r="W194" s="3"/>
      <c r="X194" s="7">
        <f t="shared" si="106"/>
        <v>6889.4400000000005</v>
      </c>
      <c r="Y194" s="3"/>
      <c r="Z194" s="8">
        <f t="shared" si="107"/>
        <v>1.2526254545454547</v>
      </c>
    </row>
    <row r="195" spans="1:26" s="24" customFormat="1" hidden="1" outlineLevel="2" x14ac:dyDescent="0.25">
      <c r="A195" s="27"/>
      <c r="B195" s="12" t="str">
        <f>CONCATENATE("          ", "6237", " - ", "JANITORIAL SUPPLIES")</f>
        <v xml:space="preserve">          6237 - JANITORIAL SUPPLIES</v>
      </c>
      <c r="C195" s="12"/>
      <c r="D195" s="7">
        <v>1327.35</v>
      </c>
      <c r="E195" s="3"/>
      <c r="F195" s="8">
        <f t="shared" si="100"/>
        <v>2.783240336739894E-3</v>
      </c>
      <c r="G195" s="3"/>
      <c r="H195" s="7">
        <v>4783</v>
      </c>
      <c r="I195" s="3"/>
      <c r="J195" s="8">
        <f t="shared" si="101"/>
        <v>6.9282994160992069E-3</v>
      </c>
      <c r="K195" s="3"/>
      <c r="L195" s="7">
        <f t="shared" si="102"/>
        <v>-3455.65</v>
      </c>
      <c r="M195" s="3"/>
      <c r="N195" s="8">
        <f t="shared" si="103"/>
        <v>-0.72248588751829401</v>
      </c>
      <c r="O195" s="12"/>
      <c r="P195" s="7">
        <v>1327.35</v>
      </c>
      <c r="Q195" s="3"/>
      <c r="R195" s="8">
        <f t="shared" si="104"/>
        <v>2.783240336739894E-3</v>
      </c>
      <c r="S195" s="3"/>
      <c r="T195" s="7">
        <v>4783</v>
      </c>
      <c r="U195" s="3"/>
      <c r="V195" s="8">
        <f t="shared" si="105"/>
        <v>6.9282994160992069E-3</v>
      </c>
      <c r="W195" s="3"/>
      <c r="X195" s="7">
        <f t="shared" si="106"/>
        <v>-3455.65</v>
      </c>
      <c r="Y195" s="3"/>
      <c r="Z195" s="8">
        <f t="shared" si="107"/>
        <v>-0.72248588751829401</v>
      </c>
    </row>
    <row r="196" spans="1:26" s="24" customFormat="1" hidden="1" outlineLevel="2" x14ac:dyDescent="0.25">
      <c r="A196" s="27"/>
      <c r="B196" s="12" t="str">
        <f>CONCATENATE("          ", "6239", " - ", "KITCHEN SUPPLIES")</f>
        <v xml:space="preserve">          6239 - KITCHEN SUPPLIES</v>
      </c>
      <c r="C196" s="12"/>
      <c r="D196" s="7">
        <v>50</v>
      </c>
      <c r="E196" s="3"/>
      <c r="F196" s="8">
        <f t="shared" si="100"/>
        <v>1.0484199106263962E-4</v>
      </c>
      <c r="G196" s="3"/>
      <c r="H196" s="7">
        <v>1563</v>
      </c>
      <c r="I196" s="3"/>
      <c r="J196" s="8">
        <f t="shared" si="101"/>
        <v>2.2640459935946186E-3</v>
      </c>
      <c r="K196" s="3"/>
      <c r="L196" s="7">
        <f t="shared" si="102"/>
        <v>-1513</v>
      </c>
      <c r="M196" s="3"/>
      <c r="N196" s="8">
        <f t="shared" si="103"/>
        <v>-0.96801023672424824</v>
      </c>
      <c r="O196" s="12"/>
      <c r="P196" s="7">
        <v>50</v>
      </c>
      <c r="Q196" s="3"/>
      <c r="R196" s="8">
        <f t="shared" si="104"/>
        <v>1.0484199106263962E-4</v>
      </c>
      <c r="S196" s="3"/>
      <c r="T196" s="7">
        <v>1563</v>
      </c>
      <c r="U196" s="3"/>
      <c r="V196" s="8">
        <f t="shared" si="105"/>
        <v>2.2640459935946186E-3</v>
      </c>
      <c r="W196" s="3"/>
      <c r="X196" s="7">
        <f t="shared" si="106"/>
        <v>-1513</v>
      </c>
      <c r="Y196" s="3"/>
      <c r="Z196" s="8">
        <f t="shared" si="107"/>
        <v>-0.96801023672424824</v>
      </c>
    </row>
    <row r="197" spans="1:26" s="24" customFormat="1" hidden="1" outlineLevel="2" x14ac:dyDescent="0.25">
      <c r="A197" s="27"/>
      <c r="B197" s="12" t="str">
        <f>CONCATENATE("          ", "6241", " - ", "OFFICE EXPENSE")</f>
        <v xml:space="preserve">          6241 - OFFICE EXPENSE</v>
      </c>
      <c r="C197" s="12"/>
      <c r="D197" s="7">
        <v>489.8</v>
      </c>
      <c r="E197" s="3"/>
      <c r="F197" s="8">
        <f t="shared" si="100"/>
        <v>1.0270321444496178E-3</v>
      </c>
      <c r="G197" s="3"/>
      <c r="H197" s="7">
        <v>1354</v>
      </c>
      <c r="I197" s="3"/>
      <c r="J197" s="8">
        <f t="shared" si="101"/>
        <v>1.9613040789041034E-3</v>
      </c>
      <c r="K197" s="3"/>
      <c r="L197" s="7">
        <f t="shared" si="102"/>
        <v>-864.2</v>
      </c>
      <c r="M197" s="3"/>
      <c r="N197" s="8">
        <f t="shared" si="103"/>
        <v>-0.63825701624815367</v>
      </c>
      <c r="O197" s="12"/>
      <c r="P197" s="7">
        <v>489.8</v>
      </c>
      <c r="Q197" s="3"/>
      <c r="R197" s="8">
        <f t="shared" si="104"/>
        <v>1.0270321444496178E-3</v>
      </c>
      <c r="S197" s="3"/>
      <c r="T197" s="7">
        <v>1354</v>
      </c>
      <c r="U197" s="3"/>
      <c r="V197" s="8">
        <f t="shared" si="105"/>
        <v>1.9613040789041034E-3</v>
      </c>
      <c r="W197" s="3"/>
      <c r="X197" s="7">
        <f t="shared" si="106"/>
        <v>-864.2</v>
      </c>
      <c r="Y197" s="3"/>
      <c r="Z197" s="8">
        <f t="shared" si="107"/>
        <v>-0.63825701624815367</v>
      </c>
    </row>
    <row r="198" spans="1:26" s="24" customFormat="1" hidden="1" outlineLevel="2" x14ac:dyDescent="0.25">
      <c r="A198" s="27"/>
      <c r="B198" s="12" t="str">
        <f>CONCATENATE("          ", "6243", " - ", "PAPER SUPPLIES")</f>
        <v xml:space="preserve">          6243 - PAPER SUPPLIES</v>
      </c>
      <c r="C198" s="12"/>
      <c r="D198" s="7">
        <v>1727.88</v>
      </c>
      <c r="E198" s="3"/>
      <c r="F198" s="8">
        <f t="shared" si="100"/>
        <v>3.6230875903462754E-3</v>
      </c>
      <c r="G198" s="3"/>
      <c r="H198" s="7">
        <v>1609</v>
      </c>
      <c r="I198" s="3"/>
      <c r="J198" s="8">
        <f t="shared" si="101"/>
        <v>2.3306781853446841E-3</v>
      </c>
      <c r="K198" s="3"/>
      <c r="L198" s="7">
        <f t="shared" si="102"/>
        <v>118.88000000000011</v>
      </c>
      <c r="M198" s="3"/>
      <c r="N198" s="8">
        <f t="shared" si="103"/>
        <v>7.3884400248601684E-2</v>
      </c>
      <c r="O198" s="12"/>
      <c r="P198" s="7">
        <v>1727.88</v>
      </c>
      <c r="Q198" s="3"/>
      <c r="R198" s="8">
        <f t="shared" si="104"/>
        <v>3.6230875903462754E-3</v>
      </c>
      <c r="S198" s="3"/>
      <c r="T198" s="7">
        <v>1609</v>
      </c>
      <c r="U198" s="3"/>
      <c r="V198" s="8">
        <f t="shared" si="105"/>
        <v>2.3306781853446841E-3</v>
      </c>
      <c r="W198" s="3"/>
      <c r="X198" s="7">
        <f t="shared" si="106"/>
        <v>118.88000000000011</v>
      </c>
      <c r="Y198" s="3"/>
      <c r="Z198" s="8">
        <f t="shared" si="107"/>
        <v>7.3884400248601684E-2</v>
      </c>
    </row>
    <row r="199" spans="1:26" s="24" customFormat="1" hidden="1" outlineLevel="2" x14ac:dyDescent="0.25">
      <c r="A199" s="27"/>
      <c r="B199" s="12" t="str">
        <f>CONCATENATE("          ", "6244", " - ", "SAFETY SUPPLY EXPENSE")</f>
        <v xml:space="preserve">          6244 - SAFETY SUPPLY EXPENSE</v>
      </c>
      <c r="C199" s="12"/>
      <c r="D199" s="7"/>
      <c r="E199" s="3"/>
      <c r="F199" s="8">
        <f t="shared" si="100"/>
        <v>0</v>
      </c>
      <c r="G199" s="3"/>
      <c r="H199" s="7">
        <v>205</v>
      </c>
      <c r="I199" s="3"/>
      <c r="J199" s="8">
        <f t="shared" si="101"/>
        <v>2.9694781106007472E-4</v>
      </c>
      <c r="K199" s="3"/>
      <c r="L199" s="7">
        <f t="shared" si="102"/>
        <v>-205</v>
      </c>
      <c r="M199" s="3"/>
      <c r="N199" s="8">
        <f t="shared" si="103"/>
        <v>-1</v>
      </c>
      <c r="O199" s="12"/>
      <c r="P199" s="7"/>
      <c r="Q199" s="3"/>
      <c r="R199" s="8">
        <f t="shared" si="104"/>
        <v>0</v>
      </c>
      <c r="S199" s="3"/>
      <c r="T199" s="7">
        <v>205</v>
      </c>
      <c r="U199" s="3"/>
      <c r="V199" s="8">
        <f t="shared" si="105"/>
        <v>2.9694781106007472E-4</v>
      </c>
      <c r="W199" s="3"/>
      <c r="X199" s="7">
        <f t="shared" si="106"/>
        <v>-205</v>
      </c>
      <c r="Y199" s="3"/>
      <c r="Z199" s="8">
        <f t="shared" si="107"/>
        <v>-1</v>
      </c>
    </row>
    <row r="200" spans="1:26" s="24" customFormat="1" hidden="1" outlineLevel="2" x14ac:dyDescent="0.25">
      <c r="A200" s="27"/>
      <c r="B200" s="12" t="str">
        <f>CONCATENATE("          ", "6245", " - ", "PRINTING")</f>
        <v xml:space="preserve">          6245 - PRINTING</v>
      </c>
      <c r="C200" s="12"/>
      <c r="D200" s="7">
        <v>-1543.5</v>
      </c>
      <c r="E200" s="3"/>
      <c r="F200" s="8">
        <f t="shared" si="100"/>
        <v>-3.2364722641036853E-3</v>
      </c>
      <c r="G200" s="3"/>
      <c r="H200" s="7">
        <v>1000</v>
      </c>
      <c r="I200" s="3"/>
      <c r="J200" s="8">
        <f t="shared" si="101"/>
        <v>1.4485259076101205E-3</v>
      </c>
      <c r="K200" s="3"/>
      <c r="L200" s="7">
        <f t="shared" si="102"/>
        <v>-2543.5</v>
      </c>
      <c r="M200" s="3"/>
      <c r="N200" s="8">
        <f t="shared" si="103"/>
        <v>-2.5434999999999999</v>
      </c>
      <c r="O200" s="12"/>
      <c r="P200" s="7">
        <v>-1543.5</v>
      </c>
      <c r="Q200" s="3"/>
      <c r="R200" s="8">
        <f t="shared" si="104"/>
        <v>-3.2364722641036853E-3</v>
      </c>
      <c r="S200" s="3"/>
      <c r="T200" s="7">
        <v>1000</v>
      </c>
      <c r="U200" s="3"/>
      <c r="V200" s="8">
        <f t="shared" si="105"/>
        <v>1.4485259076101205E-3</v>
      </c>
      <c r="W200" s="3"/>
      <c r="X200" s="7">
        <f t="shared" si="106"/>
        <v>-2543.5</v>
      </c>
      <c r="Y200" s="3"/>
      <c r="Z200" s="8">
        <f t="shared" si="107"/>
        <v>-2.5434999999999999</v>
      </c>
    </row>
    <row r="201" spans="1:26" s="24" customFormat="1" hidden="1" outlineLevel="2" x14ac:dyDescent="0.25">
      <c r="A201" s="27"/>
      <c r="B201" s="12" t="str">
        <f>CONCATENATE("          ", "6246", " - ", "REPLACEMENTS")</f>
        <v xml:space="preserve">          6246 - REPLACEMENTS</v>
      </c>
      <c r="C201" s="12"/>
      <c r="D201" s="7"/>
      <c r="E201" s="3"/>
      <c r="F201" s="8">
        <f t="shared" si="100"/>
        <v>0</v>
      </c>
      <c r="G201" s="3"/>
      <c r="H201" s="7">
        <v>0</v>
      </c>
      <c r="I201" s="3"/>
      <c r="J201" s="8">
        <f t="shared" si="101"/>
        <v>0</v>
      </c>
      <c r="K201" s="3"/>
      <c r="L201" s="7">
        <f t="shared" si="102"/>
        <v>0</v>
      </c>
      <c r="M201" s="3"/>
      <c r="N201" s="8">
        <f t="shared" si="103"/>
        <v>0</v>
      </c>
      <c r="O201" s="12"/>
      <c r="P201" s="7"/>
      <c r="Q201" s="3"/>
      <c r="R201" s="8">
        <f t="shared" si="104"/>
        <v>0</v>
      </c>
      <c r="S201" s="3"/>
      <c r="T201" s="7">
        <v>0</v>
      </c>
      <c r="U201" s="3"/>
      <c r="V201" s="8">
        <f t="shared" si="105"/>
        <v>0</v>
      </c>
      <c r="W201" s="3"/>
      <c r="X201" s="7">
        <f t="shared" si="106"/>
        <v>0</v>
      </c>
      <c r="Y201" s="3"/>
      <c r="Z201" s="8">
        <f t="shared" si="107"/>
        <v>0</v>
      </c>
    </row>
    <row r="202" spans="1:26" s="24" customFormat="1" hidden="1" outlineLevel="2" x14ac:dyDescent="0.25">
      <c r="A202" s="27"/>
      <c r="B202" s="12" t="str">
        <f>CONCATENATE("          ", "6247", " - ", "STORE SUPPLIES")</f>
        <v xml:space="preserve">          6247 - STORE SUPPLIES</v>
      </c>
      <c r="C202" s="12"/>
      <c r="D202" s="7">
        <v>5401.59</v>
      </c>
      <c r="E202" s="3"/>
      <c r="F202" s="8">
        <f t="shared" si="100"/>
        <v>1.1326269010080872E-2</v>
      </c>
      <c r="G202" s="3"/>
      <c r="H202" s="7">
        <v>3612</v>
      </c>
      <c r="I202" s="3"/>
      <c r="J202" s="8">
        <f t="shared" si="101"/>
        <v>5.2320755782877554E-3</v>
      </c>
      <c r="K202" s="3"/>
      <c r="L202" s="7">
        <f t="shared" si="102"/>
        <v>1789.5900000000001</v>
      </c>
      <c r="M202" s="3"/>
      <c r="N202" s="8">
        <f t="shared" si="103"/>
        <v>0.49545681063122926</v>
      </c>
      <c r="O202" s="12"/>
      <c r="P202" s="7">
        <v>5401.59</v>
      </c>
      <c r="Q202" s="3"/>
      <c r="R202" s="8">
        <f t="shared" si="104"/>
        <v>1.1326269010080872E-2</v>
      </c>
      <c r="S202" s="3"/>
      <c r="T202" s="7">
        <v>3612</v>
      </c>
      <c r="U202" s="3"/>
      <c r="V202" s="8">
        <f t="shared" si="105"/>
        <v>5.2320755782877554E-3</v>
      </c>
      <c r="W202" s="3"/>
      <c r="X202" s="7">
        <f t="shared" si="106"/>
        <v>1789.5900000000001</v>
      </c>
      <c r="Y202" s="3"/>
      <c r="Z202" s="8">
        <f t="shared" si="107"/>
        <v>0.49545681063122926</v>
      </c>
    </row>
    <row r="203" spans="1:26" s="24" customFormat="1" hidden="1" outlineLevel="2" x14ac:dyDescent="0.25">
      <c r="A203" s="27"/>
      <c r="B203" s="12" t="str">
        <f>CONCATENATE("          ", "6248", " - ", "UNIFORMS")</f>
        <v xml:space="preserve">          6248 - UNIFORMS</v>
      </c>
      <c r="C203" s="12"/>
      <c r="D203" s="7"/>
      <c r="E203" s="3"/>
      <c r="F203" s="8">
        <f t="shared" si="100"/>
        <v>0</v>
      </c>
      <c r="G203" s="3"/>
      <c r="H203" s="7">
        <v>4850</v>
      </c>
      <c r="I203" s="3"/>
      <c r="J203" s="8">
        <f t="shared" si="101"/>
        <v>7.0253506519090845E-3</v>
      </c>
      <c r="K203" s="3"/>
      <c r="L203" s="7">
        <f t="shared" si="102"/>
        <v>-4850</v>
      </c>
      <c r="M203" s="3"/>
      <c r="N203" s="8">
        <f t="shared" si="103"/>
        <v>-1</v>
      </c>
      <c r="O203" s="12"/>
      <c r="P203" s="7"/>
      <c r="Q203" s="3"/>
      <c r="R203" s="8">
        <f t="shared" si="104"/>
        <v>0</v>
      </c>
      <c r="S203" s="3"/>
      <c r="T203" s="7">
        <v>4850</v>
      </c>
      <c r="U203" s="3"/>
      <c r="V203" s="8">
        <f t="shared" si="105"/>
        <v>7.0253506519090845E-3</v>
      </c>
      <c r="W203" s="3"/>
      <c r="X203" s="7">
        <f t="shared" si="106"/>
        <v>-4850</v>
      </c>
      <c r="Y203" s="3"/>
      <c r="Z203" s="8">
        <f t="shared" si="107"/>
        <v>-1</v>
      </c>
    </row>
    <row r="204" spans="1:26" s="29" customFormat="1" outlineLevel="1" collapsed="1" x14ac:dyDescent="0.25">
      <c r="A204" s="28"/>
      <c r="B204" s="14" t="str">
        <f>CONCATENATE("     ","Telephone/Data Lines                              ")</f>
        <v xml:space="preserve">     Telephone/Data Lines                              </v>
      </c>
      <c r="C204" s="14"/>
      <c r="D204" s="1">
        <f>SUM(OSRRefD22_23x_0)</f>
        <v>5058.1099999999997</v>
      </c>
      <c r="E204" s="1"/>
      <c r="F204" s="5">
        <f t="shared" ref="F204:F206" si="108">IF(D$12=0,0,D204/D$12)</f>
        <v>1.0606046468276962E-2</v>
      </c>
      <c r="G204" s="1"/>
      <c r="H204" s="1">
        <f>SUM(OSRRefH22_23x_0)</f>
        <v>4704</v>
      </c>
      <c r="I204" s="1"/>
      <c r="J204" s="5">
        <f t="shared" ref="J204:J206" si="109">IF(H$12=0,0,H204/H$12)</f>
        <v>6.8138658693980073E-3</v>
      </c>
      <c r="K204" s="1"/>
      <c r="L204" s="1">
        <f t="shared" ref="L204:L206" si="110">+D204-H204</f>
        <v>354.10999999999967</v>
      </c>
      <c r="M204" s="1"/>
      <c r="N204" s="5">
        <f t="shared" ref="N204:N206" si="111">IF(H204=0,0,L204/H204)</f>
        <v>7.5278486394557753E-2</v>
      </c>
      <c r="O204" s="14"/>
      <c r="P204" s="1">
        <f>SUM(OSRRefP22_23x_0)</f>
        <v>5058.1099999999997</v>
      </c>
      <c r="Q204" s="1"/>
      <c r="R204" s="5">
        <f t="shared" ref="R204:R206" si="112">IF(P$12=0,0,P204/P$12)</f>
        <v>1.0606046468276962E-2</v>
      </c>
      <c r="S204" s="1"/>
      <c r="T204" s="1">
        <f>SUM(OSRRefT22_23x_0)</f>
        <v>4704</v>
      </c>
      <c r="U204" s="1"/>
      <c r="V204" s="5">
        <f t="shared" ref="V204:V206" si="113">IF(T$12=0,0,T204/T$12)</f>
        <v>6.8138658693980073E-3</v>
      </c>
      <c r="W204" s="1"/>
      <c r="X204" s="1">
        <f t="shared" ref="X204:X206" si="114">+P204-T204</f>
        <v>354.10999999999967</v>
      </c>
      <c r="Y204" s="1"/>
      <c r="Z204" s="5">
        <f t="shared" ref="Z204:Z206" si="115">IF(T204=0,0,X204/T204)</f>
        <v>7.5278486394557753E-2</v>
      </c>
    </row>
    <row r="205" spans="1:26" s="24" customFormat="1" hidden="1" outlineLevel="2" x14ac:dyDescent="0.25">
      <c r="A205" s="27"/>
      <c r="B205" s="12" t="str">
        <f>CONCATENATE("          ", "6303", " - ", "DATA PHONE LINES")</f>
        <v xml:space="preserve">          6303 - DATA PHONE LINES</v>
      </c>
      <c r="C205" s="12"/>
      <c r="D205" s="7">
        <v>295</v>
      </c>
      <c r="E205" s="3"/>
      <c r="F205" s="8">
        <f t="shared" si="108"/>
        <v>6.1856774726957379E-4</v>
      </c>
      <c r="G205" s="3"/>
      <c r="H205" s="7">
        <v>1454</v>
      </c>
      <c r="I205" s="3"/>
      <c r="J205" s="8">
        <f t="shared" si="109"/>
        <v>2.1061566696651151E-3</v>
      </c>
      <c r="K205" s="3"/>
      <c r="L205" s="7">
        <f t="shared" si="110"/>
        <v>-1159</v>
      </c>
      <c r="M205" s="3"/>
      <c r="N205" s="8">
        <f t="shared" si="111"/>
        <v>-0.79711141678129294</v>
      </c>
      <c r="O205" s="12"/>
      <c r="P205" s="7">
        <v>295</v>
      </c>
      <c r="Q205" s="3"/>
      <c r="R205" s="8">
        <f t="shared" si="112"/>
        <v>6.1856774726957379E-4</v>
      </c>
      <c r="S205" s="3"/>
      <c r="T205" s="7">
        <v>1454</v>
      </c>
      <c r="U205" s="3"/>
      <c r="V205" s="8">
        <f t="shared" si="113"/>
        <v>2.1061566696651151E-3</v>
      </c>
      <c r="W205" s="3"/>
      <c r="X205" s="7">
        <f t="shared" si="114"/>
        <v>-1159</v>
      </c>
      <c r="Y205" s="3"/>
      <c r="Z205" s="8">
        <f t="shared" si="115"/>
        <v>-0.79711141678129294</v>
      </c>
    </row>
    <row r="206" spans="1:26" s="24" customFormat="1" hidden="1" outlineLevel="2" x14ac:dyDescent="0.25">
      <c r="A206" s="27"/>
      <c r="B206" s="12" t="str">
        <f>CONCATENATE("          ", "6309", " - ", "TELEPHONE")</f>
        <v xml:space="preserve">          6309 - TELEPHONE</v>
      </c>
      <c r="C206" s="12"/>
      <c r="D206" s="7">
        <v>4763.1099999999997</v>
      </c>
      <c r="E206" s="3"/>
      <c r="F206" s="8">
        <f t="shared" si="108"/>
        <v>9.9874787210073885E-3</v>
      </c>
      <c r="G206" s="3"/>
      <c r="H206" s="7">
        <v>3250</v>
      </c>
      <c r="I206" s="3"/>
      <c r="J206" s="8">
        <f t="shared" si="109"/>
        <v>4.7077091997328917E-3</v>
      </c>
      <c r="K206" s="3"/>
      <c r="L206" s="7">
        <f t="shared" si="110"/>
        <v>1513.1099999999997</v>
      </c>
      <c r="M206" s="3"/>
      <c r="N206" s="8">
        <f t="shared" si="111"/>
        <v>0.46557230769230762</v>
      </c>
      <c r="O206" s="12"/>
      <c r="P206" s="7">
        <v>4763.1099999999997</v>
      </c>
      <c r="Q206" s="3"/>
      <c r="R206" s="8">
        <f t="shared" si="112"/>
        <v>9.9874787210073885E-3</v>
      </c>
      <c r="S206" s="3"/>
      <c r="T206" s="7">
        <v>3250</v>
      </c>
      <c r="U206" s="3"/>
      <c r="V206" s="8">
        <f t="shared" si="113"/>
        <v>4.7077091997328917E-3</v>
      </c>
      <c r="W206" s="3"/>
      <c r="X206" s="7">
        <f t="shared" si="114"/>
        <v>1513.1099999999997</v>
      </c>
      <c r="Y206" s="3"/>
      <c r="Z206" s="8">
        <f t="shared" si="115"/>
        <v>0.46557230769230762</v>
      </c>
    </row>
    <row r="207" spans="1:26" s="29" customFormat="1" outlineLevel="1" collapsed="1" x14ac:dyDescent="0.25">
      <c r="A207" s="28"/>
      <c r="B207" s="14" t="str">
        <f>CONCATENATE("     ","Training                                          ")</f>
        <v xml:space="preserve">     Training                                          </v>
      </c>
      <c r="C207" s="14"/>
      <c r="D207" s="1">
        <f>SUM(OSRRefD22_24x_0)</f>
        <v>131.63</v>
      </c>
      <c r="E207" s="1"/>
      <c r="F207" s="5">
        <f t="shared" ref="F207:F212" si="116">IF(D$12=0,0,D207/D$12)</f>
        <v>2.7600702567150506E-4</v>
      </c>
      <c r="G207" s="1"/>
      <c r="H207" s="1">
        <f>SUM(OSRRefH22_24x_0)</f>
        <v>400</v>
      </c>
      <c r="I207" s="1"/>
      <c r="J207" s="5">
        <f t="shared" ref="J207:J212" si="117">IF(H$12=0,0,H207/H$12)</f>
        <v>5.794103630440482E-4</v>
      </c>
      <c r="K207" s="1"/>
      <c r="L207" s="1">
        <f t="shared" ref="L207:L212" si="118">+D207-H207</f>
        <v>-268.37</v>
      </c>
      <c r="M207" s="1"/>
      <c r="N207" s="5">
        <f t="shared" ref="N207:N212" si="119">IF(H207=0,0,L207/H207)</f>
        <v>-0.67092499999999999</v>
      </c>
      <c r="O207" s="14"/>
      <c r="P207" s="1">
        <f>SUM(OSRRefP22_24x_0)</f>
        <v>131.63</v>
      </c>
      <c r="Q207" s="1"/>
      <c r="R207" s="5">
        <f t="shared" ref="R207:R212" si="120">IF(P$12=0,0,P207/P$12)</f>
        <v>2.7600702567150506E-4</v>
      </c>
      <c r="S207" s="1"/>
      <c r="T207" s="1">
        <f>SUM(OSRRefT22_24x_0)</f>
        <v>400</v>
      </c>
      <c r="U207" s="1"/>
      <c r="V207" s="5">
        <f t="shared" ref="V207:V212" si="121">IF(T$12=0,0,T207/T$12)</f>
        <v>5.794103630440482E-4</v>
      </c>
      <c r="W207" s="1"/>
      <c r="X207" s="1">
        <f t="shared" ref="X207:X212" si="122">+P207-T207</f>
        <v>-268.37</v>
      </c>
      <c r="Y207" s="1"/>
      <c r="Z207" s="5">
        <f t="shared" ref="Z207:Z212" si="123">IF(T207=0,0,X207/T207)</f>
        <v>-0.67092499999999999</v>
      </c>
    </row>
    <row r="208" spans="1:26" s="24" customFormat="1" hidden="1" outlineLevel="2" x14ac:dyDescent="0.25">
      <c r="A208" s="27"/>
      <c r="B208" s="12" t="str">
        <f>CONCATENATE("          ", "6376", " - ", "TRAINING")</f>
        <v xml:space="preserve">          6376 - TRAINING</v>
      </c>
      <c r="C208" s="12"/>
      <c r="D208" s="7">
        <v>131.63</v>
      </c>
      <c r="E208" s="3"/>
      <c r="F208" s="8">
        <f t="shared" si="116"/>
        <v>2.7600702567150506E-4</v>
      </c>
      <c r="G208" s="3"/>
      <c r="H208" s="7">
        <v>400</v>
      </c>
      <c r="I208" s="3"/>
      <c r="J208" s="8">
        <f t="shared" si="117"/>
        <v>5.794103630440482E-4</v>
      </c>
      <c r="K208" s="3"/>
      <c r="L208" s="7">
        <f t="shared" si="118"/>
        <v>-268.37</v>
      </c>
      <c r="M208" s="3"/>
      <c r="N208" s="8">
        <f t="shared" si="119"/>
        <v>-0.67092499999999999</v>
      </c>
      <c r="O208" s="12"/>
      <c r="P208" s="7">
        <v>131.63</v>
      </c>
      <c r="Q208" s="3"/>
      <c r="R208" s="8">
        <f t="shared" si="120"/>
        <v>2.7600702567150506E-4</v>
      </c>
      <c r="S208" s="3"/>
      <c r="T208" s="7">
        <v>400</v>
      </c>
      <c r="U208" s="3"/>
      <c r="V208" s="8">
        <f t="shared" si="121"/>
        <v>5.794103630440482E-4</v>
      </c>
      <c r="W208" s="3"/>
      <c r="X208" s="7">
        <f t="shared" si="122"/>
        <v>-268.37</v>
      </c>
      <c r="Y208" s="3"/>
      <c r="Z208" s="8">
        <f t="shared" si="123"/>
        <v>-0.67092499999999999</v>
      </c>
    </row>
    <row r="209" spans="1:26" s="29" customFormat="1" outlineLevel="1" collapsed="1" x14ac:dyDescent="0.25">
      <c r="A209" s="28"/>
      <c r="B209" s="14" t="str">
        <f>CONCATENATE("     ","Travel                                            ")</f>
        <v xml:space="preserve">     Travel                                            </v>
      </c>
      <c r="C209" s="14"/>
      <c r="D209" s="1">
        <f>SUM(OSRRefD22_25x_0)</f>
        <v>454.9</v>
      </c>
      <c r="E209" s="1"/>
      <c r="F209" s="5">
        <f t="shared" si="116"/>
        <v>9.538524346878952E-4</v>
      </c>
      <c r="G209" s="1"/>
      <c r="H209" s="1">
        <f>SUM(OSRRefH22_25x_0)</f>
        <v>350</v>
      </c>
      <c r="I209" s="1"/>
      <c r="J209" s="5">
        <f t="shared" si="117"/>
        <v>5.0698406766354223E-4</v>
      </c>
      <c r="K209" s="1"/>
      <c r="L209" s="1">
        <f t="shared" si="118"/>
        <v>104.89999999999998</v>
      </c>
      <c r="M209" s="1"/>
      <c r="N209" s="5">
        <f t="shared" si="119"/>
        <v>0.29971428571428566</v>
      </c>
      <c r="O209" s="14"/>
      <c r="P209" s="1">
        <f>SUM(OSRRefP22_25x_0)</f>
        <v>454.9</v>
      </c>
      <c r="Q209" s="1"/>
      <c r="R209" s="5">
        <f t="shared" si="120"/>
        <v>9.538524346878952E-4</v>
      </c>
      <c r="S209" s="1"/>
      <c r="T209" s="1">
        <f>SUM(OSRRefT22_25x_0)</f>
        <v>350</v>
      </c>
      <c r="U209" s="1"/>
      <c r="V209" s="5">
        <f t="shared" si="121"/>
        <v>5.0698406766354223E-4</v>
      </c>
      <c r="W209" s="1"/>
      <c r="X209" s="1">
        <f t="shared" si="122"/>
        <v>104.89999999999998</v>
      </c>
      <c r="Y209" s="1"/>
      <c r="Z209" s="5">
        <f t="shared" si="123"/>
        <v>0.29971428571428566</v>
      </c>
    </row>
    <row r="210" spans="1:26" s="24" customFormat="1" hidden="1" outlineLevel="2" x14ac:dyDescent="0.25">
      <c r="A210" s="27"/>
      <c r="B210" s="12" t="str">
        <f>CONCATENATE("          ", "6292", " - ", "TRAVEL/CONFERENCE")</f>
        <v xml:space="preserve">          6292 - TRAVEL/CONFERENCE</v>
      </c>
      <c r="C210" s="12"/>
      <c r="D210" s="7">
        <v>0.16</v>
      </c>
      <c r="E210" s="3"/>
      <c r="F210" s="8">
        <f t="shared" si="116"/>
        <v>3.3549437140044681E-7</v>
      </c>
      <c r="G210" s="3"/>
      <c r="H210" s="7">
        <v>300</v>
      </c>
      <c r="I210" s="3"/>
      <c r="J210" s="8">
        <f t="shared" si="117"/>
        <v>4.3455777228303615E-4</v>
      </c>
      <c r="K210" s="3"/>
      <c r="L210" s="7">
        <f t="shared" si="118"/>
        <v>-299.83999999999997</v>
      </c>
      <c r="M210" s="3"/>
      <c r="N210" s="8">
        <f t="shared" si="119"/>
        <v>-0.99946666666666661</v>
      </c>
      <c r="O210" s="12"/>
      <c r="P210" s="7">
        <v>0.16</v>
      </c>
      <c r="Q210" s="3"/>
      <c r="R210" s="8">
        <f t="shared" si="120"/>
        <v>3.3549437140044681E-7</v>
      </c>
      <c r="S210" s="3"/>
      <c r="T210" s="7">
        <v>300</v>
      </c>
      <c r="U210" s="3"/>
      <c r="V210" s="8">
        <f t="shared" si="121"/>
        <v>4.3455777228303615E-4</v>
      </c>
      <c r="W210" s="3"/>
      <c r="X210" s="7">
        <f t="shared" si="122"/>
        <v>-299.83999999999997</v>
      </c>
      <c r="Y210" s="3"/>
      <c r="Z210" s="8">
        <f t="shared" si="123"/>
        <v>-0.99946666666666661</v>
      </c>
    </row>
    <row r="211" spans="1:26" s="24" customFormat="1" hidden="1" outlineLevel="2" x14ac:dyDescent="0.25">
      <c r="A211" s="27"/>
      <c r="B211" s="12" t="str">
        <f>CONCATENATE("          ", "6294", " - ", "TRAVEL OPERATIONAL")</f>
        <v xml:space="preserve">          6294 - TRAVEL OPERATIONAL</v>
      </c>
      <c r="C211" s="12"/>
      <c r="D211" s="7">
        <v>215.16</v>
      </c>
      <c r="E211" s="3"/>
      <c r="F211" s="8">
        <f t="shared" si="116"/>
        <v>4.5115605594075081E-4</v>
      </c>
      <c r="G211" s="3"/>
      <c r="H211" s="7">
        <v>25</v>
      </c>
      <c r="I211" s="3"/>
      <c r="J211" s="8">
        <f t="shared" si="117"/>
        <v>3.6213147690253013E-5</v>
      </c>
      <c r="K211" s="3"/>
      <c r="L211" s="7">
        <f t="shared" si="118"/>
        <v>190.16</v>
      </c>
      <c r="M211" s="3"/>
      <c r="N211" s="8">
        <f t="shared" si="119"/>
        <v>7.6063999999999998</v>
      </c>
      <c r="O211" s="12"/>
      <c r="P211" s="7">
        <v>215.16</v>
      </c>
      <c r="Q211" s="3"/>
      <c r="R211" s="8">
        <f t="shared" si="120"/>
        <v>4.5115605594075081E-4</v>
      </c>
      <c r="S211" s="3"/>
      <c r="T211" s="7">
        <v>25</v>
      </c>
      <c r="U211" s="3"/>
      <c r="V211" s="8">
        <f t="shared" si="121"/>
        <v>3.6213147690253013E-5</v>
      </c>
      <c r="W211" s="3"/>
      <c r="X211" s="7">
        <f t="shared" si="122"/>
        <v>190.16</v>
      </c>
      <c r="Y211" s="3"/>
      <c r="Z211" s="8">
        <f t="shared" si="123"/>
        <v>7.6063999999999998</v>
      </c>
    </row>
    <row r="212" spans="1:26" s="24" customFormat="1" hidden="1" outlineLevel="2" x14ac:dyDescent="0.25">
      <c r="A212" s="27"/>
      <c r="B212" s="12" t="str">
        <f>CONCATENATE("          ", "6298", " - ", "VEHICLE MILEAGE")</f>
        <v xml:space="preserve">          6298 - VEHICLE MILEAGE</v>
      </c>
      <c r="C212" s="12"/>
      <c r="D212" s="7">
        <v>239.58</v>
      </c>
      <c r="E212" s="3"/>
      <c r="F212" s="8">
        <f t="shared" si="116"/>
        <v>5.0236088437574406E-4</v>
      </c>
      <c r="G212" s="3"/>
      <c r="H212" s="7">
        <v>25</v>
      </c>
      <c r="I212" s="3"/>
      <c r="J212" s="8">
        <f t="shared" si="117"/>
        <v>3.6213147690253013E-5</v>
      </c>
      <c r="K212" s="3"/>
      <c r="L212" s="7">
        <f t="shared" si="118"/>
        <v>214.58</v>
      </c>
      <c r="M212" s="3"/>
      <c r="N212" s="8">
        <f t="shared" si="119"/>
        <v>8.5831999999999997</v>
      </c>
      <c r="O212" s="12"/>
      <c r="P212" s="7">
        <v>239.58</v>
      </c>
      <c r="Q212" s="3"/>
      <c r="R212" s="8">
        <f t="shared" si="120"/>
        <v>5.0236088437574406E-4</v>
      </c>
      <c r="S212" s="3"/>
      <c r="T212" s="7">
        <v>25</v>
      </c>
      <c r="U212" s="3"/>
      <c r="V212" s="8">
        <f t="shared" si="121"/>
        <v>3.6213147690253013E-5</v>
      </c>
      <c r="W212" s="3"/>
      <c r="X212" s="7">
        <f t="shared" si="122"/>
        <v>214.58</v>
      </c>
      <c r="Y212" s="3"/>
      <c r="Z212" s="8">
        <f t="shared" si="123"/>
        <v>8.5831999999999997</v>
      </c>
    </row>
    <row r="213" spans="1:26" s="29" customFormat="1" outlineLevel="1" collapsed="1" x14ac:dyDescent="0.25">
      <c r="A213" s="28"/>
      <c r="B213" s="14" t="str">
        <f>CONCATENATE("     ","Utilities                                         ")</f>
        <v xml:space="preserve">     Utilities                                         </v>
      </c>
      <c r="C213" s="14"/>
      <c r="D213" s="1">
        <f>SUM(OSRRefD22_26x_0)</f>
        <v>8511.4599999999991</v>
      </c>
      <c r="E213" s="1"/>
      <c r="F213" s="5">
        <f t="shared" ref="F213:F214" si="124">IF(D$12=0,0,D213/D$12)</f>
        <v>1.7847168265000293E-2</v>
      </c>
      <c r="G213" s="1"/>
      <c r="H213" s="1">
        <f>SUM(OSRRefH22_26x_0)</f>
        <v>10226</v>
      </c>
      <c r="I213" s="1"/>
      <c r="J213" s="5">
        <f t="shared" ref="J213:J214" si="125">IF(H$12=0,0,H213/H$12)</f>
        <v>1.4812625931221093E-2</v>
      </c>
      <c r="K213" s="1"/>
      <c r="L213" s="1">
        <f t="shared" ref="L213:L214" si="126">+D213-H213</f>
        <v>-1714.5400000000009</v>
      </c>
      <c r="M213" s="1"/>
      <c r="N213" s="5">
        <f t="shared" ref="N213:N214" si="127">IF(H213=0,0,L213/H213)</f>
        <v>-0.16766477606102101</v>
      </c>
      <c r="O213" s="14"/>
      <c r="P213" s="1">
        <f>SUM(OSRRefP22_26x_0)</f>
        <v>8511.4599999999991</v>
      </c>
      <c r="Q213" s="1"/>
      <c r="R213" s="5">
        <f t="shared" ref="R213:R214" si="128">IF(P$12=0,0,P213/P$12)</f>
        <v>1.7847168265000293E-2</v>
      </c>
      <c r="S213" s="1"/>
      <c r="T213" s="1">
        <f>SUM(OSRRefT22_26x_0)</f>
        <v>10226</v>
      </c>
      <c r="U213" s="1"/>
      <c r="V213" s="5">
        <f t="shared" ref="V213:V214" si="129">IF(T$12=0,0,T213/T$12)</f>
        <v>1.4812625931221093E-2</v>
      </c>
      <c r="W213" s="1"/>
      <c r="X213" s="1">
        <f t="shared" ref="X213:X214" si="130">+P213-T213</f>
        <v>-1714.5400000000009</v>
      </c>
      <c r="Y213" s="1"/>
      <c r="Z213" s="5">
        <f t="shared" ref="Z213:Z214" si="131">IF(T213=0,0,X213/T213)</f>
        <v>-0.16766477606102101</v>
      </c>
    </row>
    <row r="214" spans="1:26" s="24" customFormat="1" hidden="1" outlineLevel="2" x14ac:dyDescent="0.25">
      <c r="A214" s="27"/>
      <c r="B214" s="12" t="str">
        <f>CONCATENATE("          ", "6274", " - ", "UTILITIES")</f>
        <v xml:space="preserve">          6274 - UTILITIES</v>
      </c>
      <c r="C214" s="12"/>
      <c r="D214" s="7">
        <v>8511.4599999999991</v>
      </c>
      <c r="E214" s="3"/>
      <c r="F214" s="8">
        <f t="shared" si="124"/>
        <v>1.7847168265000293E-2</v>
      </c>
      <c r="G214" s="3"/>
      <c r="H214" s="7">
        <v>10226</v>
      </c>
      <c r="I214" s="3"/>
      <c r="J214" s="8">
        <f t="shared" si="125"/>
        <v>1.4812625931221093E-2</v>
      </c>
      <c r="K214" s="3"/>
      <c r="L214" s="7">
        <f t="shared" si="126"/>
        <v>-1714.5400000000009</v>
      </c>
      <c r="M214" s="3"/>
      <c r="N214" s="8">
        <f t="shared" si="127"/>
        <v>-0.16766477606102101</v>
      </c>
      <c r="O214" s="12"/>
      <c r="P214" s="7">
        <v>8511.4599999999991</v>
      </c>
      <c r="Q214" s="3"/>
      <c r="R214" s="8">
        <f t="shared" si="128"/>
        <v>1.7847168265000293E-2</v>
      </c>
      <c r="S214" s="3"/>
      <c r="T214" s="7">
        <v>10226</v>
      </c>
      <c r="U214" s="3"/>
      <c r="V214" s="8">
        <f t="shared" si="129"/>
        <v>1.4812625931221093E-2</v>
      </c>
      <c r="W214" s="3"/>
      <c r="X214" s="7">
        <f t="shared" si="130"/>
        <v>-1714.5400000000009</v>
      </c>
      <c r="Y214" s="3"/>
      <c r="Z214" s="8">
        <f t="shared" si="131"/>
        <v>-0.16766477606102101</v>
      </c>
    </row>
    <row r="215" spans="1:26" s="54" customFormat="1" x14ac:dyDescent="0.25">
      <c r="A215" s="36"/>
      <c r="B215" s="36"/>
      <c r="C215" s="36"/>
      <c r="D215" s="1"/>
      <c r="E215" s="1"/>
      <c r="F215" s="5"/>
      <c r="G215" s="1"/>
      <c r="H215" s="1"/>
      <c r="I215" s="1"/>
      <c r="J215" s="5"/>
      <c r="K215" s="1"/>
      <c r="L215" s="1"/>
      <c r="M215" s="1"/>
      <c r="N215" s="5"/>
      <c r="O215" s="36"/>
      <c r="P215" s="1"/>
      <c r="Q215" s="1"/>
      <c r="R215" s="5"/>
      <c r="S215" s="1"/>
      <c r="T215" s="1"/>
      <c r="U215" s="1"/>
      <c r="V215" s="5"/>
      <c r="W215" s="1"/>
      <c r="X215" s="1"/>
      <c r="Y215" s="1"/>
      <c r="Z215" s="5"/>
    </row>
    <row r="216" spans="1:26" s="22" customFormat="1" collapsed="1" x14ac:dyDescent="0.25">
      <c r="A216" s="10"/>
      <c r="B216" s="26" t="s">
        <v>0</v>
      </c>
      <c r="C216" s="10"/>
      <c r="D216" s="4">
        <f>SUM(OSRRefD25x_0)</f>
        <v>199738.72999999998</v>
      </c>
      <c r="E216" s="4"/>
      <c r="F216" s="11">
        <f t="shared" ref="F216:F223" si="132">IF(D$12=0,0,D216/D$12)</f>
        <v>0.41882012291045972</v>
      </c>
      <c r="G216" s="4"/>
      <c r="H216" s="4">
        <f>SUM(OSRRefH25x_0)</f>
        <v>37076</v>
      </c>
      <c r="I216" s="4"/>
      <c r="J216" s="11">
        <f t="shared" ref="J216:J223" si="133">IF(H$12=0,0,H216/H$12)</f>
        <v>5.3705546550552832E-2</v>
      </c>
      <c r="K216" s="4"/>
      <c r="L216" s="4">
        <f t="shared" ref="L216:L223" si="134">+D216-H216</f>
        <v>162662.72999999998</v>
      </c>
      <c r="M216" s="4"/>
      <c r="N216" s="11">
        <f t="shared" ref="N216:N223" si="135">IF(H216=0,0,L216/H216)</f>
        <v>4.3872782932355161</v>
      </c>
      <c r="O216" s="10"/>
      <c r="P216" s="4">
        <f>SUM(OSRRefP25x_0)</f>
        <v>199738.72999999998</v>
      </c>
      <c r="Q216" s="4"/>
      <c r="R216" s="11">
        <f t="shared" ref="R216:R223" si="136">IF(P$12=0,0,P216/P$12)</f>
        <v>0.41882012291045972</v>
      </c>
      <c r="S216" s="4"/>
      <c r="T216" s="4">
        <f>SUM(OSRRefT25x_0)</f>
        <v>37076</v>
      </c>
      <c r="U216" s="4"/>
      <c r="V216" s="11">
        <f t="shared" ref="V216:V223" si="137">IF(T$12=0,0,T216/T$12)</f>
        <v>5.3705546550552832E-2</v>
      </c>
      <c r="W216" s="4"/>
      <c r="X216" s="4">
        <f t="shared" ref="X216:X223" si="138">+P216-T216</f>
        <v>162662.72999999998</v>
      </c>
      <c r="Y216" s="4"/>
      <c r="Z216" s="11">
        <f t="shared" ref="Z216:Z223" si="139">IF(T216=0,0,X216/T216)</f>
        <v>4.3872782932355161</v>
      </c>
    </row>
    <row r="217" spans="1:26" s="24" customFormat="1" hidden="1" outlineLevel="1" x14ac:dyDescent="0.25">
      <c r="A217" s="51"/>
      <c r="B217" s="12" t="str">
        <f>CONCATENATE("          ", "4187", " - ", "NON-TAXABLE SALES-COMPUTER REP")</f>
        <v xml:space="preserve">          4187 - NON-TAXABLE SALES-COMPUTER REP</v>
      </c>
      <c r="C217" s="12"/>
      <c r="D217" s="3">
        <f>--19.99</f>
        <v>19.989999999999998</v>
      </c>
      <c r="E217" s="3"/>
      <c r="F217" s="23">
        <f t="shared" si="132"/>
        <v>4.191582802684332E-5</v>
      </c>
      <c r="G217" s="3"/>
      <c r="H217" s="3"/>
      <c r="I217" s="3"/>
      <c r="J217" s="23">
        <f t="shared" si="133"/>
        <v>0</v>
      </c>
      <c r="K217" s="3"/>
      <c r="L217" s="3">
        <f t="shared" si="134"/>
        <v>19.989999999999998</v>
      </c>
      <c r="M217" s="3"/>
      <c r="N217" s="23">
        <f t="shared" si="135"/>
        <v>0</v>
      </c>
      <c r="O217" s="12"/>
      <c r="P217" s="3">
        <f>--19.99</f>
        <v>19.989999999999998</v>
      </c>
      <c r="Q217" s="3"/>
      <c r="R217" s="23">
        <f t="shared" si="136"/>
        <v>4.191582802684332E-5</v>
      </c>
      <c r="S217" s="3"/>
      <c r="T217" s="3"/>
      <c r="U217" s="3"/>
      <c r="V217" s="23">
        <f t="shared" si="137"/>
        <v>0</v>
      </c>
      <c r="W217" s="3"/>
      <c r="X217" s="3">
        <f t="shared" si="138"/>
        <v>19.989999999999998</v>
      </c>
      <c r="Y217" s="3"/>
      <c r="Z217" s="23">
        <f t="shared" si="139"/>
        <v>0</v>
      </c>
    </row>
    <row r="218" spans="1:26" s="24" customFormat="1" hidden="1" outlineLevel="1" x14ac:dyDescent="0.25">
      <c r="A218" s="51"/>
      <c r="B218" s="12" t="str">
        <f>CONCATENATE("          ", "9150", " - ", "MISC. INCOME")</f>
        <v xml:space="preserve">          9150 - MISC. INCOME</v>
      </c>
      <c r="C218" s="12"/>
      <c r="D218" s="3">
        <f>--36016.32</f>
        <v>36016.32</v>
      </c>
      <c r="E218" s="3"/>
      <c r="F218" s="23">
        <f t="shared" si="132"/>
        <v>7.552045399098338E-2</v>
      </c>
      <c r="G218" s="3"/>
      <c r="H218" s="3">
        <v>21701</v>
      </c>
      <c r="I218" s="3"/>
      <c r="J218" s="23">
        <f t="shared" si="133"/>
        <v>3.1434460721047226E-2</v>
      </c>
      <c r="K218" s="3"/>
      <c r="L218" s="3">
        <f t="shared" si="134"/>
        <v>14315.32</v>
      </c>
      <c r="M218" s="3"/>
      <c r="N218" s="23">
        <f t="shared" si="135"/>
        <v>0.6596617667388599</v>
      </c>
      <c r="O218" s="12"/>
      <c r="P218" s="3">
        <f>--36016.32</f>
        <v>36016.32</v>
      </c>
      <c r="Q218" s="3"/>
      <c r="R218" s="23">
        <f t="shared" si="136"/>
        <v>7.552045399098338E-2</v>
      </c>
      <c r="S218" s="3"/>
      <c r="T218" s="3">
        <v>21701</v>
      </c>
      <c r="U218" s="3"/>
      <c r="V218" s="23">
        <f t="shared" si="137"/>
        <v>3.1434460721047226E-2</v>
      </c>
      <c r="W218" s="3"/>
      <c r="X218" s="3">
        <f t="shared" si="138"/>
        <v>14315.32</v>
      </c>
      <c r="Y218" s="3"/>
      <c r="Z218" s="23">
        <f t="shared" si="139"/>
        <v>0.6596617667388599</v>
      </c>
    </row>
    <row r="219" spans="1:26" s="24" customFormat="1" hidden="1" outlineLevel="1" x14ac:dyDescent="0.25">
      <c r="A219" s="51"/>
      <c r="B219" s="12" t="str">
        <f>CONCATENATE("          ", "9151", " - ", "MISC. INCOME")</f>
        <v xml:space="preserve">          9151 - MISC. INCOME</v>
      </c>
      <c r="C219" s="12"/>
      <c r="D219" s="3">
        <f>0</f>
        <v>0</v>
      </c>
      <c r="E219" s="3"/>
      <c r="F219" s="23">
        <f t="shared" si="132"/>
        <v>0</v>
      </c>
      <c r="G219" s="3"/>
      <c r="H219" s="3">
        <v>15375</v>
      </c>
      <c r="I219" s="3"/>
      <c r="J219" s="23">
        <f t="shared" si="133"/>
        <v>2.2271085829505603E-2</v>
      </c>
      <c r="K219" s="3"/>
      <c r="L219" s="3">
        <f t="shared" si="134"/>
        <v>-15375</v>
      </c>
      <c r="M219" s="3"/>
      <c r="N219" s="23">
        <f t="shared" si="135"/>
        <v>-1</v>
      </c>
      <c r="O219" s="12"/>
      <c r="P219" s="3">
        <f>0</f>
        <v>0</v>
      </c>
      <c r="Q219" s="3"/>
      <c r="R219" s="23">
        <f t="shared" si="136"/>
        <v>0</v>
      </c>
      <c r="S219" s="3"/>
      <c r="T219" s="3">
        <v>15375</v>
      </c>
      <c r="U219" s="3"/>
      <c r="V219" s="23">
        <f t="shared" si="137"/>
        <v>2.2271085829505603E-2</v>
      </c>
      <c r="W219" s="3"/>
      <c r="X219" s="3">
        <f t="shared" si="138"/>
        <v>-15375</v>
      </c>
      <c r="Y219" s="3"/>
      <c r="Z219" s="23">
        <f t="shared" si="139"/>
        <v>-1</v>
      </c>
    </row>
    <row r="220" spans="1:26" s="24" customFormat="1" hidden="1" outlineLevel="1" x14ac:dyDescent="0.25">
      <c r="A220" s="51"/>
      <c r="B220" s="12" t="str">
        <f>CONCATENATE("          ", "9152", " - ", "MISC. INCOME")</f>
        <v xml:space="preserve">          9152 - MISC. INCOME</v>
      </c>
      <c r="C220" s="12"/>
      <c r="D220" s="3">
        <f>--1474.39</f>
        <v>1474.39</v>
      </c>
      <c r="E220" s="3"/>
      <c r="F220" s="23">
        <f t="shared" si="132"/>
        <v>3.0915596640569048E-3</v>
      </c>
      <c r="G220" s="3"/>
      <c r="H220" s="3"/>
      <c r="I220" s="3"/>
      <c r="J220" s="23">
        <f t="shared" si="133"/>
        <v>0</v>
      </c>
      <c r="K220" s="3"/>
      <c r="L220" s="3">
        <f t="shared" si="134"/>
        <v>1474.39</v>
      </c>
      <c r="M220" s="3"/>
      <c r="N220" s="23">
        <f t="shared" si="135"/>
        <v>0</v>
      </c>
      <c r="O220" s="12"/>
      <c r="P220" s="3">
        <f>--1474.39</f>
        <v>1474.39</v>
      </c>
      <c r="Q220" s="3"/>
      <c r="R220" s="23">
        <f t="shared" si="136"/>
        <v>3.0915596640569048E-3</v>
      </c>
      <c r="S220" s="3"/>
      <c r="T220" s="3"/>
      <c r="U220" s="3"/>
      <c r="V220" s="23">
        <f t="shared" si="137"/>
        <v>0</v>
      </c>
      <c r="W220" s="3"/>
      <c r="X220" s="3">
        <f t="shared" si="138"/>
        <v>1474.39</v>
      </c>
      <c r="Y220" s="3"/>
      <c r="Z220" s="23">
        <f t="shared" si="139"/>
        <v>0</v>
      </c>
    </row>
    <row r="221" spans="1:26" s="24" customFormat="1" hidden="1" outlineLevel="1" x14ac:dyDescent="0.25">
      <c r="A221" s="51"/>
      <c r="B221" s="12" t="str">
        <f>CONCATENATE("          ", "9160", " - ", "MISC. INCOME")</f>
        <v xml:space="preserve">          9160 - MISC. INCOME</v>
      </c>
      <c r="C221" s="12"/>
      <c r="D221" s="3">
        <f>--1363.63</f>
        <v>1363.63</v>
      </c>
      <c r="E221" s="3"/>
      <c r="F221" s="23">
        <f t="shared" si="132"/>
        <v>2.8593136854549455E-3</v>
      </c>
      <c r="G221" s="3"/>
      <c r="H221" s="3">
        <v>0</v>
      </c>
      <c r="I221" s="3"/>
      <c r="J221" s="23">
        <f t="shared" si="133"/>
        <v>0</v>
      </c>
      <c r="K221" s="3"/>
      <c r="L221" s="3">
        <f t="shared" si="134"/>
        <v>1363.63</v>
      </c>
      <c r="M221" s="3"/>
      <c r="N221" s="23">
        <f t="shared" si="135"/>
        <v>0</v>
      </c>
      <c r="O221" s="12"/>
      <c r="P221" s="3">
        <f>--1363.63</f>
        <v>1363.63</v>
      </c>
      <c r="Q221" s="3"/>
      <c r="R221" s="23">
        <f t="shared" si="136"/>
        <v>2.8593136854549455E-3</v>
      </c>
      <c r="S221" s="3"/>
      <c r="T221" s="3">
        <v>0</v>
      </c>
      <c r="U221" s="3"/>
      <c r="V221" s="23">
        <f t="shared" si="137"/>
        <v>0</v>
      </c>
      <c r="W221" s="3"/>
      <c r="X221" s="3">
        <f t="shared" si="138"/>
        <v>1363.63</v>
      </c>
      <c r="Y221" s="3"/>
      <c r="Z221" s="23">
        <f t="shared" si="139"/>
        <v>0</v>
      </c>
    </row>
    <row r="222" spans="1:26" s="24" customFormat="1" hidden="1" outlineLevel="1" x14ac:dyDescent="0.25">
      <c r="A222" s="51"/>
      <c r="B222" s="12" t="str">
        <f>CONCATENATE("          ", "9163", " - ", "MISC. INCOME")</f>
        <v xml:space="preserve">          9163 - MISC. INCOME</v>
      </c>
      <c r="C222" s="12"/>
      <c r="D222" s="3">
        <f>--160663.9</f>
        <v>160663.9</v>
      </c>
      <c r="E222" s="3"/>
      <c r="F222" s="23">
        <f t="shared" si="132"/>
        <v>0.3368864633577765</v>
      </c>
      <c r="G222" s="3"/>
      <c r="H222" s="3"/>
      <c r="I222" s="3"/>
      <c r="J222" s="23">
        <f t="shared" si="133"/>
        <v>0</v>
      </c>
      <c r="K222" s="3"/>
      <c r="L222" s="3">
        <f t="shared" si="134"/>
        <v>160663.9</v>
      </c>
      <c r="M222" s="3"/>
      <c r="N222" s="23">
        <f t="shared" si="135"/>
        <v>0</v>
      </c>
      <c r="O222" s="12"/>
      <c r="P222" s="3">
        <f>--160663.9</f>
        <v>160663.9</v>
      </c>
      <c r="Q222" s="3"/>
      <c r="R222" s="23">
        <f t="shared" si="136"/>
        <v>0.3368864633577765</v>
      </c>
      <c r="S222" s="3"/>
      <c r="T222" s="3"/>
      <c r="U222" s="3"/>
      <c r="V222" s="23">
        <f t="shared" si="137"/>
        <v>0</v>
      </c>
      <c r="W222" s="3"/>
      <c r="X222" s="3">
        <f t="shared" si="138"/>
        <v>160663.9</v>
      </c>
      <c r="Y222" s="3"/>
      <c r="Z222" s="23">
        <f t="shared" si="139"/>
        <v>0</v>
      </c>
    </row>
    <row r="223" spans="1:26" s="24" customFormat="1" hidden="1" outlineLevel="1" x14ac:dyDescent="0.25">
      <c r="A223" s="51"/>
      <c r="B223" s="12" t="str">
        <f>CONCATENATE("          ", "9165", " - ", "OTHER INCOME")</f>
        <v xml:space="preserve">          9165 - OTHER INCOME</v>
      </c>
      <c r="C223" s="12"/>
      <c r="D223" s="3">
        <f>--200.5</f>
        <v>200.5</v>
      </c>
      <c r="E223" s="3"/>
      <c r="F223" s="23">
        <f t="shared" si="132"/>
        <v>4.2041638416118491E-4</v>
      </c>
      <c r="G223" s="3"/>
      <c r="H223" s="3"/>
      <c r="I223" s="3"/>
      <c r="J223" s="23">
        <f t="shared" si="133"/>
        <v>0</v>
      </c>
      <c r="K223" s="3"/>
      <c r="L223" s="3">
        <f t="shared" si="134"/>
        <v>200.5</v>
      </c>
      <c r="M223" s="3"/>
      <c r="N223" s="23">
        <f t="shared" si="135"/>
        <v>0</v>
      </c>
      <c r="O223" s="12"/>
      <c r="P223" s="3">
        <f>--200.5</f>
        <v>200.5</v>
      </c>
      <c r="Q223" s="3"/>
      <c r="R223" s="23">
        <f t="shared" si="136"/>
        <v>4.2041638416118491E-4</v>
      </c>
      <c r="S223" s="3"/>
      <c r="T223" s="3"/>
      <c r="U223" s="3"/>
      <c r="V223" s="23">
        <f t="shared" si="137"/>
        <v>0</v>
      </c>
      <c r="W223" s="3"/>
      <c r="X223" s="3">
        <f t="shared" si="138"/>
        <v>200.5</v>
      </c>
      <c r="Y223" s="3"/>
      <c r="Z223" s="23">
        <f t="shared" si="139"/>
        <v>0</v>
      </c>
    </row>
    <row r="224" spans="1:26" x14ac:dyDescent="0.25">
      <c r="A224" s="9"/>
      <c r="B224" s="10"/>
      <c r="C224" s="10"/>
      <c r="D224" s="2"/>
      <c r="E224" s="2"/>
      <c r="F224" s="6"/>
      <c r="G224" s="2"/>
      <c r="H224" s="2"/>
      <c r="I224" s="2"/>
      <c r="J224" s="6"/>
      <c r="K224" s="2"/>
      <c r="L224" s="2"/>
      <c r="M224" s="2"/>
      <c r="N224" s="6"/>
      <c r="O224" s="10"/>
      <c r="P224" s="2"/>
      <c r="Q224" s="2"/>
      <c r="R224" s="6"/>
      <c r="S224" s="2"/>
      <c r="T224" s="2"/>
      <c r="U224" s="2"/>
      <c r="V224" s="6"/>
      <c r="W224" s="2"/>
      <c r="X224" s="2"/>
      <c r="Y224" s="2"/>
      <c r="Z224" s="6"/>
    </row>
    <row r="225" spans="1:26" s="22" customFormat="1" x14ac:dyDescent="0.25">
      <c r="A225" s="10"/>
      <c r="B225" s="25" t="s">
        <v>3</v>
      </c>
      <c r="C225" s="25"/>
      <c r="D225" s="21">
        <f>+D110-D112+D216</f>
        <v>-360053.69000000006</v>
      </c>
      <c r="E225" s="13"/>
      <c r="F225" s="20">
        <f>IF(D$12=0,0,D225/D$12)</f>
        <v>-0.75497491498100844</v>
      </c>
      <c r="G225" s="13"/>
      <c r="H225" s="21">
        <f>+H110-H112+H216</f>
        <v>-583331.54570326989</v>
      </c>
      <c r="I225" s="13"/>
      <c r="J225" s="20">
        <f>IF(H$12=0,0,H225/H$12)</f>
        <v>-0.84497085667744354</v>
      </c>
      <c r="K225" s="15"/>
      <c r="L225" s="21">
        <f>+D225-H225</f>
        <v>223277.85570326983</v>
      </c>
      <c r="M225" s="15"/>
      <c r="N225" s="20">
        <f>IF(H225=0,0,L225/H225)</f>
        <v>-0.38276321132964614</v>
      </c>
      <c r="O225" s="26"/>
      <c r="P225" s="21">
        <f>+P110-P112+P216</f>
        <v>-360053.69000000006</v>
      </c>
      <c r="Q225" s="13"/>
      <c r="R225" s="20">
        <f>IF(P$12=0,0,P225/P$12)</f>
        <v>-0.75497491498100844</v>
      </c>
      <c r="S225" s="13"/>
      <c r="T225" s="21">
        <f>+T110-T112+T216</f>
        <v>-583331.54570326989</v>
      </c>
      <c r="U225" s="13"/>
      <c r="V225" s="20">
        <f>IF(T$12=0,0,T225/T$12)</f>
        <v>-0.84497085667744354</v>
      </c>
      <c r="W225" s="15"/>
      <c r="X225" s="21">
        <f>+P225-T225</f>
        <v>223277.85570326983</v>
      </c>
      <c r="Y225" s="15"/>
      <c r="Z225" s="20">
        <f>IF(T225=0,0,X225/T225)</f>
        <v>-0.38276321132964614</v>
      </c>
    </row>
    <row r="226" spans="1:26" x14ac:dyDescent="0.25">
      <c r="A226" s="9"/>
      <c r="B226" s="10"/>
      <c r="C226" s="9"/>
      <c r="D226" s="2"/>
      <c r="E226" s="2"/>
      <c r="F226" s="6"/>
      <c r="G226" s="2"/>
      <c r="H226" s="2"/>
      <c r="I226" s="2"/>
      <c r="J226" s="6"/>
      <c r="K226" s="2"/>
      <c r="L226" s="2"/>
      <c r="M226" s="2"/>
      <c r="N226" s="6"/>
      <c r="P226" s="2"/>
      <c r="Q226" s="2"/>
      <c r="R226" s="6"/>
      <c r="S226" s="2"/>
      <c r="T226" s="2"/>
      <c r="U226" s="2"/>
      <c r="V226" s="6"/>
      <c r="W226" s="2"/>
      <c r="X226" s="2"/>
      <c r="Y226" s="2"/>
      <c r="Z226" s="6"/>
    </row>
    <row r="227" spans="1:26" s="22" customFormat="1" x14ac:dyDescent="0.25">
      <c r="A227" s="52"/>
      <c r="B227" s="10" t="s">
        <v>14</v>
      </c>
      <c r="C227" s="10"/>
      <c r="D227" s="4">
        <v>234703.24</v>
      </c>
      <c r="E227" s="4"/>
      <c r="F227" s="11">
        <f>IF(D$12=0,0,D227/D$12)</f>
        <v>0.49213509980905124</v>
      </c>
      <c r="G227" s="4"/>
      <c r="H227" s="4">
        <v>337932</v>
      </c>
      <c r="I227" s="4"/>
      <c r="J227" s="11">
        <f>IF(H$12=0,0,H227/H$12)</f>
        <v>0.48950325701050323</v>
      </c>
      <c r="K227" s="4"/>
      <c r="L227" s="4">
        <f>+D227-H227</f>
        <v>-103228.76000000001</v>
      </c>
      <c r="M227" s="4"/>
      <c r="N227" s="11">
        <f>IF(H227=0,0,L227/H227)</f>
        <v>-0.30547198844737999</v>
      </c>
      <c r="O227" s="10"/>
      <c r="P227" s="4">
        <v>234703.24</v>
      </c>
      <c r="Q227" s="4"/>
      <c r="R227" s="11">
        <f>IF(P$12=0,0,P227/P$12)</f>
        <v>0.49213509980905124</v>
      </c>
      <c r="S227" s="4"/>
      <c r="T227" s="4">
        <v>337932</v>
      </c>
      <c r="U227" s="4"/>
      <c r="V227" s="11">
        <f>IF(T$12=0,0,T227/T$12)</f>
        <v>0.48950325701050323</v>
      </c>
      <c r="W227" s="4"/>
      <c r="X227" s="4">
        <f>+P227-T227</f>
        <v>-103228.76000000001</v>
      </c>
      <c r="Y227" s="4"/>
      <c r="Z227" s="11">
        <f>IF(T227=0,0,X227/T227)</f>
        <v>-0.30547198844737999</v>
      </c>
    </row>
    <row r="228" spans="1:26" x14ac:dyDescent="0.25">
      <c r="A228" s="9"/>
      <c r="B228" s="10"/>
      <c r="C228" s="10"/>
      <c r="D228" s="2"/>
      <c r="E228" s="2"/>
      <c r="F228" s="6"/>
      <c r="G228" s="2"/>
      <c r="H228" s="2"/>
      <c r="I228" s="2"/>
      <c r="J228" s="6"/>
      <c r="K228" s="2"/>
      <c r="L228" s="2"/>
      <c r="M228" s="2"/>
      <c r="N228" s="6"/>
      <c r="O228" s="10"/>
      <c r="P228" s="2"/>
      <c r="Q228" s="2"/>
      <c r="R228" s="6"/>
      <c r="S228" s="2"/>
      <c r="T228" s="2"/>
      <c r="U228" s="2"/>
      <c r="V228" s="6"/>
      <c r="W228" s="2"/>
      <c r="X228" s="2"/>
      <c r="Y228" s="2"/>
      <c r="Z228" s="6"/>
    </row>
    <row r="229" spans="1:26" s="22" customFormat="1" ht="15.75" thickBot="1" x14ac:dyDescent="0.3">
      <c r="A229" s="10"/>
      <c r="B229" s="25" t="s">
        <v>4</v>
      </c>
      <c r="C229" s="25"/>
      <c r="D229" s="34">
        <f>+D225-D227</f>
        <v>-594756.93000000005</v>
      </c>
      <c r="E229" s="13"/>
      <c r="F229" s="30">
        <f>IF(D$12=0,0,D229/D$12)</f>
        <v>-1.2471100147900598</v>
      </c>
      <c r="G229" s="13"/>
      <c r="H229" s="34">
        <f>+H225-H227</f>
        <v>-921263.54570326989</v>
      </c>
      <c r="I229" s="13"/>
      <c r="J229" s="30">
        <f>IF(H$12=0,0,H229/H$12)</f>
        <v>-1.3344741136879468</v>
      </c>
      <c r="K229" s="15"/>
      <c r="L229" s="34">
        <f>D229-H229</f>
        <v>326506.61570326984</v>
      </c>
      <c r="M229" s="15"/>
      <c r="N229" s="30">
        <f>IF(H229=0,0,L229/H229)</f>
        <v>-0.35441173942687892</v>
      </c>
      <c r="O229" s="26"/>
      <c r="P229" s="34">
        <f>+P225-P227</f>
        <v>-594756.93000000005</v>
      </c>
      <c r="Q229" s="13"/>
      <c r="R229" s="30">
        <f>IF(P$12=0,0,P229/P$12)</f>
        <v>-1.2471100147900598</v>
      </c>
      <c r="S229" s="13"/>
      <c r="T229" s="34">
        <f>+T225-T227</f>
        <v>-921263.54570326989</v>
      </c>
      <c r="U229" s="13"/>
      <c r="V229" s="30">
        <f>IF(T$12=0,0,T229/T$12)</f>
        <v>-1.3344741136879468</v>
      </c>
      <c r="W229" s="15"/>
      <c r="X229" s="34">
        <f>P229-T229</f>
        <v>326506.61570326984</v>
      </c>
      <c r="Y229" s="15"/>
      <c r="Z229" s="30">
        <f>IF(T229=0,0,X229/T229)</f>
        <v>-0.35441173942687892</v>
      </c>
    </row>
    <row r="230" spans="1:26" ht="15.75" thickTop="1" x14ac:dyDescent="0.25">
      <c r="A230" s="9"/>
      <c r="B230" s="9"/>
      <c r="C230" s="9"/>
      <c r="D230" s="2"/>
      <c r="E230" s="2"/>
      <c r="F230" s="6"/>
      <c r="G230" s="2"/>
      <c r="H230" s="2"/>
      <c r="I230" s="2"/>
      <c r="J230" s="6"/>
      <c r="K230" s="2"/>
      <c r="L230" s="2"/>
      <c r="M230" s="2"/>
      <c r="N230" s="6"/>
      <c r="P230" s="2"/>
      <c r="Q230" s="2"/>
      <c r="R230" s="6"/>
      <c r="S230" s="2"/>
      <c r="T230" s="2"/>
      <c r="U230" s="2"/>
      <c r="V230" s="6"/>
      <c r="W230" s="2"/>
      <c r="X230" s="2"/>
      <c r="Y230" s="2"/>
      <c r="Z230" s="6"/>
    </row>
    <row r="231" spans="1:26" s="22" customFormat="1" x14ac:dyDescent="0.25">
      <c r="A231" s="52"/>
      <c r="B231" s="10" t="s">
        <v>2</v>
      </c>
      <c r="C231" s="10"/>
      <c r="D231" s="4">
        <f>--463883.16</f>
        <v>463883.16</v>
      </c>
      <c r="E231" s="4"/>
      <c r="F231" s="11">
        <f t="shared" ref="F231:F232" si="140">IF(D$12=0,0,D231/D$12)</f>
        <v>0.97268868229658045</v>
      </c>
      <c r="G231" s="4"/>
      <c r="H231" s="4">
        <f t="shared" ref="H231:H232" si="141">--15000</f>
        <v>15000</v>
      </c>
      <c r="I231" s="4"/>
      <c r="J231" s="11">
        <f t="shared" ref="J231:J232" si="142">IF(H$12=0,0,H231/H$12)</f>
        <v>2.172788861415181E-2</v>
      </c>
      <c r="K231" s="4"/>
      <c r="L231" s="4">
        <f t="shared" ref="L231:L232" si="143">+D231-H231</f>
        <v>448883.16</v>
      </c>
      <c r="M231" s="4"/>
      <c r="N231" s="11">
        <f t="shared" ref="N231:N232" si="144">IF(H231=0,0,L231/H231)</f>
        <v>29.925543999999999</v>
      </c>
      <c r="O231" s="10"/>
      <c r="P231" s="4">
        <f>--463883.16</f>
        <v>463883.16</v>
      </c>
      <c r="Q231" s="4"/>
      <c r="R231" s="11">
        <f t="shared" ref="R231:R232" si="145">IF(P$12=0,0,P231/P$12)</f>
        <v>0.97268868229658045</v>
      </c>
      <c r="S231" s="4"/>
      <c r="T231" s="4">
        <f t="shared" ref="T231:T232" si="146">--15000</f>
        <v>15000</v>
      </c>
      <c r="U231" s="4"/>
      <c r="V231" s="11">
        <f t="shared" ref="V231:V232" si="147">IF(T$12=0,0,T231/T$12)</f>
        <v>2.172788861415181E-2</v>
      </c>
      <c r="W231" s="4"/>
      <c r="X231" s="4">
        <f t="shared" ref="X231:X232" si="148">+P231-T231</f>
        <v>448883.16</v>
      </c>
      <c r="Y231" s="4"/>
      <c r="Z231" s="11">
        <f t="shared" ref="Z231:Z232" si="149">IF(T231=0,0,X231/T231)</f>
        <v>29.925543999999999</v>
      </c>
    </row>
    <row r="232" spans="1:26" s="22" customFormat="1" x14ac:dyDescent="0.25">
      <c r="A232" s="52"/>
      <c r="B232" s="10" t="s">
        <v>1</v>
      </c>
      <c r="C232" s="10"/>
      <c r="D232" s="4">
        <f>-81628.27</f>
        <v>-81628.27</v>
      </c>
      <c r="E232" s="4"/>
      <c r="F232" s="11">
        <f t="shared" si="140"/>
        <v>-0.17116140707597469</v>
      </c>
      <c r="G232" s="4"/>
      <c r="H232" s="4">
        <f t="shared" si="141"/>
        <v>15000</v>
      </c>
      <c r="I232" s="4"/>
      <c r="J232" s="11">
        <f t="shared" si="142"/>
        <v>2.172788861415181E-2</v>
      </c>
      <c r="K232" s="4"/>
      <c r="L232" s="4">
        <f t="shared" si="143"/>
        <v>-96628.27</v>
      </c>
      <c r="M232" s="4"/>
      <c r="N232" s="11">
        <f t="shared" si="144"/>
        <v>-6.4418846666666667</v>
      </c>
      <c r="O232" s="10"/>
      <c r="P232" s="4">
        <f>-81628.27</f>
        <v>-81628.27</v>
      </c>
      <c r="Q232" s="4"/>
      <c r="R232" s="11">
        <f t="shared" si="145"/>
        <v>-0.17116140707597469</v>
      </c>
      <c r="S232" s="4"/>
      <c r="T232" s="4">
        <f t="shared" si="146"/>
        <v>15000</v>
      </c>
      <c r="U232" s="4"/>
      <c r="V232" s="11">
        <f t="shared" si="147"/>
        <v>2.172788861415181E-2</v>
      </c>
      <c r="W232" s="4"/>
      <c r="X232" s="4">
        <f t="shared" si="148"/>
        <v>-96628.27</v>
      </c>
      <c r="Y232" s="4"/>
      <c r="Z232" s="11">
        <f t="shared" si="149"/>
        <v>-6.4418846666666667</v>
      </c>
    </row>
    <row r="233" spans="1:26" x14ac:dyDescent="0.25">
      <c r="A233" s="9"/>
      <c r="B233" s="9"/>
      <c r="C233" s="9"/>
      <c r="D233" s="2"/>
      <c r="E233" s="2"/>
      <c r="F233" s="6"/>
      <c r="G233" s="2"/>
      <c r="H233" s="2"/>
      <c r="I233" s="2"/>
      <c r="J233" s="6"/>
      <c r="K233" s="2"/>
      <c r="L233" s="2"/>
      <c r="M233" s="2"/>
      <c r="N233" s="6"/>
      <c r="P233" s="2"/>
      <c r="Q233" s="2"/>
      <c r="R233" s="6"/>
      <c r="S233" s="2"/>
      <c r="T233" s="2"/>
      <c r="U233" s="2"/>
      <c r="V233" s="6"/>
      <c r="W233" s="2"/>
      <c r="X233" s="2"/>
      <c r="Y233" s="2"/>
      <c r="Z233" s="6"/>
    </row>
    <row r="234" spans="1:26" s="22" customFormat="1" ht="15.75" thickBot="1" x14ac:dyDescent="0.3">
      <c r="A234" s="10"/>
      <c r="B234" s="25" t="s">
        <v>5</v>
      </c>
      <c r="C234" s="25"/>
      <c r="D234" s="32">
        <f>SUM(D229:D233)</f>
        <v>-212502.0400000001</v>
      </c>
      <c r="E234" s="13"/>
      <c r="F234" s="33">
        <f>IF(D$12=0,0,D234/D$12)</f>
        <v>-0.44558273956945393</v>
      </c>
      <c r="G234" s="13"/>
      <c r="H234" s="32">
        <f>SUM(H229:H233)</f>
        <v>-891263.54570326989</v>
      </c>
      <c r="I234" s="13"/>
      <c r="J234" s="33">
        <f>IF(H$12=0,0,H234/H$12)</f>
        <v>-1.2910183364596433</v>
      </c>
      <c r="K234" s="15"/>
      <c r="L234" s="32">
        <f>+D234-H234</f>
        <v>678761.50570326974</v>
      </c>
      <c r="M234" s="15"/>
      <c r="N234" s="33">
        <f>IF(H234=0,0,L234/H234)</f>
        <v>-0.76157216232565528</v>
      </c>
      <c r="O234" s="26"/>
      <c r="P234" s="32">
        <f>SUM(P229:P233)</f>
        <v>-212502.0400000001</v>
      </c>
      <c r="Q234" s="13"/>
      <c r="R234" s="33">
        <f>IF(P$12=0,0,P234/P$12)</f>
        <v>-0.44558273956945393</v>
      </c>
      <c r="S234" s="13"/>
      <c r="T234" s="32">
        <f>SUM(T229:T233)</f>
        <v>-891263.54570326989</v>
      </c>
      <c r="U234" s="13"/>
      <c r="V234" s="33">
        <f>IF(T$12=0,0,T234/T$12)</f>
        <v>-1.2910183364596433</v>
      </c>
      <c r="W234" s="15"/>
      <c r="X234" s="32">
        <f>+P234-T234</f>
        <v>678761.50570326974</v>
      </c>
      <c r="Y234" s="15"/>
      <c r="Z234" s="33">
        <f>IF(T234=0,0,X234/T234)</f>
        <v>-0.76157216232565528</v>
      </c>
    </row>
    <row r="235" spans="1:26" ht="15.75" thickTop="1" x14ac:dyDescent="0.25">
      <c r="A235" s="9"/>
      <c r="C235" s="9"/>
      <c r="D235" s="17"/>
      <c r="E235" s="17"/>
      <c r="G235" s="17"/>
      <c r="H235" s="17"/>
      <c r="I235" s="17"/>
      <c r="J235" s="43"/>
      <c r="K235" s="17"/>
      <c r="L235" s="17"/>
      <c r="M235" s="17"/>
      <c r="P235" s="17"/>
      <c r="Q235" s="17"/>
      <c r="R235" s="43"/>
      <c r="S235" s="17"/>
      <c r="T235" s="17"/>
      <c r="U235" s="17"/>
      <c r="V235" s="43"/>
      <c r="W235" s="17"/>
      <c r="X235" s="17"/>
    </row>
    <row r="236" spans="1:26" x14ac:dyDescent="0.25">
      <c r="A236" s="9"/>
      <c r="B236" s="58">
        <v>44104.6852840625</v>
      </c>
      <c r="D236" s="17"/>
      <c r="E236" s="17"/>
      <c r="G236" s="17"/>
      <c r="H236" s="17"/>
      <c r="I236" s="17"/>
      <c r="J236" s="43"/>
      <c r="K236" s="17"/>
      <c r="L236" s="17"/>
      <c r="M236" s="17"/>
      <c r="P236" s="17"/>
      <c r="Q236" s="17"/>
      <c r="R236" s="43"/>
      <c r="S236" s="17"/>
      <c r="T236" s="17"/>
      <c r="U236" s="17"/>
      <c r="V236" s="43"/>
      <c r="W236" s="17"/>
      <c r="X236" s="17"/>
    </row>
    <row r="237" spans="1:26" x14ac:dyDescent="0.25">
      <c r="A237" s="9"/>
      <c r="B237" s="56" t="s">
        <v>314</v>
      </c>
      <c r="D237" s="17"/>
      <c r="E237" s="17"/>
      <c r="G237" s="17"/>
      <c r="H237" s="17"/>
      <c r="I237" s="17"/>
      <c r="J237" s="43"/>
      <c r="K237" s="17"/>
      <c r="L237" s="17"/>
      <c r="M237" s="17"/>
      <c r="P237" s="17"/>
      <c r="Q237" s="17"/>
      <c r="R237" s="43"/>
      <c r="S237" s="17"/>
      <c r="T237" s="17"/>
      <c r="U237" s="17"/>
      <c r="V237" s="43"/>
      <c r="W237" s="17"/>
      <c r="X237" s="17"/>
    </row>
    <row r="238" spans="1:26" x14ac:dyDescent="0.25">
      <c r="A238" s="9"/>
      <c r="B238" s="62"/>
      <c r="D238" s="17"/>
      <c r="E238" s="17"/>
      <c r="G238" s="17"/>
      <c r="H238" s="17"/>
      <c r="I238" s="17"/>
      <c r="J238" s="43"/>
      <c r="K238" s="17"/>
      <c r="L238" s="17"/>
      <c r="M238" s="17"/>
      <c r="P238" s="17"/>
      <c r="Q238" s="17"/>
      <c r="R238" s="43"/>
      <c r="S238" s="17"/>
      <c r="T238" s="17"/>
      <c r="U238" s="17"/>
      <c r="V238" s="43"/>
      <c r="W238" s="17"/>
      <c r="X238" s="17"/>
    </row>
    <row r="239" spans="1:26" x14ac:dyDescent="0.25">
      <c r="D239" s="17"/>
      <c r="E239" s="17"/>
      <c r="G239" s="17"/>
      <c r="H239" s="17"/>
      <c r="I239" s="17"/>
      <c r="J239" s="43"/>
      <c r="K239" s="17"/>
      <c r="L239" s="17"/>
      <c r="M239" s="17"/>
      <c r="P239" s="17"/>
      <c r="Q239" s="17"/>
      <c r="R239" s="43"/>
      <c r="S239" s="17"/>
      <c r="T239" s="17"/>
      <c r="U239" s="17"/>
      <c r="V239" s="43"/>
      <c r="W239" s="17"/>
      <c r="X239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298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298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299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SUM(0)</f>
        <v>0</v>
      </c>
      <c r="E18" s="19"/>
      <c r="F18" s="31">
        <f>IF(D$12=0,0,D18/D$12)</f>
        <v>0</v>
      </c>
      <c r="G18" s="19"/>
      <c r="H18" s="19">
        <f>SUM(0)</f>
        <v>0</v>
      </c>
      <c r="I18" s="19"/>
      <c r="J18" s="31">
        <f>IF(H$12=0,0,H18/H$12)</f>
        <v>0</v>
      </c>
      <c r="K18" s="4"/>
      <c r="L18" s="19">
        <f>+D18-H18</f>
        <v>0</v>
      </c>
      <c r="M18" s="4"/>
      <c r="N18" s="31">
        <f>IF(H18=0,0,L18/H18)</f>
        <v>0</v>
      </c>
      <c r="O18" s="10"/>
      <c r="P18" s="19">
        <f>SUM(0)</f>
        <v>0</v>
      </c>
      <c r="Q18" s="19"/>
      <c r="R18" s="31">
        <f>IF(P$12=0,0,P18/P$12)</f>
        <v>0</v>
      </c>
      <c r="S18" s="19"/>
      <c r="T18" s="19">
        <f>SUM(0)</f>
        <v>0</v>
      </c>
      <c r="U18" s="19"/>
      <c r="V18" s="31">
        <f>IF(T$12=0,0,T18/T$12)</f>
        <v>0</v>
      </c>
      <c r="W18" s="4"/>
      <c r="X18" s="19">
        <f>+P18-T18</f>
        <v>0</v>
      </c>
      <c r="Y18" s="4"/>
      <c r="Z18" s="31">
        <f>IF(T18=0,0,X18/T18)</f>
        <v>0</v>
      </c>
    </row>
    <row r="19" spans="1:26" s="54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0</v>
      </c>
      <c r="C20" s="10"/>
      <c r="D20" s="4">
        <f>SUM(0)</f>
        <v>0</v>
      </c>
      <c r="E20" s="4"/>
      <c r="F20" s="11">
        <f>IF(D$12=0,0,D20/D$12)</f>
        <v>0</v>
      </c>
      <c r="G20" s="4"/>
      <c r="H20" s="4">
        <f>SUM(0)</f>
        <v>0</v>
      </c>
      <c r="I20" s="4"/>
      <c r="J20" s="11">
        <f>IF(H$12=0,0,H20/H$12)</f>
        <v>0</v>
      </c>
      <c r="K20" s="4"/>
      <c r="L20" s="4">
        <f>+D20-H20</f>
        <v>0</v>
      </c>
      <c r="M20" s="4"/>
      <c r="N20" s="11">
        <f>IF(H20=0,0,L20/H20)</f>
        <v>0</v>
      </c>
      <c r="O20" s="10"/>
      <c r="P20" s="4">
        <f>SUM(0)</f>
        <v>0</v>
      </c>
      <c r="Q20" s="4"/>
      <c r="R20" s="11">
        <f>IF(P$12=0,0,P20/P$12)</f>
        <v>0</v>
      </c>
      <c r="S20" s="4"/>
      <c r="T20" s="4">
        <f>SUM(0)</f>
        <v>0</v>
      </c>
      <c r="U20" s="4"/>
      <c r="V20" s="11">
        <f>IF(T$12=0,0,T20/T$12)</f>
        <v>0</v>
      </c>
      <c r="W20" s="4"/>
      <c r="X20" s="4">
        <f>+P20-T20</f>
        <v>0</v>
      </c>
      <c r="Y20" s="4"/>
      <c r="Z20" s="11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2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2" customFormat="1" x14ac:dyDescent="0.25">
      <c r="A24" s="52"/>
      <c r="B24" s="10" t="s">
        <v>14</v>
      </c>
      <c r="C24" s="10"/>
      <c r="D24" s="4"/>
      <c r="E24" s="4"/>
      <c r="F24" s="11">
        <f>IF(D$12=0,0,D24/D$12)</f>
        <v>0</v>
      </c>
      <c r="G24" s="4"/>
      <c r="H24" s="4"/>
      <c r="I24" s="4"/>
      <c r="J24" s="11">
        <f>IF(H$12=0,0,H24/H$12)</f>
        <v>0</v>
      </c>
      <c r="K24" s="4"/>
      <c r="L24" s="4">
        <f>+D24-H24</f>
        <v>0</v>
      </c>
      <c r="M24" s="4"/>
      <c r="N24" s="11">
        <f>IF(H24=0,0,L24/H24)</f>
        <v>0</v>
      </c>
      <c r="O24" s="10"/>
      <c r="P24" s="4"/>
      <c r="Q24" s="4"/>
      <c r="R24" s="11">
        <f>IF(P$12=0,0,P24/P$12)</f>
        <v>0</v>
      </c>
      <c r="S24" s="4"/>
      <c r="T24" s="4"/>
      <c r="U24" s="4"/>
      <c r="V24" s="11">
        <f>IF(T$12=0,0,T24/T$12)</f>
        <v>0</v>
      </c>
      <c r="W24" s="4"/>
      <c r="X24" s="4">
        <f>+P24-T24</f>
        <v>0</v>
      </c>
      <c r="Y24" s="4"/>
      <c r="Z24" s="11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2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0">
        <f>IF(D$12=0,0,D26/D$12)</f>
        <v>0</v>
      </c>
      <c r="G26" s="13"/>
      <c r="H26" s="34">
        <f>+H22-H24</f>
        <v>0</v>
      </c>
      <c r="I26" s="13"/>
      <c r="J26" s="30">
        <f>IF(H$12=0,0,H26/H$12)</f>
        <v>0</v>
      </c>
      <c r="K26" s="15"/>
      <c r="L26" s="34">
        <f>D26-H26</f>
        <v>0</v>
      </c>
      <c r="M26" s="15"/>
      <c r="N26" s="30">
        <f>IF(H26=0,0,L26/H26)</f>
        <v>0</v>
      </c>
      <c r="O26" s="26"/>
      <c r="P26" s="34">
        <f>+P22-P24</f>
        <v>0</v>
      </c>
      <c r="Q26" s="13"/>
      <c r="R26" s="30">
        <f>IF(P$12=0,0,P26/P$12)</f>
        <v>0</v>
      </c>
      <c r="S26" s="13"/>
      <c r="T26" s="34">
        <f>+T22-T24</f>
        <v>0</v>
      </c>
      <c r="U26" s="13"/>
      <c r="V26" s="30">
        <f>IF(T$12=0,0,T26/T$12)</f>
        <v>0</v>
      </c>
      <c r="W26" s="15"/>
      <c r="X26" s="34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2" customFormat="1" x14ac:dyDescent="0.25">
      <c r="A28" s="52"/>
      <c r="B28" s="10" t="s">
        <v>2</v>
      </c>
      <c r="C28" s="10"/>
      <c r="D28" s="4">
        <f>--463883.16</f>
        <v>463883.16</v>
      </c>
      <c r="E28" s="4"/>
      <c r="F28" s="11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1">
        <f t="shared" ref="J28:J29" si="2">IF(H$12=0,0,H28/H$12)</f>
        <v>0</v>
      </c>
      <c r="K28" s="4"/>
      <c r="L28" s="4">
        <f t="shared" ref="L28:L29" si="3">+D28-H28</f>
        <v>448883.16</v>
      </c>
      <c r="M28" s="4"/>
      <c r="N28" s="11">
        <f t="shared" ref="N28:N29" si="4">IF(H28=0,0,L28/H28)</f>
        <v>29.925543999999999</v>
      </c>
      <c r="O28" s="10"/>
      <c r="P28" s="4">
        <f>--463883.16</f>
        <v>463883.16</v>
      </c>
      <c r="Q28" s="4"/>
      <c r="R28" s="11">
        <f t="shared" ref="R28:R29" si="5">IF(P$12=0,0,P28/P$12)</f>
        <v>0</v>
      </c>
      <c r="S28" s="4"/>
      <c r="T28" s="4">
        <f t="shared" ref="T28:T29" si="6">--15000</f>
        <v>15000</v>
      </c>
      <c r="U28" s="4"/>
      <c r="V28" s="11">
        <f t="shared" ref="V28:V29" si="7">IF(T$12=0,0,T28/T$12)</f>
        <v>0</v>
      </c>
      <c r="W28" s="4"/>
      <c r="X28" s="4">
        <f t="shared" ref="X28:X29" si="8">+P28-T28</f>
        <v>448883.16</v>
      </c>
      <c r="Y28" s="4"/>
      <c r="Z28" s="11">
        <f t="shared" ref="Z28:Z29" si="9">IF(T28=0,0,X28/T28)</f>
        <v>29.925543999999999</v>
      </c>
    </row>
    <row r="29" spans="1:26" s="22" customFormat="1" x14ac:dyDescent="0.25">
      <c r="A29" s="52"/>
      <c r="B29" s="10" t="s">
        <v>1</v>
      </c>
      <c r="C29" s="10"/>
      <c r="D29" s="4">
        <f>-81628.27</f>
        <v>-81628.27</v>
      </c>
      <c r="E29" s="4"/>
      <c r="F29" s="11">
        <f t="shared" si="0"/>
        <v>0</v>
      </c>
      <c r="G29" s="4"/>
      <c r="H29" s="4">
        <f t="shared" si="1"/>
        <v>15000</v>
      </c>
      <c r="I29" s="4"/>
      <c r="J29" s="11">
        <f t="shared" si="2"/>
        <v>0</v>
      </c>
      <c r="K29" s="4"/>
      <c r="L29" s="4">
        <f t="shared" si="3"/>
        <v>-96628.27</v>
      </c>
      <c r="M29" s="4"/>
      <c r="N29" s="11">
        <f t="shared" si="4"/>
        <v>-6.4418846666666667</v>
      </c>
      <c r="O29" s="10"/>
      <c r="P29" s="4">
        <f>-81628.27</f>
        <v>-81628.27</v>
      </c>
      <c r="Q29" s="4"/>
      <c r="R29" s="11">
        <f t="shared" si="5"/>
        <v>0</v>
      </c>
      <c r="S29" s="4"/>
      <c r="T29" s="4">
        <f t="shared" si="6"/>
        <v>15000</v>
      </c>
      <c r="U29" s="4"/>
      <c r="V29" s="11">
        <f t="shared" si="7"/>
        <v>0</v>
      </c>
      <c r="W29" s="4"/>
      <c r="X29" s="4">
        <f t="shared" si="8"/>
        <v>-96628.27</v>
      </c>
      <c r="Y29" s="4"/>
      <c r="Z29" s="11">
        <f t="shared" si="9"/>
        <v>-6.4418846666666667</v>
      </c>
    </row>
    <row r="30" spans="1:26" x14ac:dyDescent="0.25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5</v>
      </c>
      <c r="C31" s="25"/>
      <c r="D31" s="32">
        <f>SUM(D26:D30)</f>
        <v>382254.88999999996</v>
      </c>
      <c r="E31" s="13"/>
      <c r="F31" s="33">
        <f>IF(D$12=0,0,D31/D$12)</f>
        <v>0</v>
      </c>
      <c r="G31" s="13"/>
      <c r="H31" s="32">
        <f>SUM(H26:H30)</f>
        <v>30000</v>
      </c>
      <c r="I31" s="13"/>
      <c r="J31" s="33">
        <f>IF(H$12=0,0,H31/H$12)</f>
        <v>0</v>
      </c>
      <c r="K31" s="15"/>
      <c r="L31" s="32">
        <f>+D31-H31</f>
        <v>352254.88999999996</v>
      </c>
      <c r="M31" s="15"/>
      <c r="N31" s="33">
        <f>IF(H31=0,0,L31/H31)</f>
        <v>11.741829666666666</v>
      </c>
      <c r="O31" s="26"/>
      <c r="P31" s="32">
        <f>SUM(P26:P30)</f>
        <v>382254.88999999996</v>
      </c>
      <c r="Q31" s="13"/>
      <c r="R31" s="33">
        <f>IF(P$12=0,0,P31/P$12)</f>
        <v>0</v>
      </c>
      <c r="S31" s="13"/>
      <c r="T31" s="32">
        <f>SUM(T26:T30)</f>
        <v>30000</v>
      </c>
      <c r="U31" s="13"/>
      <c r="V31" s="33">
        <f>IF(T$12=0,0,T31/T$12)</f>
        <v>0</v>
      </c>
      <c r="W31" s="15"/>
      <c r="X31" s="32">
        <f>+P31-T31</f>
        <v>352254.88999999996</v>
      </c>
      <c r="Y31" s="15"/>
      <c r="Z31" s="33">
        <f>IF(T31=0,0,X31/T31)</f>
        <v>11.741829666666666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8">
        <v>44104.685350231484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6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","100", " - ", "Corporate")</f>
        <v>Department 100 - Corporate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SUM(0)</f>
        <v>0</v>
      </c>
      <c r="E18" s="19"/>
      <c r="F18" s="31">
        <f>IF(D$12=0,0,D18/D$12)</f>
        <v>0</v>
      </c>
      <c r="G18" s="19"/>
      <c r="H18" s="19">
        <f>SUM(0)</f>
        <v>0</v>
      </c>
      <c r="I18" s="19"/>
      <c r="J18" s="31">
        <f>IF(H$12=0,0,H18/H$12)</f>
        <v>0</v>
      </c>
      <c r="K18" s="4"/>
      <c r="L18" s="19">
        <f>+D18-H18</f>
        <v>0</v>
      </c>
      <c r="M18" s="4"/>
      <c r="N18" s="31">
        <f>IF(H18=0,0,L18/H18)</f>
        <v>0</v>
      </c>
      <c r="O18" s="10"/>
      <c r="P18" s="19">
        <f>SUM(0)</f>
        <v>0</v>
      </c>
      <c r="Q18" s="19"/>
      <c r="R18" s="31">
        <f>IF(P$12=0,0,P18/P$12)</f>
        <v>0</v>
      </c>
      <c r="S18" s="19"/>
      <c r="T18" s="19">
        <f>SUM(0)</f>
        <v>0</v>
      </c>
      <c r="U18" s="19"/>
      <c r="V18" s="31">
        <f>IF(T$12=0,0,T18/T$12)</f>
        <v>0</v>
      </c>
      <c r="W18" s="4"/>
      <c r="X18" s="19">
        <f>+P18-T18</f>
        <v>0</v>
      </c>
      <c r="Y18" s="4"/>
      <c r="Z18" s="31">
        <f>IF(T18=0,0,X18/T18)</f>
        <v>0</v>
      </c>
    </row>
    <row r="19" spans="1:26" s="54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0</v>
      </c>
      <c r="C20" s="10"/>
      <c r="D20" s="4">
        <f>SUM(0)</f>
        <v>0</v>
      </c>
      <c r="E20" s="4"/>
      <c r="F20" s="11">
        <f>IF(D$12=0,0,D20/D$12)</f>
        <v>0</v>
      </c>
      <c r="G20" s="4"/>
      <c r="H20" s="4">
        <f>SUM(0)</f>
        <v>0</v>
      </c>
      <c r="I20" s="4"/>
      <c r="J20" s="11">
        <f>IF(H$12=0,0,H20/H$12)</f>
        <v>0</v>
      </c>
      <c r="K20" s="4"/>
      <c r="L20" s="4">
        <f>+D20-H20</f>
        <v>0</v>
      </c>
      <c r="M20" s="4"/>
      <c r="N20" s="11">
        <f>IF(H20=0,0,L20/H20)</f>
        <v>0</v>
      </c>
      <c r="O20" s="10"/>
      <c r="P20" s="4">
        <f>SUM(0)</f>
        <v>0</v>
      </c>
      <c r="Q20" s="4"/>
      <c r="R20" s="11">
        <f>IF(P$12=0,0,P20/P$12)</f>
        <v>0</v>
      </c>
      <c r="S20" s="4"/>
      <c r="T20" s="4">
        <f>SUM(0)</f>
        <v>0</v>
      </c>
      <c r="U20" s="4"/>
      <c r="V20" s="11">
        <f>IF(T$12=0,0,T20/T$12)</f>
        <v>0</v>
      </c>
      <c r="W20" s="4"/>
      <c r="X20" s="4">
        <f>+P20-T20</f>
        <v>0</v>
      </c>
      <c r="Y20" s="4"/>
      <c r="Z20" s="11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2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2" customFormat="1" x14ac:dyDescent="0.25">
      <c r="A24" s="52"/>
      <c r="B24" s="10" t="s">
        <v>14</v>
      </c>
      <c r="C24" s="10"/>
      <c r="D24" s="4"/>
      <c r="E24" s="4"/>
      <c r="F24" s="11">
        <f>IF(D$12=0,0,D24/D$12)</f>
        <v>0</v>
      </c>
      <c r="G24" s="4"/>
      <c r="H24" s="4">
        <v>0</v>
      </c>
      <c r="I24" s="4"/>
      <c r="J24" s="11">
        <f>IF(H$12=0,0,H24/H$12)</f>
        <v>0</v>
      </c>
      <c r="K24" s="4"/>
      <c r="L24" s="4">
        <f>+D24-H24</f>
        <v>0</v>
      </c>
      <c r="M24" s="4"/>
      <c r="N24" s="11">
        <f>IF(H24=0,0,L24/H24)</f>
        <v>0</v>
      </c>
      <c r="O24" s="10"/>
      <c r="P24" s="4"/>
      <c r="Q24" s="4"/>
      <c r="R24" s="11">
        <f>IF(P$12=0,0,P24/P$12)</f>
        <v>0</v>
      </c>
      <c r="S24" s="4"/>
      <c r="T24" s="4">
        <v>0</v>
      </c>
      <c r="U24" s="4"/>
      <c r="V24" s="11">
        <f>IF(T$12=0,0,T24/T$12)</f>
        <v>0</v>
      </c>
      <c r="W24" s="4"/>
      <c r="X24" s="4">
        <f>+P24-T24</f>
        <v>0</v>
      </c>
      <c r="Y24" s="4"/>
      <c r="Z24" s="11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2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0">
        <f>IF(D$12=0,0,D26/D$12)</f>
        <v>0</v>
      </c>
      <c r="G26" s="13"/>
      <c r="H26" s="34">
        <f>+H22-H24</f>
        <v>0</v>
      </c>
      <c r="I26" s="13"/>
      <c r="J26" s="30">
        <f>IF(H$12=0,0,H26/H$12)</f>
        <v>0</v>
      </c>
      <c r="K26" s="15"/>
      <c r="L26" s="34">
        <f>D26-H26</f>
        <v>0</v>
      </c>
      <c r="M26" s="15"/>
      <c r="N26" s="30">
        <f>IF(H26=0,0,L26/H26)</f>
        <v>0</v>
      </c>
      <c r="O26" s="26"/>
      <c r="P26" s="34">
        <f>+P22-P24</f>
        <v>0</v>
      </c>
      <c r="Q26" s="13"/>
      <c r="R26" s="30">
        <f>IF(P$12=0,0,P26/P$12)</f>
        <v>0</v>
      </c>
      <c r="S26" s="13"/>
      <c r="T26" s="34">
        <f>+T22-T24</f>
        <v>0</v>
      </c>
      <c r="U26" s="13"/>
      <c r="V26" s="30">
        <f>IF(T$12=0,0,T26/T$12)</f>
        <v>0</v>
      </c>
      <c r="W26" s="15"/>
      <c r="X26" s="34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2" customFormat="1" x14ac:dyDescent="0.25">
      <c r="A28" s="52"/>
      <c r="B28" s="10" t="s">
        <v>2</v>
      </c>
      <c r="C28" s="10"/>
      <c r="D28" s="4">
        <f>--463883.16</f>
        <v>463883.16</v>
      </c>
      <c r="E28" s="4"/>
      <c r="F28" s="11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1">
        <f t="shared" ref="J28:J29" si="2">IF(H$12=0,0,H28/H$12)</f>
        <v>0</v>
      </c>
      <c r="K28" s="4"/>
      <c r="L28" s="4">
        <f t="shared" ref="L28:L29" si="3">+D28-H28</f>
        <v>448883.16</v>
      </c>
      <c r="M28" s="4"/>
      <c r="N28" s="11">
        <f t="shared" ref="N28:N29" si="4">IF(H28=0,0,L28/H28)</f>
        <v>29.925543999999999</v>
      </c>
      <c r="O28" s="10"/>
      <c r="P28" s="4">
        <f>--463883.16</f>
        <v>463883.16</v>
      </c>
      <c r="Q28" s="4"/>
      <c r="R28" s="11">
        <f t="shared" ref="R28:R29" si="5">IF(P$12=0,0,P28/P$12)</f>
        <v>0</v>
      </c>
      <c r="S28" s="4"/>
      <c r="T28" s="4">
        <f t="shared" ref="T28:T29" si="6">--15000</f>
        <v>15000</v>
      </c>
      <c r="U28" s="4"/>
      <c r="V28" s="11">
        <f t="shared" ref="V28:V29" si="7">IF(T$12=0,0,T28/T$12)</f>
        <v>0</v>
      </c>
      <c r="W28" s="4"/>
      <c r="X28" s="4">
        <f t="shared" ref="X28:X29" si="8">+P28-T28</f>
        <v>448883.16</v>
      </c>
      <c r="Y28" s="4"/>
      <c r="Z28" s="11">
        <f t="shared" ref="Z28:Z29" si="9">IF(T28=0,0,X28/T28)</f>
        <v>29.925543999999999</v>
      </c>
    </row>
    <row r="29" spans="1:26" s="22" customFormat="1" x14ac:dyDescent="0.25">
      <c r="A29" s="52"/>
      <c r="B29" s="10" t="s">
        <v>1</v>
      </c>
      <c r="C29" s="10"/>
      <c r="D29" s="4">
        <f>-81628.27</f>
        <v>-81628.27</v>
      </c>
      <c r="E29" s="4"/>
      <c r="F29" s="11">
        <f t="shared" si="0"/>
        <v>0</v>
      </c>
      <c r="G29" s="4"/>
      <c r="H29" s="4">
        <f t="shared" si="1"/>
        <v>15000</v>
      </c>
      <c r="I29" s="4"/>
      <c r="J29" s="11">
        <f t="shared" si="2"/>
        <v>0</v>
      </c>
      <c r="K29" s="4"/>
      <c r="L29" s="4">
        <f t="shared" si="3"/>
        <v>-96628.27</v>
      </c>
      <c r="M29" s="4"/>
      <c r="N29" s="11">
        <f t="shared" si="4"/>
        <v>-6.4418846666666667</v>
      </c>
      <c r="O29" s="10"/>
      <c r="P29" s="4">
        <f>-81628.27</f>
        <v>-81628.27</v>
      </c>
      <c r="Q29" s="4"/>
      <c r="R29" s="11">
        <f t="shared" si="5"/>
        <v>0</v>
      </c>
      <c r="S29" s="4"/>
      <c r="T29" s="4">
        <f t="shared" si="6"/>
        <v>15000</v>
      </c>
      <c r="U29" s="4"/>
      <c r="V29" s="11">
        <f t="shared" si="7"/>
        <v>0</v>
      </c>
      <c r="W29" s="4"/>
      <c r="X29" s="4">
        <f t="shared" si="8"/>
        <v>-96628.27</v>
      </c>
      <c r="Y29" s="4"/>
      <c r="Z29" s="11">
        <f t="shared" si="9"/>
        <v>-6.4418846666666667</v>
      </c>
    </row>
    <row r="30" spans="1:26" x14ac:dyDescent="0.25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5</v>
      </c>
      <c r="C31" s="25"/>
      <c r="D31" s="32">
        <f>SUM(D26:D30)</f>
        <v>382254.88999999996</v>
      </c>
      <c r="E31" s="13"/>
      <c r="F31" s="33">
        <f>IF(D$12=0,0,D31/D$12)</f>
        <v>0</v>
      </c>
      <c r="G31" s="13"/>
      <c r="H31" s="32">
        <f>SUM(H26:H30)</f>
        <v>30000</v>
      </c>
      <c r="I31" s="13"/>
      <c r="J31" s="33">
        <f>IF(H$12=0,0,H31/H$12)</f>
        <v>0</v>
      </c>
      <c r="K31" s="15"/>
      <c r="L31" s="32">
        <f>+D31-H31</f>
        <v>352254.88999999996</v>
      </c>
      <c r="M31" s="15"/>
      <c r="N31" s="33">
        <f>IF(H31=0,0,L31/H31)</f>
        <v>11.741829666666666</v>
      </c>
      <c r="O31" s="26"/>
      <c r="P31" s="32">
        <f>SUM(P26:P30)</f>
        <v>382254.88999999996</v>
      </c>
      <c r="Q31" s="13"/>
      <c r="R31" s="33">
        <f>IF(P$12=0,0,P31/P$12)</f>
        <v>0</v>
      </c>
      <c r="S31" s="13"/>
      <c r="T31" s="32">
        <f>SUM(T26:T30)</f>
        <v>30000</v>
      </c>
      <c r="U31" s="13"/>
      <c r="V31" s="33">
        <f>IF(T$12=0,0,T31/T$12)</f>
        <v>0</v>
      </c>
      <c r="W31" s="15"/>
      <c r="X31" s="32">
        <f>+P31-T31</f>
        <v>352254.88999999996</v>
      </c>
      <c r="Y31" s="15"/>
      <c r="Z31" s="33">
        <f>IF(T31=0,0,X31/T31)</f>
        <v>11.741829666666666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8">
        <v>44104.685683946758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6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297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3" si="0">+D12-H12</f>
        <v>0</v>
      </c>
      <c r="M12" s="4"/>
      <c r="N12" s="11">
        <f t="shared" ref="N12:N13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3" si="2">+P12-T12</f>
        <v>0</v>
      </c>
      <c r="Y12" s="4"/>
      <c r="Z12" s="11">
        <f t="shared" ref="Z12:Z13" si="3">IF(T12=0,0,X12/T12)</f>
        <v>0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x14ac:dyDescent="0.25">
      <c r="A15" s="10"/>
      <c r="B15" s="26" t="s">
        <v>8</v>
      </c>
      <c r="C15" s="10"/>
      <c r="D15" s="4">
        <f>SUM(0)</f>
        <v>0</v>
      </c>
      <c r="E15" s="4"/>
      <c r="F15" s="11">
        <f>IF(D$12=0,0,D15/D$12)</f>
        <v>0</v>
      </c>
      <c r="G15" s="4"/>
      <c r="H15" s="4">
        <f>SUM(0)</f>
        <v>0</v>
      </c>
      <c r="I15" s="4"/>
      <c r="J15" s="11">
        <f>IF(H$12=0,0,H15/H$12)</f>
        <v>0</v>
      </c>
      <c r="K15" s="4"/>
      <c r="L15" s="4">
        <f>+D15-H15</f>
        <v>0</v>
      </c>
      <c r="M15" s="4"/>
      <c r="N15" s="11">
        <f>IF(H15=0,0,L15/H15)</f>
        <v>0</v>
      </c>
      <c r="O15" s="10"/>
      <c r="P15" s="4">
        <f>SUM(0)</f>
        <v>0</v>
      </c>
      <c r="Q15" s="4"/>
      <c r="R15" s="11">
        <f>IF(P$12=0,0,P15/P$12)</f>
        <v>0</v>
      </c>
      <c r="S15" s="4"/>
      <c r="T15" s="4">
        <f>SUM(0)</f>
        <v>0</v>
      </c>
      <c r="U15" s="4"/>
      <c r="V15" s="11">
        <f>IF(T$12=0,0,T15/T$12)</f>
        <v>0</v>
      </c>
      <c r="W15" s="4"/>
      <c r="X15" s="4">
        <f>+P15-T15</f>
        <v>0</v>
      </c>
      <c r="Y15" s="4"/>
      <c r="Z15" s="11">
        <f>IF(T15=0,0,X15/T15)</f>
        <v>0</v>
      </c>
    </row>
    <row r="16" spans="1:26" x14ac:dyDescent="0.25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x14ac:dyDescent="0.25">
      <c r="A17" s="10"/>
      <c r="B17" s="25" t="s">
        <v>6</v>
      </c>
      <c r="C17" s="25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5"/>
      <c r="L17" s="21">
        <f>+D17-H17</f>
        <v>0</v>
      </c>
      <c r="M17" s="15"/>
      <c r="N17" s="20">
        <f>IF(H17=0,0,L17/H17)</f>
        <v>0</v>
      </c>
      <c r="O17" s="26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5"/>
      <c r="X17" s="21">
        <f>+P17-T17</f>
        <v>0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6" t="s">
        <v>9</v>
      </c>
      <c r="C19" s="10"/>
      <c r="D19" s="19">
        <f>SUM(OSRRefD22x_0)</f>
        <v>234703.24000000005</v>
      </c>
      <c r="E19" s="19"/>
      <c r="F19" s="31">
        <f t="shared" ref="F19:F31" si="4">IF(D$12=0,0,D19/D$12)</f>
        <v>0</v>
      </c>
      <c r="G19" s="19"/>
      <c r="H19" s="19">
        <f>SUM(OSRRefH22x_0)</f>
        <v>321960.53394230781</v>
      </c>
      <c r="I19" s="19"/>
      <c r="J19" s="31">
        <f t="shared" ref="J19:J31" si="5">IF(H$12=0,0,H19/H$12)</f>
        <v>0</v>
      </c>
      <c r="K19" s="4"/>
      <c r="L19" s="19">
        <f t="shared" ref="L19:L31" si="6">+D19-H19</f>
        <v>-87257.293942307762</v>
      </c>
      <c r="M19" s="4"/>
      <c r="N19" s="31">
        <f t="shared" ref="N19:N31" si="7">IF(H19=0,0,L19/H19)</f>
        <v>-0.27101860241647946</v>
      </c>
      <c r="O19" s="10"/>
      <c r="P19" s="19">
        <f>SUM(OSRRefP22x_0)</f>
        <v>234703.24000000005</v>
      </c>
      <c r="Q19" s="19"/>
      <c r="R19" s="31">
        <f t="shared" ref="R19:R31" si="8">IF(P$12=0,0,P19/P$12)</f>
        <v>0</v>
      </c>
      <c r="S19" s="19"/>
      <c r="T19" s="19">
        <f>SUM(OSRRefT22x_0)</f>
        <v>321960.53394230781</v>
      </c>
      <c r="U19" s="19"/>
      <c r="V19" s="31">
        <f t="shared" ref="V19:V31" si="9">IF(T$12=0,0,T19/T$12)</f>
        <v>0</v>
      </c>
      <c r="W19" s="4"/>
      <c r="X19" s="19">
        <f t="shared" ref="X19:X31" si="10">+P19-T19</f>
        <v>-87257.293942307762</v>
      </c>
      <c r="Y19" s="4"/>
      <c r="Z19" s="31">
        <f t="shared" ref="Z19:Z31" si="11">IF(T19=0,0,X19/T19)</f>
        <v>-0.27101860241647946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84138.92</v>
      </c>
      <c r="E20" s="1"/>
      <c r="F20" s="5">
        <f t="shared" si="4"/>
        <v>0</v>
      </c>
      <c r="G20" s="1"/>
      <c r="H20" s="1">
        <f>SUM(OSRRefH22_0x_0)</f>
        <v>86388.764711538475</v>
      </c>
      <c r="I20" s="1"/>
      <c r="J20" s="5">
        <f t="shared" si="5"/>
        <v>0</v>
      </c>
      <c r="K20" s="1"/>
      <c r="L20" s="1">
        <f t="shared" si="6"/>
        <v>-2249.844711538477</v>
      </c>
      <c r="M20" s="1"/>
      <c r="N20" s="5">
        <f t="shared" si="7"/>
        <v>-2.6043255961014772E-2</v>
      </c>
      <c r="O20" s="14"/>
      <c r="P20" s="1">
        <f>SUM(OSRRefP22_0x_0)</f>
        <v>84138.92</v>
      </c>
      <c r="Q20" s="1"/>
      <c r="R20" s="5">
        <f t="shared" si="8"/>
        <v>0</v>
      </c>
      <c r="S20" s="1"/>
      <c r="T20" s="1">
        <f>SUM(OSRRefT22_0x_0)</f>
        <v>86388.764711538475</v>
      </c>
      <c r="U20" s="1"/>
      <c r="V20" s="5">
        <f t="shared" si="9"/>
        <v>0</v>
      </c>
      <c r="W20" s="1"/>
      <c r="X20" s="1">
        <f t="shared" si="10"/>
        <v>-2249.844711538477</v>
      </c>
      <c r="Y20" s="1"/>
      <c r="Z20" s="5">
        <f t="shared" si="11"/>
        <v>-2.6043255961014772E-2</v>
      </c>
    </row>
    <row r="21" spans="1:26" s="24" customFormat="1" hidden="1" outlineLevel="2" x14ac:dyDescent="0.25">
      <c r="A21" s="27"/>
      <c r="B21" s="12" t="str">
        <f>CONCATENATE("          ", "6111", " - ", "F.I.C.A.")</f>
        <v xml:space="preserve">          6111 - F.I.C.A.</v>
      </c>
      <c r="C21" s="12"/>
      <c r="D21" s="7">
        <v>7398.29</v>
      </c>
      <c r="E21" s="3"/>
      <c r="F21" s="8">
        <f t="shared" si="4"/>
        <v>0</v>
      </c>
      <c r="G21" s="3"/>
      <c r="H21" s="7">
        <v>9113.1040961538511</v>
      </c>
      <c r="I21" s="3"/>
      <c r="J21" s="8">
        <f t="shared" si="5"/>
        <v>0</v>
      </c>
      <c r="K21" s="3"/>
      <c r="L21" s="7">
        <f t="shared" si="6"/>
        <v>-1714.8140961538511</v>
      </c>
      <c r="M21" s="3"/>
      <c r="N21" s="8">
        <f t="shared" si="7"/>
        <v>-0.18817014247402061</v>
      </c>
      <c r="O21" s="12"/>
      <c r="P21" s="7">
        <v>7398.29</v>
      </c>
      <c r="Q21" s="3"/>
      <c r="R21" s="8">
        <f t="shared" si="8"/>
        <v>0</v>
      </c>
      <c r="S21" s="3"/>
      <c r="T21" s="7">
        <v>9113.1040961538511</v>
      </c>
      <c r="U21" s="3"/>
      <c r="V21" s="8">
        <f t="shared" si="9"/>
        <v>0</v>
      </c>
      <c r="W21" s="3"/>
      <c r="X21" s="7">
        <f t="shared" si="10"/>
        <v>-1714.8140961538511</v>
      </c>
      <c r="Y21" s="3"/>
      <c r="Z21" s="8">
        <f t="shared" si="11"/>
        <v>-0.18817014247402061</v>
      </c>
    </row>
    <row r="22" spans="1:26" s="24" customFormat="1" hidden="1" outlineLevel="2" x14ac:dyDescent="0.25">
      <c r="A22" s="27"/>
      <c r="B22" s="12" t="str">
        <f>CONCATENATE("          ", "6112", " - ", "COMPENSATION INSURANCE")</f>
        <v xml:space="preserve">          6112 - COMPENSATION INSURANCE</v>
      </c>
      <c r="C22" s="12"/>
      <c r="D22" s="7">
        <v>597.22</v>
      </c>
      <c r="E22" s="3"/>
      <c r="F22" s="8">
        <f t="shared" si="4"/>
        <v>0</v>
      </c>
      <c r="G22" s="3"/>
      <c r="H22" s="7">
        <v>771.5196923076918</v>
      </c>
      <c r="I22" s="3"/>
      <c r="J22" s="8">
        <f t="shared" si="5"/>
        <v>0</v>
      </c>
      <c r="K22" s="3"/>
      <c r="L22" s="7">
        <f t="shared" si="6"/>
        <v>-174.29969230769177</v>
      </c>
      <c r="M22" s="3"/>
      <c r="N22" s="8">
        <f t="shared" si="7"/>
        <v>-0.22591736030268278</v>
      </c>
      <c r="O22" s="12"/>
      <c r="P22" s="7">
        <v>597.22</v>
      </c>
      <c r="Q22" s="3"/>
      <c r="R22" s="8">
        <f t="shared" si="8"/>
        <v>0</v>
      </c>
      <c r="S22" s="3"/>
      <c r="T22" s="7">
        <v>771.5196923076918</v>
      </c>
      <c r="U22" s="3"/>
      <c r="V22" s="8">
        <f t="shared" si="9"/>
        <v>0</v>
      </c>
      <c r="W22" s="3"/>
      <c r="X22" s="7">
        <f t="shared" si="10"/>
        <v>-174.29969230769177</v>
      </c>
      <c r="Y22" s="3"/>
      <c r="Z22" s="8">
        <f t="shared" si="11"/>
        <v>-0.22591736030268278</v>
      </c>
    </row>
    <row r="23" spans="1:26" s="24" customFormat="1" hidden="1" outlineLevel="2" x14ac:dyDescent="0.25">
      <c r="A23" s="27"/>
      <c r="B23" s="12" t="str">
        <f>CONCATENATE("          ", "6113", " - ", "GROUP INSURANCE")</f>
        <v xml:space="preserve">          6113 - GROUP INSURANCE</v>
      </c>
      <c r="C23" s="12"/>
      <c r="D23" s="7">
        <v>22589.05</v>
      </c>
      <c r="E23" s="3"/>
      <c r="F23" s="8">
        <f t="shared" si="4"/>
        <v>0</v>
      </c>
      <c r="G23" s="3"/>
      <c r="H23" s="7">
        <v>24070.769230769234</v>
      </c>
      <c r="I23" s="3"/>
      <c r="J23" s="8">
        <f t="shared" si="5"/>
        <v>0</v>
      </c>
      <c r="K23" s="3"/>
      <c r="L23" s="7">
        <f t="shared" si="6"/>
        <v>-1481.7192307692349</v>
      </c>
      <c r="M23" s="3"/>
      <c r="N23" s="8">
        <f t="shared" si="7"/>
        <v>-6.1556787677361786E-2</v>
      </c>
      <c r="O23" s="12"/>
      <c r="P23" s="7">
        <v>22589.05</v>
      </c>
      <c r="Q23" s="3"/>
      <c r="R23" s="8">
        <f t="shared" si="8"/>
        <v>0</v>
      </c>
      <c r="S23" s="3"/>
      <c r="T23" s="7">
        <v>24070.769230769234</v>
      </c>
      <c r="U23" s="3"/>
      <c r="V23" s="8">
        <f t="shared" si="9"/>
        <v>0</v>
      </c>
      <c r="W23" s="3"/>
      <c r="X23" s="7">
        <f t="shared" si="10"/>
        <v>-1481.7192307692349</v>
      </c>
      <c r="Y23" s="3"/>
      <c r="Z23" s="8">
        <f t="shared" si="11"/>
        <v>-6.1556787677361786E-2</v>
      </c>
    </row>
    <row r="24" spans="1:26" s="24" customFormat="1" hidden="1" outlineLevel="2" x14ac:dyDescent="0.25">
      <c r="A24" s="27"/>
      <c r="B24" s="12" t="str">
        <f>CONCATENATE("          ", "6114", " - ", "STATE UNEMPLOYMENT INSURANCE")</f>
        <v xml:space="preserve">          6114 - STATE UNEMPLOYMENT INSURANCE</v>
      </c>
      <c r="C24" s="12"/>
      <c r="D24" s="7">
        <v>253.99</v>
      </c>
      <c r="E24" s="3"/>
      <c r="F24" s="8">
        <f t="shared" si="4"/>
        <v>0</v>
      </c>
      <c r="G24" s="3"/>
      <c r="H24" s="7">
        <v>334.86399999999998</v>
      </c>
      <c r="I24" s="3"/>
      <c r="J24" s="8">
        <f t="shared" si="5"/>
        <v>0</v>
      </c>
      <c r="K24" s="3"/>
      <c r="L24" s="7">
        <f t="shared" si="6"/>
        <v>-80.873999999999967</v>
      </c>
      <c r="M24" s="3"/>
      <c r="N24" s="8">
        <f t="shared" si="7"/>
        <v>-0.2415129724305986</v>
      </c>
      <c r="O24" s="12"/>
      <c r="P24" s="7">
        <v>253.99</v>
      </c>
      <c r="Q24" s="3"/>
      <c r="R24" s="8">
        <f t="shared" si="8"/>
        <v>0</v>
      </c>
      <c r="S24" s="3"/>
      <c r="T24" s="7">
        <v>334.86399999999998</v>
      </c>
      <c r="U24" s="3"/>
      <c r="V24" s="8">
        <f t="shared" si="9"/>
        <v>0</v>
      </c>
      <c r="W24" s="3"/>
      <c r="X24" s="7">
        <f t="shared" si="10"/>
        <v>-80.873999999999967</v>
      </c>
      <c r="Y24" s="3"/>
      <c r="Z24" s="8">
        <f t="shared" si="11"/>
        <v>-0.2415129724305986</v>
      </c>
    </row>
    <row r="25" spans="1:26" s="24" customFormat="1" hidden="1" outlineLevel="2" x14ac:dyDescent="0.25">
      <c r="A25" s="27"/>
      <c r="B25" s="12" t="str">
        <f>CONCATENATE("          ", "6115", " - ", "P.E.R.S.")</f>
        <v xml:space="preserve">          6115 - P.E.R.S.</v>
      </c>
      <c r="C25" s="12"/>
      <c r="D25" s="7">
        <v>11165.64</v>
      </c>
      <c r="E25" s="3"/>
      <c r="F25" s="8">
        <f t="shared" si="4"/>
        <v>0</v>
      </c>
      <c r="G25" s="3"/>
      <c r="H25" s="7">
        <v>7269.4807692307804</v>
      </c>
      <c r="I25" s="3"/>
      <c r="J25" s="8">
        <f t="shared" si="5"/>
        <v>0</v>
      </c>
      <c r="K25" s="3"/>
      <c r="L25" s="7">
        <f t="shared" si="6"/>
        <v>3896.159230769219</v>
      </c>
      <c r="M25" s="3"/>
      <c r="N25" s="8">
        <f t="shared" si="7"/>
        <v>0.5359611441934512</v>
      </c>
      <c r="O25" s="12"/>
      <c r="P25" s="7">
        <v>11165.64</v>
      </c>
      <c r="Q25" s="3"/>
      <c r="R25" s="8">
        <f t="shared" si="8"/>
        <v>0</v>
      </c>
      <c r="S25" s="3"/>
      <c r="T25" s="7">
        <v>7269.4807692307804</v>
      </c>
      <c r="U25" s="3"/>
      <c r="V25" s="8">
        <f t="shared" si="9"/>
        <v>0</v>
      </c>
      <c r="W25" s="3"/>
      <c r="X25" s="7">
        <f t="shared" si="10"/>
        <v>3896.159230769219</v>
      </c>
      <c r="Y25" s="3"/>
      <c r="Z25" s="8">
        <f t="shared" si="11"/>
        <v>0.5359611441934512</v>
      </c>
    </row>
    <row r="26" spans="1:26" s="24" customFormat="1" hidden="1" outlineLevel="2" x14ac:dyDescent="0.25">
      <c r="A26" s="27"/>
      <c r="B26" s="12" t="str">
        <f>CONCATENATE("          ", "6116", " - ", "EDUCATIONAL BENEFITS")</f>
        <v xml:space="preserve">          6116 - EDUCATIONAL BENEFITS</v>
      </c>
      <c r="C26" s="12"/>
      <c r="D26" s="7"/>
      <c r="E26" s="3"/>
      <c r="F26" s="8">
        <f t="shared" si="4"/>
        <v>0</v>
      </c>
      <c r="G26" s="3"/>
      <c r="H26" s="7">
        <v>300</v>
      </c>
      <c r="I26" s="3"/>
      <c r="J26" s="8">
        <f t="shared" si="5"/>
        <v>0</v>
      </c>
      <c r="K26" s="3"/>
      <c r="L26" s="7">
        <f t="shared" si="6"/>
        <v>-300</v>
      </c>
      <c r="M26" s="3"/>
      <c r="N26" s="8">
        <f t="shared" si="7"/>
        <v>-1</v>
      </c>
      <c r="O26" s="12"/>
      <c r="P26" s="7"/>
      <c r="Q26" s="3"/>
      <c r="R26" s="8">
        <f t="shared" si="8"/>
        <v>0</v>
      </c>
      <c r="S26" s="3"/>
      <c r="T26" s="7">
        <v>300</v>
      </c>
      <c r="U26" s="3"/>
      <c r="V26" s="8">
        <f t="shared" si="9"/>
        <v>0</v>
      </c>
      <c r="W26" s="3"/>
      <c r="X26" s="7">
        <f t="shared" si="10"/>
        <v>-300</v>
      </c>
      <c r="Y26" s="3"/>
      <c r="Z26" s="8">
        <f t="shared" si="11"/>
        <v>-1</v>
      </c>
    </row>
    <row r="27" spans="1:26" s="24" customFormat="1" hidden="1" outlineLevel="2" x14ac:dyDescent="0.25">
      <c r="A27" s="27"/>
      <c r="B27" s="12" t="str">
        <f>CONCATENATE("          ", "6117", " - ", "RETIREMENT STAFF HOURLY")</f>
        <v xml:space="preserve">          6117 - RETIREMENT STAFF HOURLY</v>
      </c>
      <c r="C27" s="12"/>
      <c r="D27" s="7">
        <v>1080.74</v>
      </c>
      <c r="E27" s="3"/>
      <c r="F27" s="8">
        <f t="shared" si="4"/>
        <v>0</v>
      </c>
      <c r="G27" s="3"/>
      <c r="H27" s="7"/>
      <c r="I27" s="3"/>
      <c r="J27" s="8">
        <f t="shared" si="5"/>
        <v>0</v>
      </c>
      <c r="K27" s="3"/>
      <c r="L27" s="7">
        <f t="shared" si="6"/>
        <v>1080.74</v>
      </c>
      <c r="M27" s="3"/>
      <c r="N27" s="8">
        <f t="shared" si="7"/>
        <v>0</v>
      </c>
      <c r="O27" s="12"/>
      <c r="P27" s="7">
        <v>1080.74</v>
      </c>
      <c r="Q27" s="3"/>
      <c r="R27" s="8">
        <f t="shared" si="8"/>
        <v>0</v>
      </c>
      <c r="S27" s="3"/>
      <c r="T27" s="7"/>
      <c r="U27" s="3"/>
      <c r="V27" s="8">
        <f t="shared" si="9"/>
        <v>0</v>
      </c>
      <c r="W27" s="3"/>
      <c r="X27" s="7">
        <f t="shared" si="10"/>
        <v>1080.74</v>
      </c>
      <c r="Y27" s="3"/>
      <c r="Z27" s="8">
        <f t="shared" si="11"/>
        <v>0</v>
      </c>
    </row>
    <row r="28" spans="1:26" s="24" customFormat="1" hidden="1" outlineLevel="2" x14ac:dyDescent="0.25">
      <c r="A28" s="27"/>
      <c r="B28" s="12" t="str">
        <f>CONCATENATE("          ", "6118", " - ", "VACATION")</f>
        <v xml:space="preserve">          6118 - VACATION</v>
      </c>
      <c r="C28" s="12"/>
      <c r="D28" s="7">
        <v>6023.54</v>
      </c>
      <c r="E28" s="3"/>
      <c r="F28" s="8">
        <f t="shared" si="4"/>
        <v>0</v>
      </c>
      <c r="G28" s="3"/>
      <c r="H28" s="7">
        <v>5891.4423076923094</v>
      </c>
      <c r="I28" s="3"/>
      <c r="J28" s="8">
        <f t="shared" si="5"/>
        <v>0</v>
      </c>
      <c r="K28" s="3"/>
      <c r="L28" s="7">
        <f t="shared" si="6"/>
        <v>132.09769230769052</v>
      </c>
      <c r="M28" s="3"/>
      <c r="N28" s="8">
        <f t="shared" si="7"/>
        <v>2.2421961449951542E-2</v>
      </c>
      <c r="O28" s="12"/>
      <c r="P28" s="7">
        <v>6023.54</v>
      </c>
      <c r="Q28" s="3"/>
      <c r="R28" s="8">
        <f t="shared" si="8"/>
        <v>0</v>
      </c>
      <c r="S28" s="3"/>
      <c r="T28" s="7">
        <v>5891.4423076923094</v>
      </c>
      <c r="U28" s="3"/>
      <c r="V28" s="8">
        <f t="shared" si="9"/>
        <v>0</v>
      </c>
      <c r="W28" s="3"/>
      <c r="X28" s="7">
        <f t="shared" si="10"/>
        <v>132.09769230769052</v>
      </c>
      <c r="Y28" s="3"/>
      <c r="Z28" s="8">
        <f t="shared" si="11"/>
        <v>2.2421961449951542E-2</v>
      </c>
    </row>
    <row r="29" spans="1:26" s="24" customFormat="1" hidden="1" outlineLevel="2" x14ac:dyDescent="0.25">
      <c r="A29" s="27"/>
      <c r="B29" s="12" t="str">
        <f>CONCATENATE("          ", "6119", " - ", "SICK LEAVE")</f>
        <v xml:space="preserve">          6119 - SICK LEAVE</v>
      </c>
      <c r="C29" s="12"/>
      <c r="D29" s="7">
        <v>4158.5</v>
      </c>
      <c r="E29" s="3"/>
      <c r="F29" s="8">
        <f t="shared" si="4"/>
        <v>0</v>
      </c>
      <c r="G29" s="3"/>
      <c r="H29" s="7">
        <v>4827.5846153846142</v>
      </c>
      <c r="I29" s="3"/>
      <c r="J29" s="8">
        <f t="shared" si="5"/>
        <v>0</v>
      </c>
      <c r="K29" s="3"/>
      <c r="L29" s="7">
        <f t="shared" si="6"/>
        <v>-669.08461538461415</v>
      </c>
      <c r="M29" s="3"/>
      <c r="N29" s="8">
        <f t="shared" si="7"/>
        <v>-0.13859614459213537</v>
      </c>
      <c r="O29" s="12"/>
      <c r="P29" s="7">
        <v>4158.5</v>
      </c>
      <c r="Q29" s="3"/>
      <c r="R29" s="8">
        <f t="shared" si="8"/>
        <v>0</v>
      </c>
      <c r="S29" s="3"/>
      <c r="T29" s="7">
        <v>4827.5846153846142</v>
      </c>
      <c r="U29" s="3"/>
      <c r="V29" s="8">
        <f t="shared" si="9"/>
        <v>0</v>
      </c>
      <c r="W29" s="3"/>
      <c r="X29" s="7">
        <f t="shared" si="10"/>
        <v>-669.08461538461415</v>
      </c>
      <c r="Y29" s="3"/>
      <c r="Z29" s="8">
        <f t="shared" si="11"/>
        <v>-0.13859614459213537</v>
      </c>
    </row>
    <row r="30" spans="1:26" s="24" customFormat="1" hidden="1" outlineLevel="2" x14ac:dyDescent="0.25">
      <c r="A30" s="27"/>
      <c r="B30" s="12" t="str">
        <f>CONCATENATE("          ", "6120", " - ", "RETIREES HEALTH INSURANCE")</f>
        <v xml:space="preserve">          6120 - RETIREES HEALTH INSURANCE</v>
      </c>
      <c r="C30" s="12"/>
      <c r="D30" s="7">
        <v>30249.09</v>
      </c>
      <c r="E30" s="3"/>
      <c r="F30" s="8">
        <f t="shared" si="4"/>
        <v>0</v>
      </c>
      <c r="G30" s="3"/>
      <c r="H30" s="7">
        <v>32000</v>
      </c>
      <c r="I30" s="3"/>
      <c r="J30" s="8">
        <f t="shared" si="5"/>
        <v>0</v>
      </c>
      <c r="K30" s="3"/>
      <c r="L30" s="7">
        <f t="shared" si="6"/>
        <v>-1750.9099999999999</v>
      </c>
      <c r="M30" s="3"/>
      <c r="N30" s="8">
        <f t="shared" si="7"/>
        <v>-5.4715937499999992E-2</v>
      </c>
      <c r="O30" s="12"/>
      <c r="P30" s="7">
        <v>30249.09</v>
      </c>
      <c r="Q30" s="3"/>
      <c r="R30" s="8">
        <f t="shared" si="8"/>
        <v>0</v>
      </c>
      <c r="S30" s="3"/>
      <c r="T30" s="7">
        <v>32000</v>
      </c>
      <c r="U30" s="3"/>
      <c r="V30" s="8">
        <f t="shared" si="9"/>
        <v>0</v>
      </c>
      <c r="W30" s="3"/>
      <c r="X30" s="7">
        <f t="shared" si="10"/>
        <v>-1750.9099999999999</v>
      </c>
      <c r="Y30" s="3"/>
      <c r="Z30" s="8">
        <f t="shared" si="11"/>
        <v>-5.4715937499999992E-2</v>
      </c>
    </row>
    <row r="31" spans="1:26" s="24" customFormat="1" hidden="1" outlineLevel="2" x14ac:dyDescent="0.25">
      <c r="A31" s="27"/>
      <c r="B31" s="12" t="str">
        <f>CONCATENATE("          ", "6156", " - ", "EMPLOYEE MEALS")</f>
        <v xml:space="preserve">          6156 - EMPLOYEE MEALS</v>
      </c>
      <c r="C31" s="12"/>
      <c r="D31" s="7">
        <v>622.86</v>
      </c>
      <c r="E31" s="3"/>
      <c r="F31" s="8">
        <f t="shared" si="4"/>
        <v>0</v>
      </c>
      <c r="G31" s="3"/>
      <c r="H31" s="7">
        <v>1810</v>
      </c>
      <c r="I31" s="3"/>
      <c r="J31" s="8">
        <f t="shared" si="5"/>
        <v>0</v>
      </c>
      <c r="K31" s="3"/>
      <c r="L31" s="7">
        <f t="shared" si="6"/>
        <v>-1187.1399999999999</v>
      </c>
      <c r="M31" s="3"/>
      <c r="N31" s="8">
        <f t="shared" si="7"/>
        <v>-0.65587845303867398</v>
      </c>
      <c r="O31" s="12"/>
      <c r="P31" s="7">
        <v>622.86</v>
      </c>
      <c r="Q31" s="3"/>
      <c r="R31" s="8">
        <f t="shared" si="8"/>
        <v>0</v>
      </c>
      <c r="S31" s="3"/>
      <c r="T31" s="7">
        <v>1810</v>
      </c>
      <c r="U31" s="3"/>
      <c r="V31" s="8">
        <f t="shared" si="9"/>
        <v>0</v>
      </c>
      <c r="W31" s="3"/>
      <c r="X31" s="7">
        <f t="shared" si="10"/>
        <v>-1187.1399999999999</v>
      </c>
      <c r="Y31" s="3"/>
      <c r="Z31" s="8">
        <f t="shared" si="11"/>
        <v>-0.65587845303867398</v>
      </c>
    </row>
    <row r="32" spans="1:26" s="29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114306.91</v>
      </c>
      <c r="E32" s="1"/>
      <c r="F32" s="5">
        <f t="shared" ref="F32:F42" si="12">IF(D$12=0,0,D32/D$12)</f>
        <v>0</v>
      </c>
      <c r="G32" s="1"/>
      <c r="H32" s="1">
        <f>SUM(OSRRefH22_1x_0)</f>
        <v>118643.76923076931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-4336.8592307693034</v>
      </c>
      <c r="M32" s="1"/>
      <c r="N32" s="5">
        <f t="shared" ref="N32:N42" si="15">IF(H32=0,0,L32/H32)</f>
        <v>-3.6553619788780058E-2</v>
      </c>
      <c r="O32" s="14"/>
      <c r="P32" s="1">
        <f>SUM(OSRRefP22_1x_0)</f>
        <v>114306.91</v>
      </c>
      <c r="Q32" s="1"/>
      <c r="R32" s="5">
        <f t="shared" ref="R32:R42" si="16">IF(P$12=0,0,P32/P$12)</f>
        <v>0</v>
      </c>
      <c r="S32" s="1"/>
      <c r="T32" s="1">
        <f>SUM(OSRRefT22_1x_0)</f>
        <v>118643.76923076931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-4336.8592307693034</v>
      </c>
      <c r="Y32" s="1"/>
      <c r="Z32" s="5">
        <f t="shared" ref="Z32:Z42" si="19">IF(T32=0,0,X32/T32)</f>
        <v>-3.6553619788780058E-2</v>
      </c>
    </row>
    <row r="33" spans="1:26" s="24" customFormat="1" hidden="1" outlineLevel="2" x14ac:dyDescent="0.25">
      <c r="A33" s="27"/>
      <c r="B33" s="12" t="str">
        <f>CONCATENATE("          ", "6001", " - ", "ADMINISTRATIVE SALARIES")</f>
        <v xml:space="preserve">          6001 - ADMINISTRATIVE SALARIES</v>
      </c>
      <c r="C33" s="12"/>
      <c r="D33" s="7">
        <v>28750.289999999997</v>
      </c>
      <c r="E33" s="3"/>
      <c r="F33" s="8">
        <f t="shared" si="12"/>
        <v>0</v>
      </c>
      <c r="G33" s="3"/>
      <c r="H33" s="7">
        <v>34110.576923076937</v>
      </c>
      <c r="I33" s="3"/>
      <c r="J33" s="8">
        <f t="shared" si="13"/>
        <v>0</v>
      </c>
      <c r="K33" s="3"/>
      <c r="L33" s="7">
        <f t="shared" si="14"/>
        <v>-5360.2869230769393</v>
      </c>
      <c r="M33" s="3"/>
      <c r="N33" s="8">
        <f t="shared" si="15"/>
        <v>-0.15714442283298138</v>
      </c>
      <c r="O33" s="12"/>
      <c r="P33" s="7">
        <v>28750.289999999997</v>
      </c>
      <c r="Q33" s="3"/>
      <c r="R33" s="8">
        <f t="shared" si="16"/>
        <v>0</v>
      </c>
      <c r="S33" s="3"/>
      <c r="T33" s="7">
        <v>34110.576923076937</v>
      </c>
      <c r="U33" s="3"/>
      <c r="V33" s="8">
        <f t="shared" si="17"/>
        <v>0</v>
      </c>
      <c r="W33" s="3"/>
      <c r="X33" s="7">
        <f t="shared" si="18"/>
        <v>-5360.2869230769393</v>
      </c>
      <c r="Y33" s="3"/>
      <c r="Z33" s="8">
        <f t="shared" si="19"/>
        <v>-0.15714442283298138</v>
      </c>
    </row>
    <row r="34" spans="1:26" s="24" customFormat="1" hidden="1" outlineLevel="2" x14ac:dyDescent="0.25">
      <c r="A34" s="27"/>
      <c r="B34" s="12" t="str">
        <f>CONCATENATE("          ", "6002", " - ", "STAFF SALARIES")</f>
        <v xml:space="preserve">          6002 - STAFF SALARIES</v>
      </c>
      <c r="C34" s="12"/>
      <c r="D34" s="7">
        <v>53290.35</v>
      </c>
      <c r="E34" s="3"/>
      <c r="F34" s="8">
        <f t="shared" si="12"/>
        <v>0</v>
      </c>
      <c r="G34" s="3"/>
      <c r="H34" s="7">
        <v>42682.692307692363</v>
      </c>
      <c r="I34" s="3"/>
      <c r="J34" s="8">
        <f t="shared" si="13"/>
        <v>0</v>
      </c>
      <c r="K34" s="3"/>
      <c r="L34" s="7">
        <f t="shared" si="14"/>
        <v>10607.657692307635</v>
      </c>
      <c r="M34" s="3"/>
      <c r="N34" s="8">
        <f t="shared" si="15"/>
        <v>0.2485236314485228</v>
      </c>
      <c r="O34" s="12"/>
      <c r="P34" s="7">
        <v>53290.35</v>
      </c>
      <c r="Q34" s="3"/>
      <c r="R34" s="8">
        <f t="shared" si="16"/>
        <v>0</v>
      </c>
      <c r="S34" s="3"/>
      <c r="T34" s="7">
        <v>42682.692307692363</v>
      </c>
      <c r="U34" s="3"/>
      <c r="V34" s="8">
        <f t="shared" si="17"/>
        <v>0</v>
      </c>
      <c r="W34" s="3"/>
      <c r="X34" s="7">
        <f t="shared" si="18"/>
        <v>10607.657692307635</v>
      </c>
      <c r="Y34" s="3"/>
      <c r="Z34" s="8">
        <f t="shared" si="19"/>
        <v>0.2485236314485228</v>
      </c>
    </row>
    <row r="35" spans="1:26" s="24" customFormat="1" hidden="1" outlineLevel="2" x14ac:dyDescent="0.25">
      <c r="A35" s="27"/>
      <c r="B35" s="12" t="str">
        <f>CONCATENATE("          ", "6003", " - ", "STAFF HOURLY-9 MONTH")</f>
        <v xml:space="preserve">          6003 - STAFF HOURLY-9 MONTH</v>
      </c>
      <c r="C35" s="12"/>
      <c r="D35" s="7"/>
      <c r="E35" s="3"/>
      <c r="F35" s="8">
        <f t="shared" si="12"/>
        <v>0</v>
      </c>
      <c r="G35" s="3"/>
      <c r="H35" s="7">
        <v>0</v>
      </c>
      <c r="I35" s="3"/>
      <c r="J35" s="8">
        <f t="shared" si="13"/>
        <v>0</v>
      </c>
      <c r="K35" s="3"/>
      <c r="L35" s="7">
        <f t="shared" si="14"/>
        <v>0</v>
      </c>
      <c r="M35" s="3"/>
      <c r="N35" s="8">
        <f t="shared" si="15"/>
        <v>0</v>
      </c>
      <c r="O35" s="12"/>
      <c r="P35" s="7"/>
      <c r="Q35" s="3"/>
      <c r="R35" s="8">
        <f t="shared" si="16"/>
        <v>0</v>
      </c>
      <c r="S35" s="3"/>
      <c r="T35" s="7">
        <v>0</v>
      </c>
      <c r="U35" s="3"/>
      <c r="V35" s="8">
        <f t="shared" si="17"/>
        <v>0</v>
      </c>
      <c r="W35" s="3"/>
      <c r="X35" s="7">
        <f t="shared" si="18"/>
        <v>0</v>
      </c>
      <c r="Y35" s="3"/>
      <c r="Z35" s="8">
        <f t="shared" si="19"/>
        <v>0</v>
      </c>
    </row>
    <row r="36" spans="1:26" s="24" customFormat="1" hidden="1" outlineLevel="2" x14ac:dyDescent="0.25">
      <c r="A36" s="27"/>
      <c r="B36" s="12" t="str">
        <f>CONCATENATE("          ", "6004", " - ", "STAFF HOURLY")</f>
        <v xml:space="preserve">          6004 - STAFF HOURLY</v>
      </c>
      <c r="C36" s="12"/>
      <c r="D36" s="7">
        <v>18530.3</v>
      </c>
      <c r="E36" s="3"/>
      <c r="F36" s="8">
        <f t="shared" si="12"/>
        <v>0</v>
      </c>
      <c r="G36" s="3"/>
      <c r="H36" s="7">
        <v>30680.499999999996</v>
      </c>
      <c r="I36" s="3"/>
      <c r="J36" s="8">
        <f t="shared" si="13"/>
        <v>0</v>
      </c>
      <c r="K36" s="3"/>
      <c r="L36" s="7">
        <f t="shared" si="14"/>
        <v>-12150.199999999997</v>
      </c>
      <c r="M36" s="3"/>
      <c r="N36" s="8">
        <f t="shared" si="15"/>
        <v>-0.39602353286289332</v>
      </c>
      <c r="O36" s="12"/>
      <c r="P36" s="7">
        <v>18530.3</v>
      </c>
      <c r="Q36" s="3"/>
      <c r="R36" s="8">
        <f t="shared" si="16"/>
        <v>0</v>
      </c>
      <c r="S36" s="3"/>
      <c r="T36" s="7">
        <v>30680.499999999996</v>
      </c>
      <c r="U36" s="3"/>
      <c r="V36" s="8">
        <f t="shared" si="17"/>
        <v>0</v>
      </c>
      <c r="W36" s="3"/>
      <c r="X36" s="7">
        <f t="shared" si="18"/>
        <v>-12150.199999999997</v>
      </c>
      <c r="Y36" s="3"/>
      <c r="Z36" s="8">
        <f t="shared" si="19"/>
        <v>-0.39602353286289332</v>
      </c>
    </row>
    <row r="37" spans="1:26" s="24" customFormat="1" hidden="1" outlineLevel="2" x14ac:dyDescent="0.25">
      <c r="A37" s="27"/>
      <c r="B37" s="12" t="str">
        <f>CONCATENATE("          ", "6005", " - ", "TEMPORARY WAGES-HOURLY")</f>
        <v xml:space="preserve">          6005 - TEMPORARY WAGES-HOURLY</v>
      </c>
      <c r="C37" s="12"/>
      <c r="D37" s="7">
        <v>5883.34</v>
      </c>
      <c r="E37" s="3"/>
      <c r="F37" s="8">
        <f t="shared" si="12"/>
        <v>0</v>
      </c>
      <c r="G37" s="3"/>
      <c r="H37" s="7">
        <v>9715</v>
      </c>
      <c r="I37" s="3"/>
      <c r="J37" s="8">
        <f t="shared" si="13"/>
        <v>0</v>
      </c>
      <c r="K37" s="3"/>
      <c r="L37" s="7">
        <f t="shared" si="14"/>
        <v>-3831.66</v>
      </c>
      <c r="M37" s="3"/>
      <c r="N37" s="8">
        <f t="shared" si="15"/>
        <v>-0.39440658775090065</v>
      </c>
      <c r="O37" s="12"/>
      <c r="P37" s="7">
        <v>5883.34</v>
      </c>
      <c r="Q37" s="3"/>
      <c r="R37" s="8">
        <f t="shared" si="16"/>
        <v>0</v>
      </c>
      <c r="S37" s="3"/>
      <c r="T37" s="7">
        <v>9715</v>
      </c>
      <c r="U37" s="3"/>
      <c r="V37" s="8">
        <f t="shared" si="17"/>
        <v>0</v>
      </c>
      <c r="W37" s="3"/>
      <c r="X37" s="7">
        <f t="shared" si="18"/>
        <v>-3831.66</v>
      </c>
      <c r="Y37" s="3"/>
      <c r="Z37" s="8">
        <f t="shared" si="19"/>
        <v>-0.39440658775090065</v>
      </c>
    </row>
    <row r="38" spans="1:26" s="24" customFormat="1" hidden="1" outlineLevel="2" x14ac:dyDescent="0.25">
      <c r="A38" s="27"/>
      <c r="B38" s="12" t="str">
        <f>CONCATENATE("          ", "6006", " - ", "TEMPORARY PART TIME")</f>
        <v xml:space="preserve">          6006 - TEMPORARY PART TIME</v>
      </c>
      <c r="C38" s="12"/>
      <c r="D38" s="7"/>
      <c r="E38" s="3"/>
      <c r="F38" s="8">
        <f t="shared" si="12"/>
        <v>0</v>
      </c>
      <c r="G38" s="3"/>
      <c r="H38" s="7">
        <v>0</v>
      </c>
      <c r="I38" s="3"/>
      <c r="J38" s="8">
        <f t="shared" si="13"/>
        <v>0</v>
      </c>
      <c r="K38" s="3"/>
      <c r="L38" s="7">
        <f t="shared" si="14"/>
        <v>0</v>
      </c>
      <c r="M38" s="3"/>
      <c r="N38" s="8">
        <f t="shared" si="15"/>
        <v>0</v>
      </c>
      <c r="O38" s="12"/>
      <c r="P38" s="7"/>
      <c r="Q38" s="3"/>
      <c r="R38" s="8">
        <f t="shared" si="16"/>
        <v>0</v>
      </c>
      <c r="S38" s="3"/>
      <c r="T38" s="7">
        <v>0</v>
      </c>
      <c r="U38" s="3"/>
      <c r="V38" s="8">
        <f t="shared" si="17"/>
        <v>0</v>
      </c>
      <c r="W38" s="3"/>
      <c r="X38" s="7">
        <f t="shared" si="18"/>
        <v>0</v>
      </c>
      <c r="Y38" s="3"/>
      <c r="Z38" s="8">
        <f t="shared" si="19"/>
        <v>0</v>
      </c>
    </row>
    <row r="39" spans="1:26" s="24" customFormat="1" hidden="1" outlineLevel="2" x14ac:dyDescent="0.25">
      <c r="A39" s="27"/>
      <c r="B39" s="12" t="str">
        <f>CONCATENATE("          ", "6007", " - ", "STUDENT HOURLY")</f>
        <v xml:space="preserve">          6007 - STUDENT HOURLY</v>
      </c>
      <c r="C39" s="12"/>
      <c r="D39" s="7">
        <v>6624</v>
      </c>
      <c r="E39" s="3"/>
      <c r="F39" s="8">
        <f t="shared" si="12"/>
        <v>0</v>
      </c>
      <c r="G39" s="3"/>
      <c r="H39" s="7">
        <v>1455</v>
      </c>
      <c r="I39" s="3"/>
      <c r="J39" s="8">
        <f t="shared" si="13"/>
        <v>0</v>
      </c>
      <c r="K39" s="3"/>
      <c r="L39" s="7">
        <f t="shared" si="14"/>
        <v>5169</v>
      </c>
      <c r="M39" s="3"/>
      <c r="N39" s="8">
        <f t="shared" si="15"/>
        <v>3.5525773195876287</v>
      </c>
      <c r="O39" s="12"/>
      <c r="P39" s="7">
        <v>6624</v>
      </c>
      <c r="Q39" s="3"/>
      <c r="R39" s="8">
        <f t="shared" si="16"/>
        <v>0</v>
      </c>
      <c r="S39" s="3"/>
      <c r="T39" s="7">
        <v>1455</v>
      </c>
      <c r="U39" s="3"/>
      <c r="V39" s="8">
        <f t="shared" si="17"/>
        <v>0</v>
      </c>
      <c r="W39" s="3"/>
      <c r="X39" s="7">
        <f t="shared" si="18"/>
        <v>5169</v>
      </c>
      <c r="Y39" s="3"/>
      <c r="Z39" s="8">
        <f t="shared" si="19"/>
        <v>3.5525773195876287</v>
      </c>
    </row>
    <row r="40" spans="1:26" s="24" customFormat="1" hidden="1" outlineLevel="2" x14ac:dyDescent="0.25">
      <c r="A40" s="27"/>
      <c r="B40" s="12" t="str">
        <f>CONCATENATE("          ", "6008", " - ", "STUDENT HOURLY-FICA EXEMPT")</f>
        <v xml:space="preserve">          6008 - STUDENT HOURLY-FICA EXEMPT</v>
      </c>
      <c r="C40" s="12"/>
      <c r="D40" s="7">
        <v>1228.6300000000001</v>
      </c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1228.6300000000001</v>
      </c>
      <c r="M40" s="3"/>
      <c r="N40" s="8">
        <f t="shared" si="15"/>
        <v>0</v>
      </c>
      <c r="O40" s="12"/>
      <c r="P40" s="7">
        <v>1228.6300000000001</v>
      </c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1228.6300000000001</v>
      </c>
      <c r="Y40" s="3"/>
      <c r="Z40" s="8">
        <f t="shared" si="19"/>
        <v>0</v>
      </c>
    </row>
    <row r="41" spans="1:26" s="24" customFormat="1" hidden="1" outlineLevel="2" x14ac:dyDescent="0.25">
      <c r="A41" s="27"/>
      <c r="B41" s="12" t="str">
        <f>CONCATENATE("          ", "6009", " - ", "TEMPORARY-SEASONAL")</f>
        <v xml:space="preserve">          6009 - TEMPORARY-SEASONAL</v>
      </c>
      <c r="C41" s="12"/>
      <c r="D41" s="7"/>
      <c r="E41" s="3"/>
      <c r="F41" s="8">
        <f t="shared" si="12"/>
        <v>0</v>
      </c>
      <c r="G41" s="3"/>
      <c r="H41" s="7">
        <v>0</v>
      </c>
      <c r="I41" s="3"/>
      <c r="J41" s="8">
        <f t="shared" si="13"/>
        <v>0</v>
      </c>
      <c r="K41" s="3"/>
      <c r="L41" s="7">
        <f t="shared" si="14"/>
        <v>0</v>
      </c>
      <c r="M41" s="3"/>
      <c r="N41" s="8">
        <f t="shared" si="15"/>
        <v>0</v>
      </c>
      <c r="O41" s="12"/>
      <c r="P41" s="7"/>
      <c r="Q41" s="3"/>
      <c r="R41" s="8">
        <f t="shared" si="16"/>
        <v>0</v>
      </c>
      <c r="S41" s="3"/>
      <c r="T41" s="7">
        <v>0</v>
      </c>
      <c r="U41" s="3"/>
      <c r="V41" s="8">
        <f t="shared" si="17"/>
        <v>0</v>
      </c>
      <c r="W41" s="3"/>
      <c r="X41" s="7">
        <f t="shared" si="18"/>
        <v>0</v>
      </c>
      <c r="Y41" s="3"/>
      <c r="Z41" s="8">
        <f t="shared" si="19"/>
        <v>0</v>
      </c>
    </row>
    <row r="42" spans="1:26" s="24" customFormat="1" hidden="1" outlineLevel="2" x14ac:dyDescent="0.25">
      <c r="A42" s="27"/>
      <c r="B42" s="12" t="str">
        <f>CONCATENATE("          ", "6010", " - ", "GRATUITY")</f>
        <v xml:space="preserve">          6010 - GRATUITY</v>
      </c>
      <c r="C42" s="12"/>
      <c r="D42" s="7"/>
      <c r="E42" s="3"/>
      <c r="F42" s="8">
        <f t="shared" si="12"/>
        <v>0</v>
      </c>
      <c r="G42" s="3"/>
      <c r="H42" s="7">
        <v>0</v>
      </c>
      <c r="I42" s="3"/>
      <c r="J42" s="8">
        <f t="shared" si="13"/>
        <v>0</v>
      </c>
      <c r="K42" s="3"/>
      <c r="L42" s="7">
        <f t="shared" si="14"/>
        <v>0</v>
      </c>
      <c r="M42" s="3"/>
      <c r="N42" s="8">
        <f t="shared" si="15"/>
        <v>0</v>
      </c>
      <c r="O42" s="12"/>
      <c r="P42" s="7"/>
      <c r="Q42" s="3"/>
      <c r="R42" s="8">
        <f t="shared" si="16"/>
        <v>0</v>
      </c>
      <c r="S42" s="3"/>
      <c r="T42" s="7">
        <v>0</v>
      </c>
      <c r="U42" s="3"/>
      <c r="V42" s="8">
        <f t="shared" si="17"/>
        <v>0</v>
      </c>
      <c r="W42" s="3"/>
      <c r="X42" s="7">
        <f t="shared" si="18"/>
        <v>0</v>
      </c>
      <c r="Y42" s="3"/>
      <c r="Z42" s="8">
        <f t="shared" si="19"/>
        <v>0</v>
      </c>
    </row>
    <row r="43" spans="1:26" s="29" customFormat="1" outlineLevel="1" collapsed="1" x14ac:dyDescent="0.25">
      <c r="A43" s="28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58.38</v>
      </c>
      <c r="E43" s="1"/>
      <c r="F43" s="5">
        <f t="shared" ref="F43:F51" si="20">IF(D$12=0,0,D43/D$12)</f>
        <v>0</v>
      </c>
      <c r="G43" s="1"/>
      <c r="H43" s="1">
        <f>SUM(OSRRefH22_2x_0)</f>
        <v>9183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-9124.6200000000008</v>
      </c>
      <c r="M43" s="1"/>
      <c r="N43" s="5">
        <f t="shared" ref="N43:N51" si="23">IF(H43=0,0,L43/H43)</f>
        <v>-0.99364260045736696</v>
      </c>
      <c r="O43" s="14"/>
      <c r="P43" s="1">
        <f>SUM(OSRRefP22_2x_0)</f>
        <v>58.38</v>
      </c>
      <c r="Q43" s="1"/>
      <c r="R43" s="5">
        <f t="shared" ref="R43:R51" si="24">IF(P$12=0,0,P43/P$12)</f>
        <v>0</v>
      </c>
      <c r="S43" s="1"/>
      <c r="T43" s="1">
        <f>SUM(OSRRefT22_2x_0)</f>
        <v>9183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-9124.6200000000008</v>
      </c>
      <c r="Y43" s="1"/>
      <c r="Z43" s="5">
        <f t="shared" ref="Z43:Z51" si="27">IF(T43=0,0,X43/T43)</f>
        <v>-0.99364260045736696</v>
      </c>
    </row>
    <row r="44" spans="1:26" s="24" customFormat="1" hidden="1" outlineLevel="2" x14ac:dyDescent="0.25">
      <c r="A44" s="27"/>
      <c r="B44" s="12" t="str">
        <f>CONCATENATE("          ", "6362", " - ", "ADVERTISING EXPENSE")</f>
        <v xml:space="preserve">          6362 - ADVERTISING EXPENSE</v>
      </c>
      <c r="C44" s="12"/>
      <c r="D44" s="7">
        <v>58.38</v>
      </c>
      <c r="E44" s="3"/>
      <c r="F44" s="8">
        <f t="shared" si="20"/>
        <v>0</v>
      </c>
      <c r="G44" s="3"/>
      <c r="H44" s="7">
        <v>9183</v>
      </c>
      <c r="I44" s="3"/>
      <c r="J44" s="8">
        <f t="shared" si="21"/>
        <v>0</v>
      </c>
      <c r="K44" s="3"/>
      <c r="L44" s="7">
        <f t="shared" si="22"/>
        <v>-9124.6200000000008</v>
      </c>
      <c r="M44" s="3"/>
      <c r="N44" s="8">
        <f t="shared" si="23"/>
        <v>-0.99364260045736696</v>
      </c>
      <c r="O44" s="12"/>
      <c r="P44" s="7">
        <v>58.38</v>
      </c>
      <c r="Q44" s="3"/>
      <c r="R44" s="8">
        <f t="shared" si="24"/>
        <v>0</v>
      </c>
      <c r="S44" s="3"/>
      <c r="T44" s="7">
        <v>9183</v>
      </c>
      <c r="U44" s="3"/>
      <c r="V44" s="8">
        <f t="shared" si="25"/>
        <v>0</v>
      </c>
      <c r="W44" s="3"/>
      <c r="X44" s="7">
        <f t="shared" si="26"/>
        <v>-9124.6200000000008</v>
      </c>
      <c r="Y44" s="3"/>
      <c r="Z44" s="8">
        <f t="shared" si="27"/>
        <v>-0.99364260045736696</v>
      </c>
    </row>
    <row r="45" spans="1:26" s="29" customFormat="1" outlineLevel="1" collapsed="1" x14ac:dyDescent="0.25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923.98</v>
      </c>
      <c r="E45" s="1"/>
      <c r="F45" s="5">
        <f t="shared" si="20"/>
        <v>0</v>
      </c>
      <c r="G45" s="1"/>
      <c r="H45" s="1">
        <f>SUM(OSRRefH22_3x_0)</f>
        <v>15000</v>
      </c>
      <c r="I45" s="1"/>
      <c r="J45" s="5">
        <f t="shared" si="21"/>
        <v>0</v>
      </c>
      <c r="K45" s="1"/>
      <c r="L45" s="1">
        <f t="shared" si="22"/>
        <v>-14076.02</v>
      </c>
      <c r="M45" s="1"/>
      <c r="N45" s="5">
        <f t="shared" si="23"/>
        <v>-0.93840133333333331</v>
      </c>
      <c r="O45" s="14"/>
      <c r="P45" s="1">
        <f>SUM(OSRRefP22_3x_0)</f>
        <v>923.98</v>
      </c>
      <c r="Q45" s="1"/>
      <c r="R45" s="5">
        <f t="shared" si="24"/>
        <v>0</v>
      </c>
      <c r="S45" s="1"/>
      <c r="T45" s="1">
        <f>SUM(OSRRefT22_3x_0)</f>
        <v>15000</v>
      </c>
      <c r="U45" s="1"/>
      <c r="V45" s="5">
        <f t="shared" si="25"/>
        <v>0</v>
      </c>
      <c r="W45" s="1"/>
      <c r="X45" s="1">
        <f t="shared" si="26"/>
        <v>-14076.02</v>
      </c>
      <c r="Y45" s="1"/>
      <c r="Z45" s="5">
        <f t="shared" si="27"/>
        <v>-0.93840133333333331</v>
      </c>
    </row>
    <row r="46" spans="1:26" s="24" customFormat="1" hidden="1" outlineLevel="2" x14ac:dyDescent="0.25">
      <c r="A46" s="27"/>
      <c r="B46" s="12" t="str">
        <f>CONCATENATE("          ", "6381", " - ", "BANK/CREDIT CARD FEES")</f>
        <v xml:space="preserve">          6381 - BANK/CREDIT CARD FEES</v>
      </c>
      <c r="C46" s="12"/>
      <c r="D46" s="7">
        <v>923.98</v>
      </c>
      <c r="E46" s="3"/>
      <c r="F46" s="8">
        <f t="shared" si="20"/>
        <v>0</v>
      </c>
      <c r="G46" s="3"/>
      <c r="H46" s="7">
        <v>15000</v>
      </c>
      <c r="I46" s="3"/>
      <c r="J46" s="8">
        <f t="shared" si="21"/>
        <v>0</v>
      </c>
      <c r="K46" s="3"/>
      <c r="L46" s="7">
        <f t="shared" si="22"/>
        <v>-14076.02</v>
      </c>
      <c r="M46" s="3"/>
      <c r="N46" s="8">
        <f t="shared" si="23"/>
        <v>-0.93840133333333331</v>
      </c>
      <c r="O46" s="12"/>
      <c r="P46" s="7">
        <v>923.98</v>
      </c>
      <c r="Q46" s="3"/>
      <c r="R46" s="8">
        <f t="shared" si="24"/>
        <v>0</v>
      </c>
      <c r="S46" s="3"/>
      <c r="T46" s="7">
        <v>15000</v>
      </c>
      <c r="U46" s="3"/>
      <c r="V46" s="8">
        <f t="shared" si="25"/>
        <v>0</v>
      </c>
      <c r="W46" s="3"/>
      <c r="X46" s="7">
        <f t="shared" si="26"/>
        <v>-14076.02</v>
      </c>
      <c r="Y46" s="3"/>
      <c r="Z46" s="8">
        <f t="shared" si="27"/>
        <v>-0.93840133333333331</v>
      </c>
    </row>
    <row r="47" spans="1:26" s="29" customFormat="1" outlineLevel="1" collapsed="1" x14ac:dyDescent="0.25">
      <c r="A47" s="28"/>
      <c r="B47" s="14" t="str">
        <f>CONCATENATE("     ","Board                                             ")</f>
        <v xml:space="preserve">     Board                                             </v>
      </c>
      <c r="C47" s="14"/>
      <c r="D47" s="1">
        <f>SUM(OSRRefD22_4x_0)</f>
        <v>783.79</v>
      </c>
      <c r="E47" s="1"/>
      <c r="F47" s="5">
        <f t="shared" si="20"/>
        <v>0</v>
      </c>
      <c r="G47" s="1"/>
      <c r="H47" s="1">
        <f>SUM(OSRRefH22_4x_0)</f>
        <v>2037</v>
      </c>
      <c r="I47" s="1"/>
      <c r="J47" s="5">
        <f t="shared" si="21"/>
        <v>0</v>
      </c>
      <c r="K47" s="1"/>
      <c r="L47" s="1">
        <f t="shared" si="22"/>
        <v>-1253.21</v>
      </c>
      <c r="M47" s="1"/>
      <c r="N47" s="5">
        <f t="shared" si="23"/>
        <v>-0.61522336769759456</v>
      </c>
      <c r="O47" s="14"/>
      <c r="P47" s="1">
        <f>SUM(OSRRefP22_4x_0)</f>
        <v>783.79</v>
      </c>
      <c r="Q47" s="1"/>
      <c r="R47" s="5">
        <f t="shared" si="24"/>
        <v>0</v>
      </c>
      <c r="S47" s="1"/>
      <c r="T47" s="1">
        <f>SUM(OSRRefT22_4x_0)</f>
        <v>2037</v>
      </c>
      <c r="U47" s="1"/>
      <c r="V47" s="5">
        <f t="shared" si="25"/>
        <v>0</v>
      </c>
      <c r="W47" s="1"/>
      <c r="X47" s="1">
        <f t="shared" si="26"/>
        <v>-1253.21</v>
      </c>
      <c r="Y47" s="1"/>
      <c r="Z47" s="5">
        <f t="shared" si="27"/>
        <v>-0.61522336769759456</v>
      </c>
    </row>
    <row r="48" spans="1:26" s="24" customFormat="1" hidden="1" outlineLevel="2" x14ac:dyDescent="0.25">
      <c r="A48" s="27"/>
      <c r="B48" s="12" t="str">
        <f>CONCATENATE("          ", "6397", " - ", "BOARD EXPENSES")</f>
        <v xml:space="preserve">          6397 - BOARD EXPENSES</v>
      </c>
      <c r="C48" s="12"/>
      <c r="D48" s="7">
        <v>783.79</v>
      </c>
      <c r="E48" s="3"/>
      <c r="F48" s="8">
        <f t="shared" si="20"/>
        <v>0</v>
      </c>
      <c r="G48" s="3"/>
      <c r="H48" s="7">
        <v>2037</v>
      </c>
      <c r="I48" s="3"/>
      <c r="J48" s="8">
        <f t="shared" si="21"/>
        <v>0</v>
      </c>
      <c r="K48" s="3"/>
      <c r="L48" s="7">
        <f t="shared" si="22"/>
        <v>-1253.21</v>
      </c>
      <c r="M48" s="3"/>
      <c r="N48" s="8">
        <f t="shared" si="23"/>
        <v>-0.61522336769759456</v>
      </c>
      <c r="O48" s="12"/>
      <c r="P48" s="7">
        <v>783.79</v>
      </c>
      <c r="Q48" s="3"/>
      <c r="R48" s="8">
        <f t="shared" si="24"/>
        <v>0</v>
      </c>
      <c r="S48" s="3"/>
      <c r="T48" s="7">
        <v>2037</v>
      </c>
      <c r="U48" s="3"/>
      <c r="V48" s="8">
        <f t="shared" si="25"/>
        <v>0</v>
      </c>
      <c r="W48" s="3"/>
      <c r="X48" s="7">
        <f t="shared" si="26"/>
        <v>-1253.21</v>
      </c>
      <c r="Y48" s="3"/>
      <c r="Z48" s="8">
        <f t="shared" si="27"/>
        <v>-0.61522336769759456</v>
      </c>
    </row>
    <row r="49" spans="1:26" s="29" customFormat="1" outlineLevel="1" collapsed="1" x14ac:dyDescent="0.25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7607.16</v>
      </c>
      <c r="E49" s="1"/>
      <c r="F49" s="5">
        <f t="shared" si="20"/>
        <v>0</v>
      </c>
      <c r="G49" s="1"/>
      <c r="H49" s="1">
        <f>SUM(OSRRefH22_5x_0)</f>
        <v>2345</v>
      </c>
      <c r="I49" s="1"/>
      <c r="J49" s="5">
        <f t="shared" si="21"/>
        <v>0</v>
      </c>
      <c r="K49" s="1"/>
      <c r="L49" s="1">
        <f t="shared" si="22"/>
        <v>5262.16</v>
      </c>
      <c r="M49" s="1"/>
      <c r="N49" s="5">
        <f t="shared" si="23"/>
        <v>2.2439914712153519</v>
      </c>
      <c r="O49" s="14"/>
      <c r="P49" s="1">
        <f>SUM(OSRRefP22_5x_0)</f>
        <v>7607.16</v>
      </c>
      <c r="Q49" s="1"/>
      <c r="R49" s="5">
        <f t="shared" si="24"/>
        <v>0</v>
      </c>
      <c r="S49" s="1"/>
      <c r="T49" s="1">
        <f>SUM(OSRRefT22_5x_0)</f>
        <v>2345</v>
      </c>
      <c r="U49" s="1"/>
      <c r="V49" s="5">
        <f t="shared" si="25"/>
        <v>0</v>
      </c>
      <c r="W49" s="1"/>
      <c r="X49" s="1">
        <f t="shared" si="26"/>
        <v>5262.16</v>
      </c>
      <c r="Y49" s="1"/>
      <c r="Z49" s="5">
        <f t="shared" si="27"/>
        <v>2.2439914712153519</v>
      </c>
    </row>
    <row r="50" spans="1:26" s="24" customFormat="1" hidden="1" outlineLevel="2" x14ac:dyDescent="0.25">
      <c r="A50" s="27"/>
      <c r="B50" s="12" t="str">
        <f>CONCATENATE("          ", "6322", " - ", "EQUIPMENT DEPRECIATION EXPENSE")</f>
        <v xml:space="preserve">          6322 - EQUIPMENT DEPRECIATION EXPENSE</v>
      </c>
      <c r="C50" s="12"/>
      <c r="D50" s="7">
        <v>7607.16</v>
      </c>
      <c r="E50" s="3"/>
      <c r="F50" s="8">
        <f t="shared" si="20"/>
        <v>0</v>
      </c>
      <c r="G50" s="3"/>
      <c r="H50" s="7">
        <v>2245</v>
      </c>
      <c r="I50" s="3"/>
      <c r="J50" s="8">
        <f t="shared" si="21"/>
        <v>0</v>
      </c>
      <c r="K50" s="3"/>
      <c r="L50" s="7">
        <f t="shared" si="22"/>
        <v>5362.16</v>
      </c>
      <c r="M50" s="3"/>
      <c r="N50" s="8">
        <f t="shared" si="23"/>
        <v>2.3884899777282849</v>
      </c>
      <c r="O50" s="12"/>
      <c r="P50" s="7">
        <v>7607.16</v>
      </c>
      <c r="Q50" s="3"/>
      <c r="R50" s="8">
        <f t="shared" si="24"/>
        <v>0</v>
      </c>
      <c r="S50" s="3"/>
      <c r="T50" s="7">
        <v>2245</v>
      </c>
      <c r="U50" s="3"/>
      <c r="V50" s="8">
        <f t="shared" si="25"/>
        <v>0</v>
      </c>
      <c r="W50" s="3"/>
      <c r="X50" s="7">
        <f t="shared" si="26"/>
        <v>5362.16</v>
      </c>
      <c r="Y50" s="3"/>
      <c r="Z50" s="8">
        <f t="shared" si="27"/>
        <v>2.3884899777282849</v>
      </c>
    </row>
    <row r="51" spans="1:26" s="24" customFormat="1" hidden="1" outlineLevel="2" x14ac:dyDescent="0.25">
      <c r="A51" s="27"/>
      <c r="B51" s="12" t="str">
        <f>CONCATENATE("          ", "6324", " - ", "FURNITURE + FIXT DEPRECIATION")</f>
        <v xml:space="preserve">          6324 - FURNITURE + FIXT DEPRECIATION</v>
      </c>
      <c r="C51" s="12"/>
      <c r="D51" s="7"/>
      <c r="E51" s="3"/>
      <c r="F51" s="8">
        <f t="shared" si="20"/>
        <v>0</v>
      </c>
      <c r="G51" s="3"/>
      <c r="H51" s="7">
        <v>100</v>
      </c>
      <c r="I51" s="3"/>
      <c r="J51" s="8">
        <f t="shared" si="21"/>
        <v>0</v>
      </c>
      <c r="K51" s="3"/>
      <c r="L51" s="7">
        <f t="shared" si="22"/>
        <v>-100</v>
      </c>
      <c r="M51" s="3"/>
      <c r="N51" s="8">
        <f t="shared" si="23"/>
        <v>-1</v>
      </c>
      <c r="O51" s="12"/>
      <c r="P51" s="7"/>
      <c r="Q51" s="3"/>
      <c r="R51" s="8">
        <f t="shared" si="24"/>
        <v>0</v>
      </c>
      <c r="S51" s="3"/>
      <c r="T51" s="7">
        <v>100</v>
      </c>
      <c r="U51" s="3"/>
      <c r="V51" s="8">
        <f t="shared" si="25"/>
        <v>0</v>
      </c>
      <c r="W51" s="3"/>
      <c r="X51" s="7">
        <f t="shared" si="26"/>
        <v>-100</v>
      </c>
      <c r="Y51" s="3"/>
      <c r="Z51" s="8">
        <f t="shared" si="27"/>
        <v>-1</v>
      </c>
    </row>
    <row r="52" spans="1:26" s="29" customFormat="1" outlineLevel="1" collapsed="1" x14ac:dyDescent="0.25">
      <c r="A52" s="28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ref="F52:F64" si="28">IF(D$12=0,0,D52/D$12)</f>
        <v>0</v>
      </c>
      <c r="G52" s="1"/>
      <c r="H52" s="1">
        <f>SUM(OSRRefH22_6x_0)</f>
        <v>26500</v>
      </c>
      <c r="I52" s="1"/>
      <c r="J52" s="5">
        <f t="shared" ref="J52:J64" si="29">IF(H$12=0,0,H52/H$12)</f>
        <v>0</v>
      </c>
      <c r="K52" s="1"/>
      <c r="L52" s="1">
        <f t="shared" ref="L52:L64" si="30">+D52-H52</f>
        <v>-26500</v>
      </c>
      <c r="M52" s="1"/>
      <c r="N52" s="5">
        <f t="shared" ref="N52:N64" si="31">IF(H52=0,0,L52/H52)</f>
        <v>-1</v>
      </c>
      <c r="O52" s="14"/>
      <c r="P52" s="1">
        <f>SUM(OSRRefP22_6x_0)</f>
        <v>0</v>
      </c>
      <c r="Q52" s="1"/>
      <c r="R52" s="5">
        <f t="shared" ref="R52:R64" si="32">IF(P$12=0,0,P52/P$12)</f>
        <v>0</v>
      </c>
      <c r="S52" s="1"/>
      <c r="T52" s="1">
        <f>SUM(OSRRefT22_6x_0)</f>
        <v>26500</v>
      </c>
      <c r="U52" s="1"/>
      <c r="V52" s="5">
        <f t="shared" ref="V52:V64" si="33">IF(T$12=0,0,T52/T$12)</f>
        <v>0</v>
      </c>
      <c r="W52" s="1"/>
      <c r="X52" s="1">
        <f t="shared" ref="X52:X64" si="34">+P52-T52</f>
        <v>-26500</v>
      </c>
      <c r="Y52" s="1"/>
      <c r="Z52" s="5">
        <f t="shared" ref="Z52:Z64" si="35">IF(T52=0,0,X52/T52)</f>
        <v>-1</v>
      </c>
    </row>
    <row r="53" spans="1:26" s="24" customFormat="1" hidden="1" outlineLevel="2" x14ac:dyDescent="0.25">
      <c r="A53" s="27"/>
      <c r="B53" s="12" t="str">
        <f>CONCATENATE("          ", "6399", " - ", "DONATION-ON CAMPUS")</f>
        <v xml:space="preserve">          6399 - DONATION-ON CAMPUS</v>
      </c>
      <c r="C53" s="12"/>
      <c r="D53" s="7"/>
      <c r="E53" s="3"/>
      <c r="F53" s="8">
        <f t="shared" si="28"/>
        <v>0</v>
      </c>
      <c r="G53" s="3"/>
      <c r="H53" s="7">
        <v>26500</v>
      </c>
      <c r="I53" s="3"/>
      <c r="J53" s="8">
        <f t="shared" si="29"/>
        <v>0</v>
      </c>
      <c r="K53" s="3"/>
      <c r="L53" s="7">
        <f t="shared" si="30"/>
        <v>-26500</v>
      </c>
      <c r="M53" s="3"/>
      <c r="N53" s="8">
        <f t="shared" si="31"/>
        <v>-1</v>
      </c>
      <c r="O53" s="12"/>
      <c r="P53" s="7"/>
      <c r="Q53" s="3"/>
      <c r="R53" s="8">
        <f t="shared" si="32"/>
        <v>0</v>
      </c>
      <c r="S53" s="3"/>
      <c r="T53" s="7">
        <v>26500</v>
      </c>
      <c r="U53" s="3"/>
      <c r="V53" s="8">
        <f t="shared" si="33"/>
        <v>0</v>
      </c>
      <c r="W53" s="3"/>
      <c r="X53" s="7">
        <f t="shared" si="34"/>
        <v>-26500</v>
      </c>
      <c r="Y53" s="3"/>
      <c r="Z53" s="8">
        <f t="shared" si="35"/>
        <v>-1</v>
      </c>
    </row>
    <row r="54" spans="1:26" s="29" customFormat="1" outlineLevel="1" collapsed="1" x14ac:dyDescent="0.25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500</v>
      </c>
      <c r="I54" s="1"/>
      <c r="J54" s="5">
        <f t="shared" si="29"/>
        <v>0</v>
      </c>
      <c r="K54" s="1"/>
      <c r="L54" s="1">
        <f t="shared" si="30"/>
        <v>-500</v>
      </c>
      <c r="M54" s="1"/>
      <c r="N54" s="5">
        <f t="shared" si="31"/>
        <v>-1</v>
      </c>
      <c r="O54" s="14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500</v>
      </c>
      <c r="U54" s="1"/>
      <c r="V54" s="5">
        <f t="shared" si="33"/>
        <v>0</v>
      </c>
      <c r="W54" s="1"/>
      <c r="X54" s="1">
        <f t="shared" si="34"/>
        <v>-500</v>
      </c>
      <c r="Y54" s="1"/>
      <c r="Z54" s="5">
        <f t="shared" si="35"/>
        <v>-1</v>
      </c>
    </row>
    <row r="55" spans="1:26" s="24" customFormat="1" hidden="1" outlineLevel="2" x14ac:dyDescent="0.25">
      <c r="A55" s="27"/>
      <c r="B55" s="12" t="str">
        <f>CONCATENATE("          ", "6277", " - ", "EMPLOYEE APPRECIATION")</f>
        <v xml:space="preserve">          6277 - EMPLOYEE APPRECIATION</v>
      </c>
      <c r="C55" s="12"/>
      <c r="D55" s="7"/>
      <c r="E55" s="3"/>
      <c r="F55" s="8">
        <f t="shared" si="28"/>
        <v>0</v>
      </c>
      <c r="G55" s="3"/>
      <c r="H55" s="7">
        <v>500</v>
      </c>
      <c r="I55" s="3"/>
      <c r="J55" s="8">
        <f t="shared" si="29"/>
        <v>0</v>
      </c>
      <c r="K55" s="3"/>
      <c r="L55" s="7">
        <f t="shared" si="30"/>
        <v>-500</v>
      </c>
      <c r="M55" s="3"/>
      <c r="N55" s="8">
        <f t="shared" si="31"/>
        <v>-1</v>
      </c>
      <c r="O55" s="12"/>
      <c r="P55" s="7"/>
      <c r="Q55" s="3"/>
      <c r="R55" s="8">
        <f t="shared" si="32"/>
        <v>0</v>
      </c>
      <c r="S55" s="3"/>
      <c r="T55" s="7">
        <v>500</v>
      </c>
      <c r="U55" s="3"/>
      <c r="V55" s="8">
        <f t="shared" si="33"/>
        <v>0</v>
      </c>
      <c r="W55" s="3"/>
      <c r="X55" s="7">
        <f t="shared" si="34"/>
        <v>-500</v>
      </c>
      <c r="Y55" s="3"/>
      <c r="Z55" s="8">
        <f t="shared" si="35"/>
        <v>-1</v>
      </c>
    </row>
    <row r="56" spans="1:26" s="29" customFormat="1" outlineLevel="1" collapsed="1" x14ac:dyDescent="0.25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208.97</v>
      </c>
      <c r="E56" s="1"/>
      <c r="F56" s="5">
        <f t="shared" si="28"/>
        <v>0</v>
      </c>
      <c r="G56" s="1"/>
      <c r="H56" s="1">
        <f>SUM(OSRRefH22_8x_0)</f>
        <v>209</v>
      </c>
      <c r="I56" s="1"/>
      <c r="J56" s="5">
        <f t="shared" si="29"/>
        <v>0</v>
      </c>
      <c r="K56" s="1"/>
      <c r="L56" s="1">
        <f t="shared" si="30"/>
        <v>-3.0000000000001137E-2</v>
      </c>
      <c r="M56" s="1"/>
      <c r="N56" s="5">
        <f t="shared" si="31"/>
        <v>-1.4354066985646478E-4</v>
      </c>
      <c r="O56" s="14"/>
      <c r="P56" s="1">
        <f>SUM(OSRRefP22_8x_0)</f>
        <v>208.97</v>
      </c>
      <c r="Q56" s="1"/>
      <c r="R56" s="5">
        <f t="shared" si="32"/>
        <v>0</v>
      </c>
      <c r="S56" s="1"/>
      <c r="T56" s="1">
        <f>SUM(OSRRefT22_8x_0)</f>
        <v>209</v>
      </c>
      <c r="U56" s="1"/>
      <c r="V56" s="5">
        <f t="shared" si="33"/>
        <v>0</v>
      </c>
      <c r="W56" s="1"/>
      <c r="X56" s="1">
        <f t="shared" si="34"/>
        <v>-3.0000000000001137E-2</v>
      </c>
      <c r="Y56" s="1"/>
      <c r="Z56" s="5">
        <f t="shared" si="35"/>
        <v>-1.4354066985646478E-4</v>
      </c>
    </row>
    <row r="57" spans="1:26" s="24" customFormat="1" hidden="1" outlineLevel="2" x14ac:dyDescent="0.25">
      <c r="A57" s="27"/>
      <c r="B57" s="12" t="str">
        <f>CONCATENATE("          ", "6351", " - ", "EQUIPMENT RENTAL")</f>
        <v xml:space="preserve">          6351 - EQUIPMENT RENTAL</v>
      </c>
      <c r="C57" s="12"/>
      <c r="D57" s="7">
        <v>208.97</v>
      </c>
      <c r="E57" s="3"/>
      <c r="F57" s="8">
        <f t="shared" si="28"/>
        <v>0</v>
      </c>
      <c r="G57" s="3"/>
      <c r="H57" s="7">
        <v>209</v>
      </c>
      <c r="I57" s="3"/>
      <c r="J57" s="8">
        <f t="shared" si="29"/>
        <v>0</v>
      </c>
      <c r="K57" s="3"/>
      <c r="L57" s="7">
        <f t="shared" si="30"/>
        <v>-3.0000000000001137E-2</v>
      </c>
      <c r="M57" s="3"/>
      <c r="N57" s="8">
        <f t="shared" si="31"/>
        <v>-1.4354066985646478E-4</v>
      </c>
      <c r="O57" s="12"/>
      <c r="P57" s="7">
        <v>208.97</v>
      </c>
      <c r="Q57" s="3"/>
      <c r="R57" s="8">
        <f t="shared" si="32"/>
        <v>0</v>
      </c>
      <c r="S57" s="3"/>
      <c r="T57" s="7">
        <v>209</v>
      </c>
      <c r="U57" s="3"/>
      <c r="V57" s="8">
        <f t="shared" si="33"/>
        <v>0</v>
      </c>
      <c r="W57" s="3"/>
      <c r="X57" s="7">
        <f t="shared" si="34"/>
        <v>-3.0000000000001137E-2</v>
      </c>
      <c r="Y57" s="3"/>
      <c r="Z57" s="8">
        <f t="shared" si="35"/>
        <v>-1.4354066985646478E-4</v>
      </c>
    </row>
    <row r="58" spans="1:26" s="29" customFormat="1" outlineLevel="1" collapsed="1" x14ac:dyDescent="0.25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SUM(OSRRefD22_9x_0)</f>
        <v>84</v>
      </c>
      <c r="E58" s="1"/>
      <c r="F58" s="5">
        <f t="shared" si="28"/>
        <v>0</v>
      </c>
      <c r="G58" s="1"/>
      <c r="H58" s="1">
        <f>SUM(OSRRefH22_9x_0)</f>
        <v>198</v>
      </c>
      <c r="I58" s="1"/>
      <c r="J58" s="5">
        <f t="shared" si="29"/>
        <v>0</v>
      </c>
      <c r="K58" s="1"/>
      <c r="L58" s="1">
        <f t="shared" si="30"/>
        <v>-114</v>
      </c>
      <c r="M58" s="1"/>
      <c r="N58" s="5">
        <f t="shared" si="31"/>
        <v>-0.5757575757575758</v>
      </c>
      <c r="O58" s="14"/>
      <c r="P58" s="1">
        <f>SUM(OSRRefP22_9x_0)</f>
        <v>84</v>
      </c>
      <c r="Q58" s="1"/>
      <c r="R58" s="5">
        <f t="shared" si="32"/>
        <v>0</v>
      </c>
      <c r="S58" s="1"/>
      <c r="T58" s="1">
        <f>SUM(OSRRefT22_9x_0)</f>
        <v>198</v>
      </c>
      <c r="U58" s="1"/>
      <c r="V58" s="5">
        <f t="shared" si="33"/>
        <v>0</v>
      </c>
      <c r="W58" s="1"/>
      <c r="X58" s="1">
        <f t="shared" si="34"/>
        <v>-114</v>
      </c>
      <c r="Y58" s="1"/>
      <c r="Z58" s="5">
        <f t="shared" si="35"/>
        <v>-0.5757575757575758</v>
      </c>
    </row>
    <row r="59" spans="1:26" s="24" customFormat="1" hidden="1" outlineLevel="2" x14ac:dyDescent="0.25">
      <c r="A59" s="27"/>
      <c r="B59" s="12" t="str">
        <f>CONCATENATE("          ", "6307", " - ", "POSTAGE")</f>
        <v xml:space="preserve">          6307 - POSTAGE</v>
      </c>
      <c r="C59" s="12"/>
      <c r="D59" s="7">
        <v>84</v>
      </c>
      <c r="E59" s="3"/>
      <c r="F59" s="8">
        <f t="shared" si="28"/>
        <v>0</v>
      </c>
      <c r="G59" s="3"/>
      <c r="H59" s="7">
        <v>198</v>
      </c>
      <c r="I59" s="3"/>
      <c r="J59" s="8">
        <f t="shared" si="29"/>
        <v>0</v>
      </c>
      <c r="K59" s="3"/>
      <c r="L59" s="7">
        <f t="shared" si="30"/>
        <v>-114</v>
      </c>
      <c r="M59" s="3"/>
      <c r="N59" s="8">
        <f t="shared" si="31"/>
        <v>-0.5757575757575758</v>
      </c>
      <c r="O59" s="12"/>
      <c r="P59" s="7">
        <v>84</v>
      </c>
      <c r="Q59" s="3"/>
      <c r="R59" s="8">
        <f t="shared" si="32"/>
        <v>0</v>
      </c>
      <c r="S59" s="3"/>
      <c r="T59" s="7">
        <v>198</v>
      </c>
      <c r="U59" s="3"/>
      <c r="V59" s="8">
        <f t="shared" si="33"/>
        <v>0</v>
      </c>
      <c r="W59" s="3"/>
      <c r="X59" s="7">
        <f t="shared" si="34"/>
        <v>-114</v>
      </c>
      <c r="Y59" s="3"/>
      <c r="Z59" s="8">
        <f t="shared" si="35"/>
        <v>-0.5757575757575758</v>
      </c>
    </row>
    <row r="60" spans="1:26" s="29" customFormat="1" outlineLevel="1" collapsed="1" x14ac:dyDescent="0.25">
      <c r="A60" s="28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SUM(OSRRefD22_10x_0)</f>
        <v>0</v>
      </c>
      <c r="E60" s="1"/>
      <c r="F60" s="5">
        <f t="shared" si="28"/>
        <v>0</v>
      </c>
      <c r="G60" s="1"/>
      <c r="H60" s="1">
        <f>SUM(OSRRefH22_10x_0)</f>
        <v>833</v>
      </c>
      <c r="I60" s="1"/>
      <c r="J60" s="5">
        <f t="shared" si="29"/>
        <v>0</v>
      </c>
      <c r="K60" s="1"/>
      <c r="L60" s="1">
        <f t="shared" si="30"/>
        <v>-833</v>
      </c>
      <c r="M60" s="1"/>
      <c r="N60" s="5">
        <f t="shared" si="31"/>
        <v>-1</v>
      </c>
      <c r="O60" s="14"/>
      <c r="P60" s="1">
        <f>SUM(OSRRefP22_10x_0)</f>
        <v>0</v>
      </c>
      <c r="Q60" s="1"/>
      <c r="R60" s="5">
        <f t="shared" si="32"/>
        <v>0</v>
      </c>
      <c r="S60" s="1"/>
      <c r="T60" s="1">
        <f>SUM(OSRRefT22_10x_0)</f>
        <v>833</v>
      </c>
      <c r="U60" s="1"/>
      <c r="V60" s="5">
        <f t="shared" si="33"/>
        <v>0</v>
      </c>
      <c r="W60" s="1"/>
      <c r="X60" s="1">
        <f t="shared" si="34"/>
        <v>-833</v>
      </c>
      <c r="Y60" s="1"/>
      <c r="Z60" s="5">
        <f t="shared" si="35"/>
        <v>-1</v>
      </c>
    </row>
    <row r="61" spans="1:26" s="24" customFormat="1" hidden="1" outlineLevel="2" x14ac:dyDescent="0.25">
      <c r="A61" s="27"/>
      <c r="B61" s="12" t="str">
        <f>CONCATENATE("          ", "6279", " - ", "GENERAL EXPENSE")</f>
        <v xml:space="preserve">          6279 - GENERAL EXPENSE</v>
      </c>
      <c r="C61" s="12"/>
      <c r="D61" s="7"/>
      <c r="E61" s="3"/>
      <c r="F61" s="8">
        <f t="shared" si="28"/>
        <v>0</v>
      </c>
      <c r="G61" s="3"/>
      <c r="H61" s="7">
        <v>833</v>
      </c>
      <c r="I61" s="3"/>
      <c r="J61" s="8">
        <f t="shared" si="29"/>
        <v>0</v>
      </c>
      <c r="K61" s="3"/>
      <c r="L61" s="7">
        <f t="shared" si="30"/>
        <v>-833</v>
      </c>
      <c r="M61" s="3"/>
      <c r="N61" s="8">
        <f t="shared" si="31"/>
        <v>-1</v>
      </c>
      <c r="O61" s="12"/>
      <c r="P61" s="7"/>
      <c r="Q61" s="3"/>
      <c r="R61" s="8">
        <f t="shared" si="32"/>
        <v>0</v>
      </c>
      <c r="S61" s="3"/>
      <c r="T61" s="7">
        <v>833</v>
      </c>
      <c r="U61" s="3"/>
      <c r="V61" s="8">
        <f t="shared" si="33"/>
        <v>0</v>
      </c>
      <c r="W61" s="3"/>
      <c r="X61" s="7">
        <f t="shared" si="34"/>
        <v>-833</v>
      </c>
      <c r="Y61" s="3"/>
      <c r="Z61" s="8">
        <f t="shared" si="35"/>
        <v>-1</v>
      </c>
    </row>
    <row r="62" spans="1:26" s="29" customFormat="1" outlineLevel="1" collapsed="1" x14ac:dyDescent="0.25">
      <c r="A62" s="28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SUM(OSRRefD22_11x_0)</f>
        <v>393.67</v>
      </c>
      <c r="E62" s="1"/>
      <c r="F62" s="5">
        <f t="shared" si="28"/>
        <v>0</v>
      </c>
      <c r="G62" s="1"/>
      <c r="H62" s="1">
        <f>SUM(OSRRefH22_11x_0)</f>
        <v>1751</v>
      </c>
      <c r="I62" s="1"/>
      <c r="J62" s="5">
        <f t="shared" si="29"/>
        <v>0</v>
      </c>
      <c r="K62" s="1"/>
      <c r="L62" s="1">
        <f t="shared" si="30"/>
        <v>-1357.33</v>
      </c>
      <c r="M62" s="1"/>
      <c r="N62" s="5">
        <f t="shared" si="31"/>
        <v>-0.7751741861793261</v>
      </c>
      <c r="O62" s="14"/>
      <c r="P62" s="1">
        <f>SUM(OSRRefP22_11x_0)</f>
        <v>393.67</v>
      </c>
      <c r="Q62" s="1"/>
      <c r="R62" s="5">
        <f t="shared" si="32"/>
        <v>0</v>
      </c>
      <c r="S62" s="1"/>
      <c r="T62" s="1">
        <f>SUM(OSRRefT22_11x_0)</f>
        <v>1751</v>
      </c>
      <c r="U62" s="1"/>
      <c r="V62" s="5">
        <f t="shared" si="33"/>
        <v>0</v>
      </c>
      <c r="W62" s="1"/>
      <c r="X62" s="1">
        <f t="shared" si="34"/>
        <v>-1357.33</v>
      </c>
      <c r="Y62" s="1"/>
      <c r="Z62" s="5">
        <f t="shared" si="35"/>
        <v>-0.7751741861793261</v>
      </c>
    </row>
    <row r="63" spans="1:26" s="24" customFormat="1" hidden="1" outlineLevel="2" x14ac:dyDescent="0.25">
      <c r="A63" s="27"/>
      <c r="B63" s="12" t="str">
        <f>CONCATENATE("          ", "6312", " - ", "FIRE &amp; THEFT INSURANCE")</f>
        <v xml:space="preserve">          6312 - FIRE &amp; THEFT INSURANCE</v>
      </c>
      <c r="C63" s="12"/>
      <c r="D63" s="7"/>
      <c r="E63" s="3"/>
      <c r="F63" s="8">
        <f t="shared" si="28"/>
        <v>0</v>
      </c>
      <c r="G63" s="3"/>
      <c r="H63" s="7">
        <v>780</v>
      </c>
      <c r="I63" s="3"/>
      <c r="J63" s="8">
        <f t="shared" si="29"/>
        <v>0</v>
      </c>
      <c r="K63" s="3"/>
      <c r="L63" s="7">
        <f t="shared" si="30"/>
        <v>-780</v>
      </c>
      <c r="M63" s="3"/>
      <c r="N63" s="8">
        <f t="shared" si="31"/>
        <v>-1</v>
      </c>
      <c r="O63" s="12"/>
      <c r="P63" s="7"/>
      <c r="Q63" s="3"/>
      <c r="R63" s="8">
        <f t="shared" si="32"/>
        <v>0</v>
      </c>
      <c r="S63" s="3"/>
      <c r="T63" s="7">
        <v>780</v>
      </c>
      <c r="U63" s="3"/>
      <c r="V63" s="8">
        <f t="shared" si="33"/>
        <v>0</v>
      </c>
      <c r="W63" s="3"/>
      <c r="X63" s="7">
        <f t="shared" si="34"/>
        <v>-780</v>
      </c>
      <c r="Y63" s="3"/>
      <c r="Z63" s="8">
        <f t="shared" si="35"/>
        <v>-1</v>
      </c>
    </row>
    <row r="64" spans="1:26" s="24" customFormat="1" hidden="1" outlineLevel="2" x14ac:dyDescent="0.25">
      <c r="A64" s="27"/>
      <c r="B64" s="12" t="str">
        <f>CONCATENATE("          ", "6314", " - ", "LIABILITY INSURANCE")</f>
        <v xml:space="preserve">          6314 - LIABILITY INSURANCE</v>
      </c>
      <c r="C64" s="12"/>
      <c r="D64" s="7">
        <v>393.67</v>
      </c>
      <c r="E64" s="3"/>
      <c r="F64" s="8">
        <f t="shared" si="28"/>
        <v>0</v>
      </c>
      <c r="G64" s="3"/>
      <c r="H64" s="7">
        <v>971</v>
      </c>
      <c r="I64" s="3"/>
      <c r="J64" s="8">
        <f t="shared" si="29"/>
        <v>0</v>
      </c>
      <c r="K64" s="3"/>
      <c r="L64" s="7">
        <f t="shared" si="30"/>
        <v>-577.32999999999993</v>
      </c>
      <c r="M64" s="3"/>
      <c r="N64" s="8">
        <f t="shared" si="31"/>
        <v>-0.594572605561277</v>
      </c>
      <c r="O64" s="12"/>
      <c r="P64" s="7">
        <v>393.67</v>
      </c>
      <c r="Q64" s="3"/>
      <c r="R64" s="8">
        <f t="shared" si="32"/>
        <v>0</v>
      </c>
      <c r="S64" s="3"/>
      <c r="T64" s="7">
        <v>971</v>
      </c>
      <c r="U64" s="3"/>
      <c r="V64" s="8">
        <f t="shared" si="33"/>
        <v>0</v>
      </c>
      <c r="W64" s="3"/>
      <c r="X64" s="7">
        <f t="shared" si="34"/>
        <v>-577.32999999999993</v>
      </c>
      <c r="Y64" s="3"/>
      <c r="Z64" s="8">
        <f t="shared" si="35"/>
        <v>-0.594572605561277</v>
      </c>
    </row>
    <row r="65" spans="1:26" s="29" customFormat="1" outlineLevel="1" collapsed="1" x14ac:dyDescent="0.25">
      <c r="A65" s="28"/>
      <c r="B65" s="14" t="str">
        <f>CONCATENATE("     ","Professional Services                             ")</f>
        <v xml:space="preserve">     Professional Services                             </v>
      </c>
      <c r="C65" s="14"/>
      <c r="D65" s="1">
        <f>SUM(OSRRefD22_12x_0)</f>
        <v>1755</v>
      </c>
      <c r="E65" s="1"/>
      <c r="F65" s="5">
        <f t="shared" ref="F65:F69" si="36">IF(D$12=0,0,D65/D$12)</f>
        <v>0</v>
      </c>
      <c r="G65" s="1"/>
      <c r="H65" s="1">
        <f>SUM(OSRRefH22_12x_0)</f>
        <v>15833</v>
      </c>
      <c r="I65" s="1"/>
      <c r="J65" s="5">
        <f t="shared" ref="J65:J69" si="37">IF(H$12=0,0,H65/H$12)</f>
        <v>0</v>
      </c>
      <c r="K65" s="1"/>
      <c r="L65" s="1">
        <f t="shared" ref="L65:L69" si="38">+D65-H65</f>
        <v>-14078</v>
      </c>
      <c r="M65" s="1"/>
      <c r="N65" s="5">
        <f t="shared" ref="N65:N69" si="39">IF(H65=0,0,L65/H65)</f>
        <v>-0.88915556116970884</v>
      </c>
      <c r="O65" s="14"/>
      <c r="P65" s="1">
        <f>SUM(OSRRefP22_12x_0)</f>
        <v>1755</v>
      </c>
      <c r="Q65" s="1"/>
      <c r="R65" s="5">
        <f t="shared" ref="R65:R69" si="40">IF(P$12=0,0,P65/P$12)</f>
        <v>0</v>
      </c>
      <c r="S65" s="1"/>
      <c r="T65" s="1">
        <f>SUM(OSRRefT22_12x_0)</f>
        <v>15833</v>
      </c>
      <c r="U65" s="1"/>
      <c r="V65" s="5">
        <f t="shared" ref="V65:V69" si="41">IF(T$12=0,0,T65/T$12)</f>
        <v>0</v>
      </c>
      <c r="W65" s="1"/>
      <c r="X65" s="1">
        <f t="shared" ref="X65:X69" si="42">+P65-T65</f>
        <v>-14078</v>
      </c>
      <c r="Y65" s="1"/>
      <c r="Z65" s="5">
        <f t="shared" ref="Z65:Z69" si="43">IF(T65=0,0,X65/T65)</f>
        <v>-0.88915556116970884</v>
      </c>
    </row>
    <row r="66" spans="1:26" s="24" customFormat="1" hidden="1" outlineLevel="2" x14ac:dyDescent="0.25">
      <c r="A66" s="27"/>
      <c r="B66" s="12" t="str">
        <f>CONCATENATE("          ", "6331", " - ", "INDIRECT COSTS-AUXILIARY ORGAN")</f>
        <v xml:space="preserve">          6331 - INDIRECT COSTS-AUXILIARY ORGAN</v>
      </c>
      <c r="C66" s="12"/>
      <c r="D66" s="7"/>
      <c r="E66" s="3"/>
      <c r="F66" s="8">
        <f t="shared" si="36"/>
        <v>0</v>
      </c>
      <c r="G66" s="3"/>
      <c r="H66" s="7">
        <v>13500</v>
      </c>
      <c r="I66" s="3"/>
      <c r="J66" s="8">
        <f t="shared" si="37"/>
        <v>0</v>
      </c>
      <c r="K66" s="3"/>
      <c r="L66" s="7">
        <f t="shared" si="38"/>
        <v>-13500</v>
      </c>
      <c r="M66" s="3"/>
      <c r="N66" s="8">
        <f t="shared" si="39"/>
        <v>-1</v>
      </c>
      <c r="O66" s="12"/>
      <c r="P66" s="7"/>
      <c r="Q66" s="3"/>
      <c r="R66" s="8">
        <f t="shared" si="40"/>
        <v>0</v>
      </c>
      <c r="S66" s="3"/>
      <c r="T66" s="7">
        <v>13500</v>
      </c>
      <c r="U66" s="3"/>
      <c r="V66" s="8">
        <f t="shared" si="41"/>
        <v>0</v>
      </c>
      <c r="W66" s="3"/>
      <c r="X66" s="7">
        <f t="shared" si="42"/>
        <v>-13500</v>
      </c>
      <c r="Y66" s="3"/>
      <c r="Z66" s="8">
        <f t="shared" si="43"/>
        <v>-1</v>
      </c>
    </row>
    <row r="67" spans="1:26" s="24" customFormat="1" hidden="1" outlineLevel="2" x14ac:dyDescent="0.25">
      <c r="A67" s="27"/>
      <c r="B67" s="12" t="str">
        <f>CONCATENATE("          ", "6332", " - ", "CONSULTANT FEES")</f>
        <v xml:space="preserve">          6332 - CONSULTANT FEES</v>
      </c>
      <c r="C67" s="12"/>
      <c r="D67" s="7"/>
      <c r="E67" s="3"/>
      <c r="F67" s="8">
        <f t="shared" si="36"/>
        <v>0</v>
      </c>
      <c r="G67" s="3"/>
      <c r="H67" s="7">
        <v>250</v>
      </c>
      <c r="I67" s="3"/>
      <c r="J67" s="8">
        <f t="shared" si="37"/>
        <v>0</v>
      </c>
      <c r="K67" s="3"/>
      <c r="L67" s="7">
        <f t="shared" si="38"/>
        <v>-250</v>
      </c>
      <c r="M67" s="3"/>
      <c r="N67" s="8">
        <f t="shared" si="39"/>
        <v>-1</v>
      </c>
      <c r="O67" s="12"/>
      <c r="P67" s="7"/>
      <c r="Q67" s="3"/>
      <c r="R67" s="8">
        <f t="shared" si="40"/>
        <v>0</v>
      </c>
      <c r="S67" s="3"/>
      <c r="T67" s="7">
        <v>250</v>
      </c>
      <c r="U67" s="3"/>
      <c r="V67" s="8">
        <f t="shared" si="41"/>
        <v>0</v>
      </c>
      <c r="W67" s="3"/>
      <c r="X67" s="7">
        <f t="shared" si="42"/>
        <v>-250</v>
      </c>
      <c r="Y67" s="3"/>
      <c r="Z67" s="8">
        <f t="shared" si="43"/>
        <v>-1</v>
      </c>
    </row>
    <row r="68" spans="1:26" s="24" customFormat="1" hidden="1" outlineLevel="2" x14ac:dyDescent="0.25">
      <c r="A68" s="27"/>
      <c r="B68" s="12" t="str">
        <f>CONCATENATE("          ", "6334", " - ", "LEGAL COUNCIL EXPENSE")</f>
        <v xml:space="preserve">          6334 - LEGAL COUNCIL EXPENSE</v>
      </c>
      <c r="C68" s="12"/>
      <c r="D68" s="7">
        <v>100</v>
      </c>
      <c r="E68" s="3"/>
      <c r="F68" s="8">
        <f t="shared" si="36"/>
        <v>0</v>
      </c>
      <c r="G68" s="3"/>
      <c r="H68" s="7">
        <v>833</v>
      </c>
      <c r="I68" s="3"/>
      <c r="J68" s="8">
        <f t="shared" si="37"/>
        <v>0</v>
      </c>
      <c r="K68" s="3"/>
      <c r="L68" s="7">
        <f t="shared" si="38"/>
        <v>-733</v>
      </c>
      <c r="M68" s="3"/>
      <c r="N68" s="8">
        <f t="shared" si="39"/>
        <v>-0.87995198079231696</v>
      </c>
      <c r="O68" s="12"/>
      <c r="P68" s="7">
        <v>100</v>
      </c>
      <c r="Q68" s="3"/>
      <c r="R68" s="8">
        <f t="shared" si="40"/>
        <v>0</v>
      </c>
      <c r="S68" s="3"/>
      <c r="T68" s="7">
        <v>833</v>
      </c>
      <c r="U68" s="3"/>
      <c r="V68" s="8">
        <f t="shared" si="41"/>
        <v>0</v>
      </c>
      <c r="W68" s="3"/>
      <c r="X68" s="7">
        <f t="shared" si="42"/>
        <v>-733</v>
      </c>
      <c r="Y68" s="3"/>
      <c r="Z68" s="8">
        <f t="shared" si="43"/>
        <v>-0.87995198079231696</v>
      </c>
    </row>
    <row r="69" spans="1:26" s="24" customFormat="1" hidden="1" outlineLevel="2" x14ac:dyDescent="0.25">
      <c r="A69" s="27"/>
      <c r="B69" s="12" t="str">
        <f>CONCATENATE("          ", "6336", " - ", "PROFESSIONAL SERVICES")</f>
        <v xml:space="preserve">          6336 - PROFESSIONAL SERVICES</v>
      </c>
      <c r="C69" s="12"/>
      <c r="D69" s="7">
        <v>1655</v>
      </c>
      <c r="E69" s="3"/>
      <c r="F69" s="8">
        <f t="shared" si="36"/>
        <v>0</v>
      </c>
      <c r="G69" s="3"/>
      <c r="H69" s="7">
        <v>1250</v>
      </c>
      <c r="I69" s="3"/>
      <c r="J69" s="8">
        <f t="shared" si="37"/>
        <v>0</v>
      </c>
      <c r="K69" s="3"/>
      <c r="L69" s="7">
        <f t="shared" si="38"/>
        <v>405</v>
      </c>
      <c r="M69" s="3"/>
      <c r="N69" s="8">
        <f t="shared" si="39"/>
        <v>0.32400000000000001</v>
      </c>
      <c r="O69" s="12"/>
      <c r="P69" s="7">
        <v>1655</v>
      </c>
      <c r="Q69" s="3"/>
      <c r="R69" s="8">
        <f t="shared" si="40"/>
        <v>0</v>
      </c>
      <c r="S69" s="3"/>
      <c r="T69" s="7">
        <v>1250</v>
      </c>
      <c r="U69" s="3"/>
      <c r="V69" s="8">
        <f t="shared" si="41"/>
        <v>0</v>
      </c>
      <c r="W69" s="3"/>
      <c r="X69" s="7">
        <f t="shared" si="42"/>
        <v>405</v>
      </c>
      <c r="Y69" s="3"/>
      <c r="Z69" s="8">
        <f t="shared" si="43"/>
        <v>0.32400000000000001</v>
      </c>
    </row>
    <row r="70" spans="1:26" s="29" customFormat="1" outlineLevel="1" collapsed="1" x14ac:dyDescent="0.25">
      <c r="A70" s="28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SUM(OSRRefD22_13x_0)</f>
        <v>20807.009999999998</v>
      </c>
      <c r="E70" s="1"/>
      <c r="F70" s="5">
        <f t="shared" ref="F70:F74" si="44">IF(D$12=0,0,D70/D$12)</f>
        <v>0</v>
      </c>
      <c r="G70" s="1"/>
      <c r="H70" s="1">
        <f>SUM(OSRRefH22_13x_0)</f>
        <v>13952</v>
      </c>
      <c r="I70" s="1"/>
      <c r="J70" s="5">
        <f t="shared" ref="J70:J74" si="45">IF(H$12=0,0,H70/H$12)</f>
        <v>0</v>
      </c>
      <c r="K70" s="1"/>
      <c r="L70" s="1">
        <f t="shared" ref="L70:L74" si="46">+D70-H70</f>
        <v>6855.0099999999984</v>
      </c>
      <c r="M70" s="1"/>
      <c r="N70" s="5">
        <f t="shared" ref="N70:N74" si="47">IF(H70=0,0,L70/H70)</f>
        <v>0.49132812499999989</v>
      </c>
      <c r="O70" s="14"/>
      <c r="P70" s="1">
        <f>SUM(OSRRefP22_13x_0)</f>
        <v>20807.009999999998</v>
      </c>
      <c r="Q70" s="1"/>
      <c r="R70" s="5">
        <f t="shared" ref="R70:R74" si="48">IF(P$12=0,0,P70/P$12)</f>
        <v>0</v>
      </c>
      <c r="S70" s="1"/>
      <c r="T70" s="1">
        <f>SUM(OSRRefT22_13x_0)</f>
        <v>13952</v>
      </c>
      <c r="U70" s="1"/>
      <c r="V70" s="5">
        <f t="shared" ref="V70:V74" si="49">IF(T$12=0,0,T70/T$12)</f>
        <v>0</v>
      </c>
      <c r="W70" s="1"/>
      <c r="X70" s="1">
        <f t="shared" ref="X70:X74" si="50">+P70-T70</f>
        <v>6855.0099999999984</v>
      </c>
      <c r="Y70" s="1"/>
      <c r="Z70" s="5">
        <f t="shared" ref="Z70:Z74" si="51">IF(T70=0,0,X70/T70)</f>
        <v>0.49132812499999989</v>
      </c>
    </row>
    <row r="71" spans="1:26" s="24" customFormat="1" hidden="1" outlineLevel="2" x14ac:dyDescent="0.25">
      <c r="A71" s="27"/>
      <c r="B71" s="12" t="str">
        <f>CONCATENATE("          ", "6371", " - ", "COMPUTER SOFTWARE MAINTENANCE")</f>
        <v xml:space="preserve">          6371 - COMPUTER SOFTWARE MAINTENANCE</v>
      </c>
      <c r="C71" s="12"/>
      <c r="D71" s="7">
        <v>4532.2</v>
      </c>
      <c r="E71" s="3"/>
      <c r="F71" s="8">
        <f t="shared" si="44"/>
        <v>0</v>
      </c>
      <c r="G71" s="3"/>
      <c r="H71" s="7">
        <v>8470</v>
      </c>
      <c r="I71" s="3"/>
      <c r="J71" s="8">
        <f t="shared" si="45"/>
        <v>0</v>
      </c>
      <c r="K71" s="3"/>
      <c r="L71" s="7">
        <f t="shared" si="46"/>
        <v>-3937.8</v>
      </c>
      <c r="M71" s="3"/>
      <c r="N71" s="8">
        <f t="shared" si="47"/>
        <v>-0.46491145218417945</v>
      </c>
      <c r="O71" s="12"/>
      <c r="P71" s="7">
        <v>4532.2</v>
      </c>
      <c r="Q71" s="3"/>
      <c r="R71" s="8">
        <f t="shared" si="48"/>
        <v>0</v>
      </c>
      <c r="S71" s="3"/>
      <c r="T71" s="7">
        <v>8470</v>
      </c>
      <c r="U71" s="3"/>
      <c r="V71" s="8">
        <f t="shared" si="49"/>
        <v>0</v>
      </c>
      <c r="W71" s="3"/>
      <c r="X71" s="7">
        <f t="shared" si="50"/>
        <v>-3937.8</v>
      </c>
      <c r="Y71" s="3"/>
      <c r="Z71" s="8">
        <f t="shared" si="51"/>
        <v>-0.46491145218417945</v>
      </c>
    </row>
    <row r="72" spans="1:26" s="24" customFormat="1" hidden="1" outlineLevel="2" x14ac:dyDescent="0.25">
      <c r="A72" s="27"/>
      <c r="B72" s="12" t="str">
        <f>CONCATENATE("          ", "6372", " - ", "COMPUTER HARDWARE MAINTENANCE")</f>
        <v xml:space="preserve">          6372 - COMPUTER HARDWARE MAINTENANCE</v>
      </c>
      <c r="C72" s="12"/>
      <c r="D72" s="7"/>
      <c r="E72" s="3"/>
      <c r="F72" s="8">
        <f t="shared" si="44"/>
        <v>0</v>
      </c>
      <c r="G72" s="3"/>
      <c r="H72" s="7">
        <v>1600</v>
      </c>
      <c r="I72" s="3"/>
      <c r="J72" s="8">
        <f t="shared" si="45"/>
        <v>0</v>
      </c>
      <c r="K72" s="3"/>
      <c r="L72" s="7">
        <f t="shared" si="46"/>
        <v>-1600</v>
      </c>
      <c r="M72" s="3"/>
      <c r="N72" s="8">
        <f t="shared" si="47"/>
        <v>-1</v>
      </c>
      <c r="O72" s="12"/>
      <c r="P72" s="7"/>
      <c r="Q72" s="3"/>
      <c r="R72" s="8">
        <f t="shared" si="48"/>
        <v>0</v>
      </c>
      <c r="S72" s="3"/>
      <c r="T72" s="7">
        <v>1600</v>
      </c>
      <c r="U72" s="3"/>
      <c r="V72" s="8">
        <f t="shared" si="49"/>
        <v>0</v>
      </c>
      <c r="W72" s="3"/>
      <c r="X72" s="7">
        <f t="shared" si="50"/>
        <v>-1600</v>
      </c>
      <c r="Y72" s="3"/>
      <c r="Z72" s="8">
        <f t="shared" si="51"/>
        <v>-1</v>
      </c>
    </row>
    <row r="73" spans="1:26" s="24" customFormat="1" hidden="1" outlineLevel="2" x14ac:dyDescent="0.25">
      <c r="A73" s="27"/>
      <c r="B73" s="12" t="str">
        <f>CONCATENATE("          ", "6373", " - ", "MAINTENANCE CONTRACTS")</f>
        <v xml:space="preserve">          6373 - MAINTENANCE CONTRACTS</v>
      </c>
      <c r="C73" s="12"/>
      <c r="D73" s="7">
        <v>15455.62</v>
      </c>
      <c r="E73" s="3"/>
      <c r="F73" s="8">
        <f t="shared" si="44"/>
        <v>0</v>
      </c>
      <c r="G73" s="3"/>
      <c r="H73" s="7">
        <v>3882</v>
      </c>
      <c r="I73" s="3"/>
      <c r="J73" s="8">
        <f t="shared" si="45"/>
        <v>0</v>
      </c>
      <c r="K73" s="3"/>
      <c r="L73" s="7">
        <f t="shared" si="46"/>
        <v>11573.62</v>
      </c>
      <c r="M73" s="3"/>
      <c r="N73" s="8">
        <f t="shared" si="47"/>
        <v>2.981354971664091</v>
      </c>
      <c r="O73" s="12"/>
      <c r="P73" s="7">
        <v>15455.62</v>
      </c>
      <c r="Q73" s="3"/>
      <c r="R73" s="8">
        <f t="shared" si="48"/>
        <v>0</v>
      </c>
      <c r="S73" s="3"/>
      <c r="T73" s="7">
        <v>3882</v>
      </c>
      <c r="U73" s="3"/>
      <c r="V73" s="8">
        <f t="shared" si="49"/>
        <v>0</v>
      </c>
      <c r="W73" s="3"/>
      <c r="X73" s="7">
        <f t="shared" si="50"/>
        <v>11573.62</v>
      </c>
      <c r="Y73" s="3"/>
      <c r="Z73" s="8">
        <f t="shared" si="51"/>
        <v>2.981354971664091</v>
      </c>
    </row>
    <row r="74" spans="1:26" s="24" customFormat="1" hidden="1" outlineLevel="2" x14ac:dyDescent="0.25">
      <c r="A74" s="27"/>
      <c r="B74" s="12" t="str">
        <f>CONCATENATE("          ", "6375", " - ", "OUTSIDE REPAIRS &amp; MAINTENANCE")</f>
        <v xml:space="preserve">          6375 - OUTSIDE REPAIRS &amp; MAINTENANCE</v>
      </c>
      <c r="C74" s="12"/>
      <c r="D74" s="7">
        <v>819.19</v>
      </c>
      <c r="E74" s="3"/>
      <c r="F74" s="8">
        <f t="shared" si="44"/>
        <v>0</v>
      </c>
      <c r="G74" s="3"/>
      <c r="H74" s="7"/>
      <c r="I74" s="3"/>
      <c r="J74" s="8">
        <f t="shared" si="45"/>
        <v>0</v>
      </c>
      <c r="K74" s="3"/>
      <c r="L74" s="7">
        <f t="shared" si="46"/>
        <v>819.19</v>
      </c>
      <c r="M74" s="3"/>
      <c r="N74" s="8">
        <f t="shared" si="47"/>
        <v>0</v>
      </c>
      <c r="O74" s="12"/>
      <c r="P74" s="7">
        <v>819.19</v>
      </c>
      <c r="Q74" s="3"/>
      <c r="R74" s="8">
        <f t="shared" si="48"/>
        <v>0</v>
      </c>
      <c r="S74" s="3"/>
      <c r="T74" s="7"/>
      <c r="U74" s="3"/>
      <c r="V74" s="8">
        <f t="shared" si="49"/>
        <v>0</v>
      </c>
      <c r="W74" s="3"/>
      <c r="X74" s="7">
        <f t="shared" si="50"/>
        <v>819.19</v>
      </c>
      <c r="Y74" s="3"/>
      <c r="Z74" s="8">
        <f t="shared" si="51"/>
        <v>0</v>
      </c>
    </row>
    <row r="75" spans="1:26" s="29" customFormat="1" outlineLevel="1" collapsed="1" x14ac:dyDescent="0.25">
      <c r="A75" s="28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SUM(OSRRefD22_14x_0)</f>
        <v>512.48</v>
      </c>
      <c r="E75" s="1"/>
      <c r="F75" s="5">
        <f t="shared" ref="F75:F77" si="52">IF(D$12=0,0,D75/D$12)</f>
        <v>0</v>
      </c>
      <c r="G75" s="1"/>
      <c r="H75" s="1">
        <f>SUM(OSRRefH22_14x_0)</f>
        <v>525</v>
      </c>
      <c r="I75" s="1"/>
      <c r="J75" s="5">
        <f t="shared" ref="J75:J77" si="53">IF(H$12=0,0,H75/H$12)</f>
        <v>0</v>
      </c>
      <c r="K75" s="1"/>
      <c r="L75" s="1">
        <f t="shared" ref="L75:L77" si="54">+D75-H75</f>
        <v>-12.519999999999982</v>
      </c>
      <c r="M75" s="1"/>
      <c r="N75" s="5">
        <f t="shared" ref="N75:N77" si="55">IF(H75=0,0,L75/H75)</f>
        <v>-2.3847619047619013E-2</v>
      </c>
      <c r="O75" s="14"/>
      <c r="P75" s="1">
        <f>SUM(OSRRefP22_14x_0)</f>
        <v>512.48</v>
      </c>
      <c r="Q75" s="1"/>
      <c r="R75" s="5">
        <f t="shared" ref="R75:R77" si="56">IF(P$12=0,0,P75/P$12)</f>
        <v>0</v>
      </c>
      <c r="S75" s="1"/>
      <c r="T75" s="1">
        <f>SUM(OSRRefT22_14x_0)</f>
        <v>525</v>
      </c>
      <c r="U75" s="1"/>
      <c r="V75" s="5">
        <f t="shared" ref="V75:V77" si="57">IF(T$12=0,0,T75/T$12)</f>
        <v>0</v>
      </c>
      <c r="W75" s="1"/>
      <c r="X75" s="1">
        <f t="shared" ref="X75:X77" si="58">+P75-T75</f>
        <v>-12.519999999999982</v>
      </c>
      <c r="Y75" s="1"/>
      <c r="Z75" s="5">
        <f t="shared" ref="Z75:Z77" si="59">IF(T75=0,0,X75/T75)</f>
        <v>-2.3847619047619013E-2</v>
      </c>
    </row>
    <row r="76" spans="1:26" s="24" customFormat="1" hidden="1" outlineLevel="2" x14ac:dyDescent="0.25">
      <c r="A76" s="27"/>
      <c r="B76" s="12" t="str">
        <f>CONCATENATE("          ", "6281", " - ", "STORAGE FEE")</f>
        <v xml:space="preserve">          6281 - STORAGE FEE</v>
      </c>
      <c r="C76" s="12"/>
      <c r="D76" s="7">
        <v>512.48</v>
      </c>
      <c r="E76" s="3"/>
      <c r="F76" s="8">
        <f t="shared" si="52"/>
        <v>0</v>
      </c>
      <c r="G76" s="3"/>
      <c r="H76" s="7">
        <v>500</v>
      </c>
      <c r="I76" s="3"/>
      <c r="J76" s="8">
        <f t="shared" si="53"/>
        <v>0</v>
      </c>
      <c r="K76" s="3"/>
      <c r="L76" s="7">
        <f t="shared" si="54"/>
        <v>12.480000000000018</v>
      </c>
      <c r="M76" s="3"/>
      <c r="N76" s="8">
        <f t="shared" si="55"/>
        <v>2.4960000000000038E-2</v>
      </c>
      <c r="O76" s="12"/>
      <c r="P76" s="7">
        <v>512.48</v>
      </c>
      <c r="Q76" s="3"/>
      <c r="R76" s="8">
        <f t="shared" si="56"/>
        <v>0</v>
      </c>
      <c r="S76" s="3"/>
      <c r="T76" s="7">
        <v>500</v>
      </c>
      <c r="U76" s="3"/>
      <c r="V76" s="8">
        <f t="shared" si="57"/>
        <v>0</v>
      </c>
      <c r="W76" s="3"/>
      <c r="X76" s="7">
        <f t="shared" si="58"/>
        <v>12.480000000000018</v>
      </c>
      <c r="Y76" s="3"/>
      <c r="Z76" s="8">
        <f t="shared" si="59"/>
        <v>2.4960000000000038E-2</v>
      </c>
    </row>
    <row r="77" spans="1:26" s="24" customFormat="1" hidden="1" outlineLevel="2" x14ac:dyDescent="0.25">
      <c r="A77" s="27"/>
      <c r="B77" s="12" t="str">
        <f>CONCATENATE("          ", "6286", " - ", "LAUNDRY EXPENSE")</f>
        <v xml:space="preserve">          6286 - LAUNDRY EXPENSE</v>
      </c>
      <c r="C77" s="12"/>
      <c r="D77" s="7"/>
      <c r="E77" s="3"/>
      <c r="F77" s="8">
        <f t="shared" si="52"/>
        <v>0</v>
      </c>
      <c r="G77" s="3"/>
      <c r="H77" s="7">
        <v>25</v>
      </c>
      <c r="I77" s="3"/>
      <c r="J77" s="8">
        <f t="shared" si="53"/>
        <v>0</v>
      </c>
      <c r="K77" s="3"/>
      <c r="L77" s="7">
        <f t="shared" si="54"/>
        <v>-25</v>
      </c>
      <c r="M77" s="3"/>
      <c r="N77" s="8">
        <f t="shared" si="55"/>
        <v>-1</v>
      </c>
      <c r="O77" s="12"/>
      <c r="P77" s="7"/>
      <c r="Q77" s="3"/>
      <c r="R77" s="8">
        <f t="shared" si="56"/>
        <v>0</v>
      </c>
      <c r="S77" s="3"/>
      <c r="T77" s="7">
        <v>25</v>
      </c>
      <c r="U77" s="3"/>
      <c r="V77" s="8">
        <f t="shared" si="57"/>
        <v>0</v>
      </c>
      <c r="W77" s="3"/>
      <c r="X77" s="7">
        <f t="shared" si="58"/>
        <v>-25</v>
      </c>
      <c r="Y77" s="3"/>
      <c r="Z77" s="8">
        <f t="shared" si="59"/>
        <v>-1</v>
      </c>
    </row>
    <row r="78" spans="1:26" s="29" customFormat="1" outlineLevel="1" collapsed="1" x14ac:dyDescent="0.25">
      <c r="A78" s="28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SUM(OSRRefD22_15x_0)</f>
        <v>0</v>
      </c>
      <c r="E78" s="1"/>
      <c r="F78" s="5">
        <f t="shared" ref="F78:F80" si="60">IF(D$12=0,0,D78/D$12)</f>
        <v>0</v>
      </c>
      <c r="G78" s="1"/>
      <c r="H78" s="1">
        <f>SUM(OSRRefH22_15x_0)</f>
        <v>1605</v>
      </c>
      <c r="I78" s="1"/>
      <c r="J78" s="5">
        <f t="shared" ref="J78:J80" si="61">IF(H$12=0,0,H78/H$12)</f>
        <v>0</v>
      </c>
      <c r="K78" s="1"/>
      <c r="L78" s="1">
        <f t="shared" ref="L78:L80" si="62">+D78-H78</f>
        <v>-1605</v>
      </c>
      <c r="M78" s="1"/>
      <c r="N78" s="5">
        <f t="shared" ref="N78:N80" si="63">IF(H78=0,0,L78/H78)</f>
        <v>-1</v>
      </c>
      <c r="O78" s="14"/>
      <c r="P78" s="1">
        <f>SUM(OSRRefP22_15x_0)</f>
        <v>0</v>
      </c>
      <c r="Q78" s="1"/>
      <c r="R78" s="5">
        <f t="shared" ref="R78:R80" si="64">IF(P$12=0,0,P78/P$12)</f>
        <v>0</v>
      </c>
      <c r="S78" s="1"/>
      <c r="T78" s="1">
        <f>SUM(OSRRefT22_15x_0)</f>
        <v>1605</v>
      </c>
      <c r="U78" s="1"/>
      <c r="V78" s="5">
        <f t="shared" ref="V78:V80" si="65">IF(T$12=0,0,T78/T$12)</f>
        <v>0</v>
      </c>
      <c r="W78" s="1"/>
      <c r="X78" s="1">
        <f t="shared" ref="X78:X80" si="66">+P78-T78</f>
        <v>-1605</v>
      </c>
      <c r="Y78" s="1"/>
      <c r="Z78" s="5">
        <f t="shared" ref="Z78:Z80" si="67">IF(T78=0,0,X78/T78)</f>
        <v>-1</v>
      </c>
    </row>
    <row r="79" spans="1:26" s="24" customFormat="1" hidden="1" outlineLevel="2" x14ac:dyDescent="0.25">
      <c r="A79" s="27"/>
      <c r="B79" s="12" t="str">
        <f>CONCATENATE("          ", "6258", " - ", "MEMBERSHIP DUES")</f>
        <v xml:space="preserve">          6258 - MEMBERSHIP DUES</v>
      </c>
      <c r="C79" s="12"/>
      <c r="D79" s="7"/>
      <c r="E79" s="3"/>
      <c r="F79" s="8">
        <f t="shared" si="60"/>
        <v>0</v>
      </c>
      <c r="G79" s="3"/>
      <c r="H79" s="7">
        <v>1505</v>
      </c>
      <c r="I79" s="3"/>
      <c r="J79" s="8">
        <f t="shared" si="61"/>
        <v>0</v>
      </c>
      <c r="K79" s="3"/>
      <c r="L79" s="7">
        <f t="shared" si="62"/>
        <v>-1505</v>
      </c>
      <c r="M79" s="3"/>
      <c r="N79" s="8">
        <f t="shared" si="63"/>
        <v>-1</v>
      </c>
      <c r="O79" s="12"/>
      <c r="P79" s="7"/>
      <c r="Q79" s="3"/>
      <c r="R79" s="8">
        <f t="shared" si="64"/>
        <v>0</v>
      </c>
      <c r="S79" s="3"/>
      <c r="T79" s="7">
        <v>1505</v>
      </c>
      <c r="U79" s="3"/>
      <c r="V79" s="8">
        <f t="shared" si="65"/>
        <v>0</v>
      </c>
      <c r="W79" s="3"/>
      <c r="X79" s="7">
        <f t="shared" si="66"/>
        <v>-1505</v>
      </c>
      <c r="Y79" s="3"/>
      <c r="Z79" s="8">
        <f t="shared" si="67"/>
        <v>-1</v>
      </c>
    </row>
    <row r="80" spans="1:26" s="24" customFormat="1" hidden="1" outlineLevel="2" x14ac:dyDescent="0.25">
      <c r="A80" s="27"/>
      <c r="B80" s="12" t="str">
        <f>CONCATENATE("          ", "6275", " - ", "SUBSCRIPTIONS")</f>
        <v xml:space="preserve">          6275 - SUBSCRIPTIONS</v>
      </c>
      <c r="C80" s="12"/>
      <c r="D80" s="7"/>
      <c r="E80" s="3"/>
      <c r="F80" s="8">
        <f t="shared" si="60"/>
        <v>0</v>
      </c>
      <c r="G80" s="3"/>
      <c r="H80" s="7">
        <v>100</v>
      </c>
      <c r="I80" s="3"/>
      <c r="J80" s="8">
        <f t="shared" si="61"/>
        <v>0</v>
      </c>
      <c r="K80" s="3"/>
      <c r="L80" s="7">
        <f t="shared" si="62"/>
        <v>-100</v>
      </c>
      <c r="M80" s="3"/>
      <c r="N80" s="8">
        <f t="shared" si="63"/>
        <v>-1</v>
      </c>
      <c r="O80" s="12"/>
      <c r="P80" s="7"/>
      <c r="Q80" s="3"/>
      <c r="R80" s="8">
        <f t="shared" si="64"/>
        <v>0</v>
      </c>
      <c r="S80" s="3"/>
      <c r="T80" s="7">
        <v>100</v>
      </c>
      <c r="U80" s="3"/>
      <c r="V80" s="8">
        <f t="shared" si="65"/>
        <v>0</v>
      </c>
      <c r="W80" s="3"/>
      <c r="X80" s="7">
        <f t="shared" si="66"/>
        <v>-100</v>
      </c>
      <c r="Y80" s="3"/>
      <c r="Z80" s="8">
        <f t="shared" si="67"/>
        <v>-1</v>
      </c>
    </row>
    <row r="81" spans="1:26" s="29" customFormat="1" outlineLevel="1" collapsed="1" x14ac:dyDescent="0.25">
      <c r="A81" s="28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SUM(OSRRefD22_16x_0)</f>
        <v>1098.79</v>
      </c>
      <c r="E81" s="1"/>
      <c r="F81" s="5">
        <f t="shared" ref="F81:F86" si="68">IF(D$12=0,0,D81/D$12)</f>
        <v>0</v>
      </c>
      <c r="G81" s="1"/>
      <c r="H81" s="1">
        <f>SUM(OSRRefH22_16x_0)</f>
        <v>19001</v>
      </c>
      <c r="I81" s="1"/>
      <c r="J81" s="5">
        <f t="shared" ref="J81:J86" si="69">IF(H$12=0,0,H81/H$12)</f>
        <v>0</v>
      </c>
      <c r="K81" s="1"/>
      <c r="L81" s="1">
        <f t="shared" ref="L81:L86" si="70">+D81-H81</f>
        <v>-17902.21</v>
      </c>
      <c r="M81" s="1"/>
      <c r="N81" s="5">
        <f t="shared" ref="N81:N86" si="71">IF(H81=0,0,L81/H81)</f>
        <v>-0.94217199094784476</v>
      </c>
      <c r="O81" s="14"/>
      <c r="P81" s="1">
        <f>SUM(OSRRefP22_16x_0)</f>
        <v>1098.79</v>
      </c>
      <c r="Q81" s="1"/>
      <c r="R81" s="5">
        <f t="shared" ref="R81:R86" si="72">IF(P$12=0,0,P81/P$12)</f>
        <v>0</v>
      </c>
      <c r="S81" s="1"/>
      <c r="T81" s="1">
        <f>SUM(OSRRefT22_16x_0)</f>
        <v>19001</v>
      </c>
      <c r="U81" s="1"/>
      <c r="V81" s="5">
        <f t="shared" ref="V81:V86" si="73">IF(T$12=0,0,T81/T$12)</f>
        <v>0</v>
      </c>
      <c r="W81" s="1"/>
      <c r="X81" s="1">
        <f t="shared" ref="X81:X86" si="74">+P81-T81</f>
        <v>-17902.21</v>
      </c>
      <c r="Y81" s="1"/>
      <c r="Z81" s="5">
        <f t="shared" ref="Z81:Z86" si="75">IF(T81=0,0,X81/T81)</f>
        <v>-0.94217199094784476</v>
      </c>
    </row>
    <row r="82" spans="1:26" s="24" customFormat="1" hidden="1" outlineLevel="2" x14ac:dyDescent="0.25">
      <c r="A82" s="27"/>
      <c r="B82" s="12" t="str">
        <f>CONCATENATE("          ", "6234", " - ", "EXPENDABLE SUPPLIES &amp; EQUIPMEN")</f>
        <v xml:space="preserve">          6234 - EXPENDABLE SUPPLIES &amp; EQUIPMEN</v>
      </c>
      <c r="C82" s="12"/>
      <c r="D82" s="7"/>
      <c r="E82" s="3"/>
      <c r="F82" s="8">
        <f t="shared" si="68"/>
        <v>0</v>
      </c>
      <c r="G82" s="3"/>
      <c r="H82" s="7">
        <v>10584</v>
      </c>
      <c r="I82" s="3"/>
      <c r="J82" s="8">
        <f t="shared" si="69"/>
        <v>0</v>
      </c>
      <c r="K82" s="3"/>
      <c r="L82" s="7">
        <f t="shared" si="70"/>
        <v>-10584</v>
      </c>
      <c r="M82" s="3"/>
      <c r="N82" s="8">
        <f t="shared" si="71"/>
        <v>-1</v>
      </c>
      <c r="O82" s="12"/>
      <c r="P82" s="7"/>
      <c r="Q82" s="3"/>
      <c r="R82" s="8">
        <f t="shared" si="72"/>
        <v>0</v>
      </c>
      <c r="S82" s="3"/>
      <c r="T82" s="7">
        <v>10584</v>
      </c>
      <c r="U82" s="3"/>
      <c r="V82" s="8">
        <f t="shared" si="73"/>
        <v>0</v>
      </c>
      <c r="W82" s="3"/>
      <c r="X82" s="7">
        <f t="shared" si="74"/>
        <v>-10584</v>
      </c>
      <c r="Y82" s="3"/>
      <c r="Z82" s="8">
        <f t="shared" si="75"/>
        <v>-1</v>
      </c>
    </row>
    <row r="83" spans="1:26" s="24" customFormat="1" hidden="1" outlineLevel="2" x14ac:dyDescent="0.25">
      <c r="A83" s="27"/>
      <c r="B83" s="12" t="str">
        <f>CONCATENATE("          ", "6235", " - ", "COVID-19 EXPENSES")</f>
        <v xml:space="preserve">          6235 - COVID-19 EXPENSES</v>
      </c>
      <c r="C83" s="12"/>
      <c r="D83" s="7">
        <v>744.18</v>
      </c>
      <c r="E83" s="3"/>
      <c r="F83" s="8">
        <f t="shared" si="68"/>
        <v>0</v>
      </c>
      <c r="G83" s="3"/>
      <c r="H83" s="7">
        <v>417</v>
      </c>
      <c r="I83" s="3"/>
      <c r="J83" s="8">
        <f t="shared" si="69"/>
        <v>0</v>
      </c>
      <c r="K83" s="3"/>
      <c r="L83" s="7">
        <f t="shared" si="70"/>
        <v>327.17999999999995</v>
      </c>
      <c r="M83" s="3"/>
      <c r="N83" s="8">
        <f t="shared" si="71"/>
        <v>0.78460431654676244</v>
      </c>
      <c r="O83" s="12"/>
      <c r="P83" s="7">
        <v>744.18</v>
      </c>
      <c r="Q83" s="3"/>
      <c r="R83" s="8">
        <f t="shared" si="72"/>
        <v>0</v>
      </c>
      <c r="S83" s="3"/>
      <c r="T83" s="7">
        <v>417</v>
      </c>
      <c r="U83" s="3"/>
      <c r="V83" s="8">
        <f t="shared" si="73"/>
        <v>0</v>
      </c>
      <c r="W83" s="3"/>
      <c r="X83" s="7">
        <f t="shared" si="74"/>
        <v>327.17999999999995</v>
      </c>
      <c r="Y83" s="3"/>
      <c r="Z83" s="8">
        <f t="shared" si="75"/>
        <v>0.78460431654676244</v>
      </c>
    </row>
    <row r="84" spans="1:26" s="24" customFormat="1" hidden="1" outlineLevel="2" x14ac:dyDescent="0.25">
      <c r="A84" s="27"/>
      <c r="B84" s="12" t="str">
        <f>CONCATENATE("          ", "6241", " - ", "OFFICE EXPENSE")</f>
        <v xml:space="preserve">          6241 - OFFICE EXPENSE</v>
      </c>
      <c r="C84" s="12"/>
      <c r="D84" s="7">
        <v>252.94</v>
      </c>
      <c r="E84" s="3"/>
      <c r="F84" s="8">
        <f t="shared" si="68"/>
        <v>0</v>
      </c>
      <c r="G84" s="3"/>
      <c r="H84" s="7">
        <v>2583</v>
      </c>
      <c r="I84" s="3"/>
      <c r="J84" s="8">
        <f t="shared" si="69"/>
        <v>0</v>
      </c>
      <c r="K84" s="3"/>
      <c r="L84" s="7">
        <f t="shared" si="70"/>
        <v>-2330.06</v>
      </c>
      <c r="M84" s="3"/>
      <c r="N84" s="8">
        <f t="shared" si="71"/>
        <v>-0.90207510646535038</v>
      </c>
      <c r="O84" s="12"/>
      <c r="P84" s="7">
        <v>252.94</v>
      </c>
      <c r="Q84" s="3"/>
      <c r="R84" s="8">
        <f t="shared" si="72"/>
        <v>0</v>
      </c>
      <c r="S84" s="3"/>
      <c r="T84" s="7">
        <v>2583</v>
      </c>
      <c r="U84" s="3"/>
      <c r="V84" s="8">
        <f t="shared" si="73"/>
        <v>0</v>
      </c>
      <c r="W84" s="3"/>
      <c r="X84" s="7">
        <f t="shared" si="74"/>
        <v>-2330.06</v>
      </c>
      <c r="Y84" s="3"/>
      <c r="Z84" s="8">
        <f t="shared" si="75"/>
        <v>-0.90207510646535038</v>
      </c>
    </row>
    <row r="85" spans="1:26" s="24" customFormat="1" hidden="1" outlineLevel="2" x14ac:dyDescent="0.25">
      <c r="A85" s="27"/>
      <c r="B85" s="12" t="str">
        <f>CONCATENATE("          ", "6244", " - ", "SAFETY SUPPLY EXPENSE")</f>
        <v xml:space="preserve">          6244 - SAFETY SUPPLY EXPENSE</v>
      </c>
      <c r="C85" s="12"/>
      <c r="D85" s="7">
        <v>101.67</v>
      </c>
      <c r="E85" s="3"/>
      <c r="F85" s="8">
        <f t="shared" si="68"/>
        <v>0</v>
      </c>
      <c r="G85" s="3"/>
      <c r="H85" s="7">
        <v>417</v>
      </c>
      <c r="I85" s="3"/>
      <c r="J85" s="8">
        <f t="shared" si="69"/>
        <v>0</v>
      </c>
      <c r="K85" s="3"/>
      <c r="L85" s="7">
        <f t="shared" si="70"/>
        <v>-315.33</v>
      </c>
      <c r="M85" s="3"/>
      <c r="N85" s="8">
        <f t="shared" si="71"/>
        <v>-0.75618705035971223</v>
      </c>
      <c r="O85" s="12"/>
      <c r="P85" s="7">
        <v>101.67</v>
      </c>
      <c r="Q85" s="3"/>
      <c r="R85" s="8">
        <f t="shared" si="72"/>
        <v>0</v>
      </c>
      <c r="S85" s="3"/>
      <c r="T85" s="7">
        <v>417</v>
      </c>
      <c r="U85" s="3"/>
      <c r="V85" s="8">
        <f t="shared" si="73"/>
        <v>0</v>
      </c>
      <c r="W85" s="3"/>
      <c r="X85" s="7">
        <f t="shared" si="74"/>
        <v>-315.33</v>
      </c>
      <c r="Y85" s="3"/>
      <c r="Z85" s="8">
        <f t="shared" si="75"/>
        <v>-0.75618705035971223</v>
      </c>
    </row>
    <row r="86" spans="1:26" s="24" customFormat="1" hidden="1" outlineLevel="2" x14ac:dyDescent="0.25">
      <c r="A86" s="27"/>
      <c r="B86" s="12" t="str">
        <f>CONCATENATE("          ", "6247", " - ", "STORE SUPPLIES")</f>
        <v xml:space="preserve">          6247 - STORE SUPPLIES</v>
      </c>
      <c r="C86" s="12"/>
      <c r="D86" s="7"/>
      <c r="E86" s="3"/>
      <c r="F86" s="8">
        <f t="shared" si="68"/>
        <v>0</v>
      </c>
      <c r="G86" s="3"/>
      <c r="H86" s="7">
        <v>5000</v>
      </c>
      <c r="I86" s="3"/>
      <c r="J86" s="8">
        <f t="shared" si="69"/>
        <v>0</v>
      </c>
      <c r="K86" s="3"/>
      <c r="L86" s="7">
        <f t="shared" si="70"/>
        <v>-5000</v>
      </c>
      <c r="M86" s="3"/>
      <c r="N86" s="8">
        <f t="shared" si="71"/>
        <v>-1</v>
      </c>
      <c r="O86" s="12"/>
      <c r="P86" s="7"/>
      <c r="Q86" s="3"/>
      <c r="R86" s="8">
        <f t="shared" si="72"/>
        <v>0</v>
      </c>
      <c r="S86" s="3"/>
      <c r="T86" s="7">
        <v>5000</v>
      </c>
      <c r="U86" s="3"/>
      <c r="V86" s="8">
        <f t="shared" si="73"/>
        <v>0</v>
      </c>
      <c r="W86" s="3"/>
      <c r="X86" s="7">
        <f t="shared" si="74"/>
        <v>-5000</v>
      </c>
      <c r="Y86" s="3"/>
      <c r="Z86" s="8">
        <f t="shared" si="75"/>
        <v>-1</v>
      </c>
    </row>
    <row r="87" spans="1:26" s="29" customFormat="1" outlineLevel="1" collapsed="1" x14ac:dyDescent="0.25">
      <c r="A87" s="28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SUM(OSRRefD22_17x_0)</f>
        <v>2014.43</v>
      </c>
      <c r="E87" s="1"/>
      <c r="F87" s="5">
        <f t="shared" ref="F87:F89" si="76">IF(D$12=0,0,D87/D$12)</f>
        <v>0</v>
      </c>
      <c r="G87" s="1"/>
      <c r="H87" s="1">
        <f>SUM(OSRRefH22_17x_0)</f>
        <v>3235</v>
      </c>
      <c r="I87" s="1"/>
      <c r="J87" s="5">
        <f t="shared" ref="J87:J89" si="77">IF(H$12=0,0,H87/H$12)</f>
        <v>0</v>
      </c>
      <c r="K87" s="1"/>
      <c r="L87" s="1">
        <f t="shared" ref="L87:L89" si="78">+D87-H87</f>
        <v>-1220.57</v>
      </c>
      <c r="M87" s="1"/>
      <c r="N87" s="5">
        <f t="shared" ref="N87:N89" si="79">IF(H87=0,0,L87/H87)</f>
        <v>-0.37730139103554866</v>
      </c>
      <c r="O87" s="14"/>
      <c r="P87" s="1">
        <f>SUM(OSRRefP22_17x_0)</f>
        <v>2014.43</v>
      </c>
      <c r="Q87" s="1"/>
      <c r="R87" s="5">
        <f t="shared" ref="R87:R89" si="80">IF(P$12=0,0,P87/P$12)</f>
        <v>0</v>
      </c>
      <c r="S87" s="1"/>
      <c r="T87" s="1">
        <f>SUM(OSRRefT22_17x_0)</f>
        <v>3235</v>
      </c>
      <c r="U87" s="1"/>
      <c r="V87" s="5">
        <f t="shared" ref="V87:V89" si="81">IF(T$12=0,0,T87/T$12)</f>
        <v>0</v>
      </c>
      <c r="W87" s="1"/>
      <c r="X87" s="1">
        <f t="shared" ref="X87:X89" si="82">+P87-T87</f>
        <v>-1220.57</v>
      </c>
      <c r="Y87" s="1"/>
      <c r="Z87" s="5">
        <f t="shared" ref="Z87:Z89" si="83">IF(T87=0,0,X87/T87)</f>
        <v>-0.37730139103554866</v>
      </c>
    </row>
    <row r="88" spans="1:26" s="24" customFormat="1" hidden="1" outlineLevel="2" x14ac:dyDescent="0.25">
      <c r="A88" s="27"/>
      <c r="B88" s="12" t="str">
        <f>CONCATENATE("          ", "6303", " - ", "DATA PHONE LINES")</f>
        <v xml:space="preserve">          6303 - DATA PHONE LINES</v>
      </c>
      <c r="C88" s="12"/>
      <c r="D88" s="7">
        <v>78.989999999999995</v>
      </c>
      <c r="E88" s="3"/>
      <c r="F88" s="8">
        <f t="shared" si="76"/>
        <v>0</v>
      </c>
      <c r="G88" s="3"/>
      <c r="H88" s="7">
        <v>2135</v>
      </c>
      <c r="I88" s="3"/>
      <c r="J88" s="8">
        <f t="shared" si="77"/>
        <v>0</v>
      </c>
      <c r="K88" s="3"/>
      <c r="L88" s="7">
        <f t="shared" si="78"/>
        <v>-2056.0100000000002</v>
      </c>
      <c r="M88" s="3"/>
      <c r="N88" s="8">
        <f t="shared" si="79"/>
        <v>-0.96300234192037482</v>
      </c>
      <c r="O88" s="12"/>
      <c r="P88" s="7">
        <v>78.989999999999995</v>
      </c>
      <c r="Q88" s="3"/>
      <c r="R88" s="8">
        <f t="shared" si="80"/>
        <v>0</v>
      </c>
      <c r="S88" s="3"/>
      <c r="T88" s="7">
        <v>2135</v>
      </c>
      <c r="U88" s="3"/>
      <c r="V88" s="8">
        <f t="shared" si="81"/>
        <v>0</v>
      </c>
      <c r="W88" s="3"/>
      <c r="X88" s="7">
        <f t="shared" si="82"/>
        <v>-2056.0100000000002</v>
      </c>
      <c r="Y88" s="3"/>
      <c r="Z88" s="8">
        <f t="shared" si="83"/>
        <v>-0.96300234192037482</v>
      </c>
    </row>
    <row r="89" spans="1:26" s="24" customFormat="1" hidden="1" outlineLevel="2" x14ac:dyDescent="0.25">
      <c r="A89" s="27"/>
      <c r="B89" s="12" t="str">
        <f>CONCATENATE("          ", "6309", " - ", "TELEPHONE")</f>
        <v xml:space="preserve">          6309 - TELEPHONE</v>
      </c>
      <c r="C89" s="12"/>
      <c r="D89" s="7">
        <v>1935.44</v>
      </c>
      <c r="E89" s="3"/>
      <c r="F89" s="8">
        <f t="shared" si="76"/>
        <v>0</v>
      </c>
      <c r="G89" s="3"/>
      <c r="H89" s="7">
        <v>1100</v>
      </c>
      <c r="I89" s="3"/>
      <c r="J89" s="8">
        <f t="shared" si="77"/>
        <v>0</v>
      </c>
      <c r="K89" s="3"/>
      <c r="L89" s="7">
        <f t="shared" si="78"/>
        <v>835.44</v>
      </c>
      <c r="M89" s="3"/>
      <c r="N89" s="8">
        <f t="shared" si="79"/>
        <v>0.75949090909090911</v>
      </c>
      <c r="O89" s="12"/>
      <c r="P89" s="7">
        <v>1935.44</v>
      </c>
      <c r="Q89" s="3"/>
      <c r="R89" s="8">
        <f t="shared" si="80"/>
        <v>0</v>
      </c>
      <c r="S89" s="3"/>
      <c r="T89" s="7">
        <v>1100</v>
      </c>
      <c r="U89" s="3"/>
      <c r="V89" s="8">
        <f t="shared" si="81"/>
        <v>0</v>
      </c>
      <c r="W89" s="3"/>
      <c r="X89" s="7">
        <f t="shared" si="82"/>
        <v>835.44</v>
      </c>
      <c r="Y89" s="3"/>
      <c r="Z89" s="8">
        <f t="shared" si="83"/>
        <v>0.75949090909090911</v>
      </c>
    </row>
    <row r="90" spans="1:26" s="29" customFormat="1" outlineLevel="1" collapsed="1" x14ac:dyDescent="0.25">
      <c r="A90" s="28"/>
      <c r="B90" s="14" t="str">
        <f>CONCATENATE("     ","Training                                          ")</f>
        <v xml:space="preserve">     Training                                          </v>
      </c>
      <c r="C90" s="14"/>
      <c r="D90" s="1">
        <f>SUM(OSRRefD22_18x_0)</f>
        <v>0</v>
      </c>
      <c r="E90" s="1"/>
      <c r="F90" s="5">
        <f t="shared" ref="F90:F94" si="84">IF(D$12=0,0,D90/D$12)</f>
        <v>0</v>
      </c>
      <c r="G90" s="1"/>
      <c r="H90" s="1">
        <f>SUM(OSRRefH22_18x_0)</f>
        <v>3596</v>
      </c>
      <c r="I90" s="1"/>
      <c r="J90" s="5">
        <f t="shared" ref="J90:J94" si="85">IF(H$12=0,0,H90/H$12)</f>
        <v>0</v>
      </c>
      <c r="K90" s="1"/>
      <c r="L90" s="1">
        <f t="shared" ref="L90:L94" si="86">+D90-H90</f>
        <v>-3596</v>
      </c>
      <c r="M90" s="1"/>
      <c r="N90" s="5">
        <f t="shared" ref="N90:N94" si="87">IF(H90=0,0,L90/H90)</f>
        <v>-1</v>
      </c>
      <c r="O90" s="14"/>
      <c r="P90" s="1">
        <f>SUM(OSRRefP22_18x_0)</f>
        <v>0</v>
      </c>
      <c r="Q90" s="1"/>
      <c r="R90" s="5">
        <f t="shared" ref="R90:R94" si="88">IF(P$12=0,0,P90/P$12)</f>
        <v>0</v>
      </c>
      <c r="S90" s="1"/>
      <c r="T90" s="1">
        <f>SUM(OSRRefT22_18x_0)</f>
        <v>3596</v>
      </c>
      <c r="U90" s="1"/>
      <c r="V90" s="5">
        <f t="shared" ref="V90:V94" si="89">IF(T$12=0,0,T90/T$12)</f>
        <v>0</v>
      </c>
      <c r="W90" s="1"/>
      <c r="X90" s="1">
        <f t="shared" ref="X90:X94" si="90">+P90-T90</f>
        <v>-3596</v>
      </c>
      <c r="Y90" s="1"/>
      <c r="Z90" s="5">
        <f t="shared" ref="Z90:Z94" si="91">IF(T90=0,0,X90/T90)</f>
        <v>-1</v>
      </c>
    </row>
    <row r="91" spans="1:26" s="24" customFormat="1" hidden="1" outlineLevel="2" x14ac:dyDescent="0.25">
      <c r="A91" s="27"/>
      <c r="B91" s="12" t="str">
        <f>CONCATENATE("          ", "6376", " - ", "TRAINING")</f>
        <v xml:space="preserve">          6376 - TRAINING</v>
      </c>
      <c r="C91" s="12"/>
      <c r="D91" s="7"/>
      <c r="E91" s="3"/>
      <c r="F91" s="8">
        <f t="shared" si="84"/>
        <v>0</v>
      </c>
      <c r="G91" s="3"/>
      <c r="H91" s="7">
        <v>3596</v>
      </c>
      <c r="I91" s="3"/>
      <c r="J91" s="8">
        <f t="shared" si="85"/>
        <v>0</v>
      </c>
      <c r="K91" s="3"/>
      <c r="L91" s="7">
        <f t="shared" si="86"/>
        <v>-3596</v>
      </c>
      <c r="M91" s="3"/>
      <c r="N91" s="8">
        <f t="shared" si="87"/>
        <v>-1</v>
      </c>
      <c r="O91" s="12"/>
      <c r="P91" s="7"/>
      <c r="Q91" s="3"/>
      <c r="R91" s="8">
        <f t="shared" si="88"/>
        <v>0</v>
      </c>
      <c r="S91" s="3"/>
      <c r="T91" s="7">
        <v>3596</v>
      </c>
      <c r="U91" s="3"/>
      <c r="V91" s="8">
        <f t="shared" si="89"/>
        <v>0</v>
      </c>
      <c r="W91" s="3"/>
      <c r="X91" s="7">
        <f t="shared" si="90"/>
        <v>-3596</v>
      </c>
      <c r="Y91" s="3"/>
      <c r="Z91" s="8">
        <f t="shared" si="91"/>
        <v>-1</v>
      </c>
    </row>
    <row r="92" spans="1:26" s="29" customFormat="1" outlineLevel="1" collapsed="1" x14ac:dyDescent="0.25">
      <c r="A92" s="28"/>
      <c r="B92" s="14" t="str">
        <f>CONCATENATE("     ","Travel                                            ")</f>
        <v xml:space="preserve">     Travel                                            </v>
      </c>
      <c r="C92" s="14"/>
      <c r="D92" s="1">
        <f>SUM(OSRRefD22_19x_0)</f>
        <v>9.75</v>
      </c>
      <c r="E92" s="1"/>
      <c r="F92" s="5">
        <f t="shared" si="84"/>
        <v>0</v>
      </c>
      <c r="G92" s="1"/>
      <c r="H92" s="1">
        <f>SUM(OSRRefH22_19x_0)</f>
        <v>625</v>
      </c>
      <c r="I92" s="1"/>
      <c r="J92" s="5">
        <f t="shared" si="85"/>
        <v>0</v>
      </c>
      <c r="K92" s="1"/>
      <c r="L92" s="1">
        <f t="shared" si="86"/>
        <v>-615.25</v>
      </c>
      <c r="M92" s="1"/>
      <c r="N92" s="5">
        <f t="shared" si="87"/>
        <v>-0.98440000000000005</v>
      </c>
      <c r="O92" s="14"/>
      <c r="P92" s="1">
        <f>SUM(OSRRefP22_19x_0)</f>
        <v>9.75</v>
      </c>
      <c r="Q92" s="1"/>
      <c r="R92" s="5">
        <f t="shared" si="88"/>
        <v>0</v>
      </c>
      <c r="S92" s="1"/>
      <c r="T92" s="1">
        <f>SUM(OSRRefT22_19x_0)</f>
        <v>625</v>
      </c>
      <c r="U92" s="1"/>
      <c r="V92" s="5">
        <f t="shared" si="89"/>
        <v>0</v>
      </c>
      <c r="W92" s="1"/>
      <c r="X92" s="1">
        <f t="shared" si="90"/>
        <v>-615.25</v>
      </c>
      <c r="Y92" s="1"/>
      <c r="Z92" s="5">
        <f t="shared" si="91"/>
        <v>-0.98440000000000005</v>
      </c>
    </row>
    <row r="93" spans="1:26" s="24" customFormat="1" hidden="1" outlineLevel="2" x14ac:dyDescent="0.25">
      <c r="A93" s="27"/>
      <c r="B93" s="12" t="str">
        <f>CONCATENATE("          ", "6292", " - ", "TRAVEL/CONFERENCE")</f>
        <v xml:space="preserve">          6292 - TRAVEL/CONFERENCE</v>
      </c>
      <c r="C93" s="12"/>
      <c r="D93" s="7"/>
      <c r="E93" s="3"/>
      <c r="F93" s="8">
        <f t="shared" si="84"/>
        <v>0</v>
      </c>
      <c r="G93" s="3"/>
      <c r="H93" s="7">
        <v>625</v>
      </c>
      <c r="I93" s="3"/>
      <c r="J93" s="8">
        <f t="shared" si="85"/>
        <v>0</v>
      </c>
      <c r="K93" s="3"/>
      <c r="L93" s="7">
        <f t="shared" si="86"/>
        <v>-625</v>
      </c>
      <c r="M93" s="3"/>
      <c r="N93" s="8">
        <f t="shared" si="87"/>
        <v>-1</v>
      </c>
      <c r="O93" s="12"/>
      <c r="P93" s="7"/>
      <c r="Q93" s="3"/>
      <c r="R93" s="8">
        <f t="shared" si="88"/>
        <v>0</v>
      </c>
      <c r="S93" s="3"/>
      <c r="T93" s="7">
        <v>625</v>
      </c>
      <c r="U93" s="3"/>
      <c r="V93" s="8">
        <f t="shared" si="89"/>
        <v>0</v>
      </c>
      <c r="W93" s="3"/>
      <c r="X93" s="7">
        <f t="shared" si="90"/>
        <v>-625</v>
      </c>
      <c r="Y93" s="3"/>
      <c r="Z93" s="8">
        <f t="shared" si="91"/>
        <v>-1</v>
      </c>
    </row>
    <row r="94" spans="1:26" s="24" customFormat="1" hidden="1" outlineLevel="2" x14ac:dyDescent="0.25">
      <c r="A94" s="27"/>
      <c r="B94" s="12" t="str">
        <f>CONCATENATE("          ", "6294", " - ", "TRAVEL OPERATIONAL")</f>
        <v xml:space="preserve">          6294 - TRAVEL OPERATIONAL</v>
      </c>
      <c r="C94" s="12"/>
      <c r="D94" s="7">
        <v>9.75</v>
      </c>
      <c r="E94" s="3"/>
      <c r="F94" s="8">
        <f t="shared" si="84"/>
        <v>0</v>
      </c>
      <c r="G94" s="3"/>
      <c r="H94" s="7"/>
      <c r="I94" s="3"/>
      <c r="J94" s="8">
        <f t="shared" si="85"/>
        <v>0</v>
      </c>
      <c r="K94" s="3"/>
      <c r="L94" s="7">
        <f t="shared" si="86"/>
        <v>9.75</v>
      </c>
      <c r="M94" s="3"/>
      <c r="N94" s="8">
        <f t="shared" si="87"/>
        <v>0</v>
      </c>
      <c r="O94" s="12"/>
      <c r="P94" s="7">
        <v>9.75</v>
      </c>
      <c r="Q94" s="3"/>
      <c r="R94" s="8">
        <f t="shared" si="88"/>
        <v>0</v>
      </c>
      <c r="S94" s="3"/>
      <c r="T94" s="7"/>
      <c r="U94" s="3"/>
      <c r="V94" s="8">
        <f t="shared" si="89"/>
        <v>0</v>
      </c>
      <c r="W94" s="3"/>
      <c r="X94" s="7">
        <f t="shared" si="90"/>
        <v>9.75</v>
      </c>
      <c r="Y94" s="3"/>
      <c r="Z94" s="8">
        <f t="shared" si="91"/>
        <v>0</v>
      </c>
    </row>
    <row r="95" spans="1:26" s="54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2" customFormat="1" collapsed="1" x14ac:dyDescent="0.25">
      <c r="A96" s="10"/>
      <c r="B96" s="26" t="s">
        <v>0</v>
      </c>
      <c r="C96" s="10"/>
      <c r="D96" s="4">
        <f>SUM(OSRRefD25x_0)</f>
        <v>0</v>
      </c>
      <c r="E96" s="4"/>
      <c r="F96" s="11">
        <f t="shared" ref="F96:F99" si="92">IF(D$12=0,0,D96/D$12)</f>
        <v>0</v>
      </c>
      <c r="G96" s="4"/>
      <c r="H96" s="4">
        <f>SUM(OSRRefH25x_0)</f>
        <v>500</v>
      </c>
      <c r="I96" s="4"/>
      <c r="J96" s="11">
        <f t="shared" ref="J96:J99" si="93">IF(H$12=0,0,H96/H$12)</f>
        <v>0</v>
      </c>
      <c r="K96" s="4"/>
      <c r="L96" s="4">
        <f t="shared" ref="L96:L99" si="94">+D96-H96</f>
        <v>-500</v>
      </c>
      <c r="M96" s="4"/>
      <c r="N96" s="11">
        <f t="shared" ref="N96:N99" si="95">IF(H96=0,0,L96/H96)</f>
        <v>-1</v>
      </c>
      <c r="O96" s="10"/>
      <c r="P96" s="4">
        <f>SUM(OSRRefP25x_0)</f>
        <v>0</v>
      </c>
      <c r="Q96" s="4"/>
      <c r="R96" s="11">
        <f t="shared" ref="R96:R99" si="96">IF(P$12=0,0,P96/P$12)</f>
        <v>0</v>
      </c>
      <c r="S96" s="4"/>
      <c r="T96" s="4">
        <f>SUM(OSRRefT25x_0)</f>
        <v>500</v>
      </c>
      <c r="U96" s="4"/>
      <c r="V96" s="11">
        <f t="shared" ref="V96:V99" si="97">IF(T$12=0,0,T96/T$12)</f>
        <v>0</v>
      </c>
      <c r="W96" s="4"/>
      <c r="X96" s="4">
        <f t="shared" ref="X96:X99" si="98">+P96-T96</f>
        <v>-500</v>
      </c>
      <c r="Y96" s="4"/>
      <c r="Z96" s="11">
        <f t="shared" ref="Z96:Z99" si="99">IF(T96=0,0,X96/T96)</f>
        <v>-1</v>
      </c>
    </row>
    <row r="97" spans="1:26" s="24" customFormat="1" hidden="1" outlineLevel="1" x14ac:dyDescent="0.25">
      <c r="A97" s="51"/>
      <c r="B97" s="12" t="str">
        <f>CONCATENATE("          ", "9150", " - ", "MISC. INCOME")</f>
        <v xml:space="preserve">          9150 - MISC. INCOME</v>
      </c>
      <c r="C97" s="12"/>
      <c r="D97" s="3">
        <f t="shared" ref="D97:D99" si="100">0</f>
        <v>0</v>
      </c>
      <c r="E97" s="3"/>
      <c r="F97" s="23">
        <f t="shared" si="92"/>
        <v>0</v>
      </c>
      <c r="G97" s="3"/>
      <c r="H97" s="3">
        <v>500</v>
      </c>
      <c r="I97" s="3"/>
      <c r="J97" s="23">
        <f t="shared" si="93"/>
        <v>0</v>
      </c>
      <c r="K97" s="3"/>
      <c r="L97" s="3">
        <f t="shared" si="94"/>
        <v>-500</v>
      </c>
      <c r="M97" s="3"/>
      <c r="N97" s="23">
        <f t="shared" si="95"/>
        <v>-1</v>
      </c>
      <c r="O97" s="12"/>
      <c r="P97" s="3">
        <f t="shared" ref="P97:P99" si="101">0</f>
        <v>0</v>
      </c>
      <c r="Q97" s="3"/>
      <c r="R97" s="23">
        <f t="shared" si="96"/>
        <v>0</v>
      </c>
      <c r="S97" s="3"/>
      <c r="T97" s="3">
        <v>500</v>
      </c>
      <c r="U97" s="3"/>
      <c r="V97" s="23">
        <f t="shared" si="97"/>
        <v>0</v>
      </c>
      <c r="W97" s="3"/>
      <c r="X97" s="3">
        <f t="shared" si="98"/>
        <v>-500</v>
      </c>
      <c r="Y97" s="3"/>
      <c r="Z97" s="23">
        <f t="shared" si="99"/>
        <v>-1</v>
      </c>
    </row>
    <row r="98" spans="1:26" s="24" customFormat="1" hidden="1" outlineLevel="1" x14ac:dyDescent="0.25">
      <c r="A98" s="51"/>
      <c r="B98" s="12" t="str">
        <f>CONCATENATE("          ", "9151", " - ", "MISC. INCOME")</f>
        <v xml:space="preserve">          9151 - MISC. INCOME</v>
      </c>
      <c r="C98" s="12"/>
      <c r="D98" s="3">
        <f t="shared" si="100"/>
        <v>0</v>
      </c>
      <c r="E98" s="3"/>
      <c r="F98" s="23">
        <f t="shared" si="92"/>
        <v>0</v>
      </c>
      <c r="G98" s="3"/>
      <c r="H98" s="3">
        <v>0</v>
      </c>
      <c r="I98" s="3"/>
      <c r="J98" s="23">
        <f t="shared" si="93"/>
        <v>0</v>
      </c>
      <c r="K98" s="3"/>
      <c r="L98" s="3">
        <f t="shared" si="94"/>
        <v>0</v>
      </c>
      <c r="M98" s="3"/>
      <c r="N98" s="23">
        <f t="shared" si="95"/>
        <v>0</v>
      </c>
      <c r="O98" s="12"/>
      <c r="P98" s="3">
        <f t="shared" si="101"/>
        <v>0</v>
      </c>
      <c r="Q98" s="3"/>
      <c r="R98" s="23">
        <f t="shared" si="96"/>
        <v>0</v>
      </c>
      <c r="S98" s="3"/>
      <c r="T98" s="3">
        <v>0</v>
      </c>
      <c r="U98" s="3"/>
      <c r="V98" s="23">
        <f t="shared" si="97"/>
        <v>0</v>
      </c>
      <c r="W98" s="3"/>
      <c r="X98" s="3">
        <f t="shared" si="98"/>
        <v>0</v>
      </c>
      <c r="Y98" s="3"/>
      <c r="Z98" s="23">
        <f t="shared" si="99"/>
        <v>0</v>
      </c>
    </row>
    <row r="99" spans="1:26" s="24" customFormat="1" hidden="1" outlineLevel="1" x14ac:dyDescent="0.25">
      <c r="A99" s="51"/>
      <c r="B99" s="12" t="str">
        <f>CONCATENATE("          ", "9160", " - ", "MISC. INCOME")</f>
        <v xml:space="preserve">          9160 - MISC. INCOME</v>
      </c>
      <c r="C99" s="12"/>
      <c r="D99" s="3">
        <f t="shared" si="100"/>
        <v>0</v>
      </c>
      <c r="E99" s="3"/>
      <c r="F99" s="23">
        <f t="shared" si="92"/>
        <v>0</v>
      </c>
      <c r="G99" s="3"/>
      <c r="H99" s="3">
        <v>0</v>
      </c>
      <c r="I99" s="3"/>
      <c r="J99" s="23">
        <f t="shared" si="93"/>
        <v>0</v>
      </c>
      <c r="K99" s="3"/>
      <c r="L99" s="3">
        <f t="shared" si="94"/>
        <v>0</v>
      </c>
      <c r="M99" s="3"/>
      <c r="N99" s="23">
        <f t="shared" si="95"/>
        <v>0</v>
      </c>
      <c r="O99" s="12"/>
      <c r="P99" s="3">
        <f t="shared" si="101"/>
        <v>0</v>
      </c>
      <c r="Q99" s="3"/>
      <c r="R99" s="23">
        <f t="shared" si="96"/>
        <v>0</v>
      </c>
      <c r="S99" s="3"/>
      <c r="T99" s="3">
        <v>0</v>
      </c>
      <c r="U99" s="3"/>
      <c r="V99" s="23">
        <f t="shared" si="97"/>
        <v>0</v>
      </c>
      <c r="W99" s="3"/>
      <c r="X99" s="3">
        <f t="shared" si="98"/>
        <v>0</v>
      </c>
      <c r="Y99" s="3"/>
      <c r="Z99" s="23">
        <f t="shared" si="99"/>
        <v>0</v>
      </c>
    </row>
    <row r="100" spans="1:26" x14ac:dyDescent="0.25">
      <c r="A100" s="9"/>
      <c r="B100" s="10"/>
      <c r="C100" s="10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O100" s="10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s="22" customFormat="1" x14ac:dyDescent="0.25">
      <c r="A101" s="10"/>
      <c r="B101" s="25" t="s">
        <v>3</v>
      </c>
      <c r="C101" s="25"/>
      <c r="D101" s="21">
        <f>+D17-D19+D96</f>
        <v>-234703.24000000005</v>
      </c>
      <c r="E101" s="13"/>
      <c r="F101" s="20">
        <f>IF(D$12=0,0,D101/D$12)</f>
        <v>0</v>
      </c>
      <c r="G101" s="13"/>
      <c r="H101" s="21">
        <f>+H17-H19+H96</f>
        <v>-321460.53394230781</v>
      </c>
      <c r="I101" s="13"/>
      <c r="J101" s="20">
        <f>IF(H$12=0,0,H101/H$12)</f>
        <v>0</v>
      </c>
      <c r="K101" s="15"/>
      <c r="L101" s="21">
        <f>+D101-H101</f>
        <v>86757.293942307762</v>
      </c>
      <c r="M101" s="15"/>
      <c r="N101" s="20">
        <f>IF(H101=0,0,L101/H101)</f>
        <v>-0.26988474410323104</v>
      </c>
      <c r="O101" s="26"/>
      <c r="P101" s="21">
        <f>+P17-P19+P96</f>
        <v>-234703.24000000005</v>
      </c>
      <c r="Q101" s="13"/>
      <c r="R101" s="20">
        <f>IF(P$12=0,0,P101/P$12)</f>
        <v>0</v>
      </c>
      <c r="S101" s="13"/>
      <c r="T101" s="21">
        <f>+T17-T19+T96</f>
        <v>-321460.53394230781</v>
      </c>
      <c r="U101" s="13"/>
      <c r="V101" s="20">
        <f>IF(T$12=0,0,T101/T$12)</f>
        <v>0</v>
      </c>
      <c r="W101" s="15"/>
      <c r="X101" s="21">
        <f>+P101-T101</f>
        <v>86757.293942307762</v>
      </c>
      <c r="Y101" s="15"/>
      <c r="Z101" s="20">
        <f>IF(T101=0,0,X101/T101)</f>
        <v>-0.26988474410323104</v>
      </c>
    </row>
    <row r="102" spans="1:26" x14ac:dyDescent="0.25">
      <c r="A102" s="9"/>
      <c r="B102" s="10"/>
      <c r="C102" s="9"/>
      <c r="D102" s="2"/>
      <c r="E102" s="2"/>
      <c r="F102" s="6"/>
      <c r="G102" s="2"/>
      <c r="H102" s="2"/>
      <c r="I102" s="2"/>
      <c r="J102" s="6"/>
      <c r="K102" s="2"/>
      <c r="L102" s="2"/>
      <c r="M102" s="2"/>
      <c r="N102" s="6"/>
      <c r="P102" s="2"/>
      <c r="Q102" s="2"/>
      <c r="R102" s="6"/>
      <c r="S102" s="2"/>
      <c r="T102" s="2"/>
      <c r="U102" s="2"/>
      <c r="V102" s="6"/>
      <c r="W102" s="2"/>
      <c r="X102" s="2"/>
      <c r="Y102" s="2"/>
      <c r="Z102" s="6"/>
    </row>
    <row r="103" spans="1:26" s="22" customFormat="1" x14ac:dyDescent="0.25">
      <c r="A103" s="52"/>
      <c r="B103" s="10" t="s">
        <v>14</v>
      </c>
      <c r="C103" s="10"/>
      <c r="D103" s="4"/>
      <c r="E103" s="4"/>
      <c r="F103" s="11">
        <f>IF(D$12=0,0,D103/D$12)</f>
        <v>0</v>
      </c>
      <c r="G103" s="4"/>
      <c r="H103" s="4"/>
      <c r="I103" s="4"/>
      <c r="J103" s="11">
        <f>IF(H$12=0,0,H103/H$12)</f>
        <v>0</v>
      </c>
      <c r="K103" s="4"/>
      <c r="L103" s="4">
        <f>+D103-H103</f>
        <v>0</v>
      </c>
      <c r="M103" s="4"/>
      <c r="N103" s="11">
        <f>IF(H103=0,0,L103/H103)</f>
        <v>0</v>
      </c>
      <c r="O103" s="10"/>
      <c r="P103" s="4"/>
      <c r="Q103" s="4"/>
      <c r="R103" s="11">
        <f>IF(P$12=0,0,P103/P$12)</f>
        <v>0</v>
      </c>
      <c r="S103" s="4"/>
      <c r="T103" s="4"/>
      <c r="U103" s="4"/>
      <c r="V103" s="11">
        <f>IF(T$12=0,0,T103/T$12)</f>
        <v>0</v>
      </c>
      <c r="W103" s="4"/>
      <c r="X103" s="4">
        <f>+P103-T103</f>
        <v>0</v>
      </c>
      <c r="Y103" s="4"/>
      <c r="Z103" s="11">
        <f>IF(T103=0,0,X103/T103)</f>
        <v>0</v>
      </c>
    </row>
    <row r="104" spans="1:26" x14ac:dyDescent="0.25">
      <c r="A104" s="9"/>
      <c r="B104" s="10"/>
      <c r="C104" s="10"/>
      <c r="D104" s="2"/>
      <c r="E104" s="2"/>
      <c r="F104" s="6"/>
      <c r="G104" s="2"/>
      <c r="H104" s="2"/>
      <c r="I104" s="2"/>
      <c r="J104" s="6"/>
      <c r="K104" s="2"/>
      <c r="L104" s="2"/>
      <c r="M104" s="2"/>
      <c r="N104" s="6"/>
      <c r="O104" s="10"/>
      <c r="P104" s="2"/>
      <c r="Q104" s="2"/>
      <c r="R104" s="6"/>
      <c r="S104" s="2"/>
      <c r="T104" s="2"/>
      <c r="U104" s="2"/>
      <c r="V104" s="6"/>
      <c r="W104" s="2"/>
      <c r="X104" s="2"/>
      <c r="Y104" s="2"/>
      <c r="Z104" s="6"/>
    </row>
    <row r="105" spans="1:26" s="22" customFormat="1" ht="15.75" thickBot="1" x14ac:dyDescent="0.3">
      <c r="A105" s="10"/>
      <c r="B105" s="25" t="s">
        <v>4</v>
      </c>
      <c r="C105" s="25"/>
      <c r="D105" s="34">
        <f>+D101-D103</f>
        <v>-234703.24000000005</v>
      </c>
      <c r="E105" s="13"/>
      <c r="F105" s="30">
        <f>IF(D$12=0,0,D105/D$12)</f>
        <v>0</v>
      </c>
      <c r="G105" s="13"/>
      <c r="H105" s="34">
        <f>+H101-H103</f>
        <v>-321460.53394230781</v>
      </c>
      <c r="I105" s="13"/>
      <c r="J105" s="30">
        <f>IF(H$12=0,0,H105/H$12)</f>
        <v>0</v>
      </c>
      <c r="K105" s="15"/>
      <c r="L105" s="34">
        <f>D105-H105</f>
        <v>86757.293942307762</v>
      </c>
      <c r="M105" s="15"/>
      <c r="N105" s="30">
        <f>IF(H105=0,0,L105/H105)</f>
        <v>-0.26988474410323104</v>
      </c>
      <c r="O105" s="26"/>
      <c r="P105" s="34">
        <f>+P101-P103</f>
        <v>-234703.24000000005</v>
      </c>
      <c r="Q105" s="13"/>
      <c r="R105" s="30">
        <f>IF(P$12=0,0,P105/P$12)</f>
        <v>0</v>
      </c>
      <c r="S105" s="13"/>
      <c r="T105" s="34">
        <f>+T101-T103</f>
        <v>-321460.53394230781</v>
      </c>
      <c r="U105" s="13"/>
      <c r="V105" s="30">
        <f>IF(T$12=0,0,T105/T$12)</f>
        <v>0</v>
      </c>
      <c r="W105" s="15"/>
      <c r="X105" s="34">
        <f>P105-T105</f>
        <v>86757.293942307762</v>
      </c>
      <c r="Y105" s="15"/>
      <c r="Z105" s="30">
        <f>IF(T105=0,0,X105/T105)</f>
        <v>-0.26988474410323104</v>
      </c>
    </row>
    <row r="106" spans="1:26" ht="15.75" thickTop="1" x14ac:dyDescent="0.25">
      <c r="A106" s="9"/>
      <c r="B106" s="9"/>
      <c r="C106" s="9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x14ac:dyDescent="0.25">
      <c r="A107" s="9"/>
      <c r="B107" s="9"/>
      <c r="C107" s="9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s="22" customFormat="1" ht="15.75" thickBot="1" x14ac:dyDescent="0.3">
      <c r="A108" s="10"/>
      <c r="B108" s="25" t="s">
        <v>5</v>
      </c>
      <c r="C108" s="25"/>
      <c r="D108" s="32">
        <f>SUM(D105:D107)</f>
        <v>-234703.24000000005</v>
      </c>
      <c r="E108" s="13"/>
      <c r="F108" s="33">
        <f>IF(D$12=0,0,D108/D$12)</f>
        <v>0</v>
      </c>
      <c r="G108" s="13"/>
      <c r="H108" s="32">
        <f>SUM(H105:H107)</f>
        <v>-321460.53394230781</v>
      </c>
      <c r="I108" s="13"/>
      <c r="J108" s="33">
        <f>IF(H$12=0,0,H108/H$12)</f>
        <v>0</v>
      </c>
      <c r="K108" s="15"/>
      <c r="L108" s="32">
        <f>+D108-H108</f>
        <v>86757.293942307762</v>
      </c>
      <c r="M108" s="15"/>
      <c r="N108" s="33">
        <f>IF(H108=0,0,L108/H108)</f>
        <v>-0.26988474410323104</v>
      </c>
      <c r="O108" s="26"/>
      <c r="P108" s="32">
        <f>SUM(P105:P107)</f>
        <v>-234703.24000000005</v>
      </c>
      <c r="Q108" s="13"/>
      <c r="R108" s="33">
        <f>IF(P$12=0,0,P108/P$12)</f>
        <v>0</v>
      </c>
      <c r="S108" s="13"/>
      <c r="T108" s="32">
        <f>SUM(T105:T107)</f>
        <v>-321460.53394230781</v>
      </c>
      <c r="U108" s="13"/>
      <c r="V108" s="33">
        <f>IF(T$12=0,0,T108/T$12)</f>
        <v>0</v>
      </c>
      <c r="W108" s="15"/>
      <c r="X108" s="32">
        <f>+P108-T108</f>
        <v>86757.293942307762</v>
      </c>
      <c r="Y108" s="15"/>
      <c r="Z108" s="33">
        <f>IF(T108=0,0,X108/T108)</f>
        <v>-0.26988474410323104</v>
      </c>
    </row>
    <row r="109" spans="1:26" ht="15.75" thickTop="1" x14ac:dyDescent="0.25">
      <c r="A109" s="9"/>
      <c r="C109" s="9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8">
        <v>44104.685366516205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6" t="s">
        <v>314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62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4:24" x14ac:dyDescent="0.25"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","200", " - ", "Corporate Expense")</f>
        <v>Department 200 - Corporate Expense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31956.86</v>
      </c>
      <c r="E18" s="19"/>
      <c r="F18" s="31">
        <f t="shared" ref="F18:F27" si="0">IF(D$12=0,0,D18/D$12)</f>
        <v>0</v>
      </c>
      <c r="G18" s="19"/>
      <c r="H18" s="19">
        <f>SUM(OSRRefH22x_0)</f>
        <v>62537</v>
      </c>
      <c r="I18" s="19"/>
      <c r="J18" s="31">
        <f t="shared" ref="J18:J27" si="1">IF(H$12=0,0,H18/H$12)</f>
        <v>0</v>
      </c>
      <c r="K18" s="4"/>
      <c r="L18" s="19">
        <f t="shared" ref="L18:L27" si="2">+D18-H18</f>
        <v>-30580.14</v>
      </c>
      <c r="M18" s="4"/>
      <c r="N18" s="31">
        <f t="shared" ref="N18:N27" si="3">IF(H18=0,0,L18/H18)</f>
        <v>-0.48899275628827732</v>
      </c>
      <c r="O18" s="10"/>
      <c r="P18" s="19">
        <f>SUM(OSRRefP22x_0)</f>
        <v>31956.86</v>
      </c>
      <c r="Q18" s="19"/>
      <c r="R18" s="31">
        <f t="shared" ref="R18:R27" si="4">IF(P$12=0,0,P18/P$12)</f>
        <v>0</v>
      </c>
      <c r="S18" s="19"/>
      <c r="T18" s="19">
        <f>SUM(OSRRefT22x_0)</f>
        <v>62537</v>
      </c>
      <c r="U18" s="19"/>
      <c r="V18" s="31">
        <f t="shared" ref="V18:V27" si="5">IF(T$12=0,0,T18/T$12)</f>
        <v>0</v>
      </c>
      <c r="W18" s="4"/>
      <c r="X18" s="19">
        <f t="shared" ref="X18:X27" si="6">+P18-T18</f>
        <v>-30580.14</v>
      </c>
      <c r="Y18" s="4"/>
      <c r="Z18" s="31">
        <f t="shared" ref="Z18:Z27" si="7">IF(T18=0,0,X18/T18)</f>
        <v>-0.48899275628827732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30249.09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-1750.9099999999999</v>
      </c>
      <c r="M19" s="1"/>
      <c r="N19" s="5">
        <f t="shared" si="3"/>
        <v>-5.4715937499999992E-2</v>
      </c>
      <c r="O19" s="14"/>
      <c r="P19" s="1">
        <f>SUM(OSRRefP22_0x_0)</f>
        <v>30249.09</v>
      </c>
      <c r="Q19" s="1"/>
      <c r="R19" s="5">
        <f t="shared" si="4"/>
        <v>0</v>
      </c>
      <c r="S19" s="1"/>
      <c r="T19" s="1">
        <f>SUM(OSRRefT22_0x_0)</f>
        <v>32000</v>
      </c>
      <c r="U19" s="1"/>
      <c r="V19" s="5">
        <f t="shared" si="5"/>
        <v>0</v>
      </c>
      <c r="W19" s="1"/>
      <c r="X19" s="1">
        <f t="shared" si="6"/>
        <v>-1750.9099999999999</v>
      </c>
      <c r="Y19" s="1"/>
      <c r="Z19" s="5">
        <f t="shared" si="7"/>
        <v>-5.4715937499999992E-2</v>
      </c>
    </row>
    <row r="20" spans="1:26" s="24" customFormat="1" hidden="1" outlineLevel="2" x14ac:dyDescent="0.25">
      <c r="A20" s="27"/>
      <c r="B20" s="12" t="str">
        <f>CONCATENATE("          ", "6120", " - ", "RETIREES HEALTH INSURANCE")</f>
        <v xml:space="preserve">          6120 - RETIREES HEALTH INSURANCE</v>
      </c>
      <c r="C20" s="12"/>
      <c r="D20" s="7">
        <v>30249.09</v>
      </c>
      <c r="E20" s="3"/>
      <c r="F20" s="8">
        <f t="shared" si="0"/>
        <v>0</v>
      </c>
      <c r="G20" s="3"/>
      <c r="H20" s="7">
        <v>32000</v>
      </c>
      <c r="I20" s="3"/>
      <c r="J20" s="8">
        <f t="shared" si="1"/>
        <v>0</v>
      </c>
      <c r="K20" s="3"/>
      <c r="L20" s="7">
        <f t="shared" si="2"/>
        <v>-1750.9099999999999</v>
      </c>
      <c r="M20" s="3"/>
      <c r="N20" s="8">
        <f t="shared" si="3"/>
        <v>-5.4715937499999992E-2</v>
      </c>
      <c r="O20" s="12"/>
      <c r="P20" s="7">
        <v>30249.09</v>
      </c>
      <c r="Q20" s="3"/>
      <c r="R20" s="8">
        <f t="shared" si="4"/>
        <v>0</v>
      </c>
      <c r="S20" s="3"/>
      <c r="T20" s="7">
        <v>32000</v>
      </c>
      <c r="U20" s="3"/>
      <c r="V20" s="8">
        <f t="shared" si="5"/>
        <v>0</v>
      </c>
      <c r="W20" s="3"/>
      <c r="X20" s="7">
        <f t="shared" si="6"/>
        <v>-1750.9099999999999</v>
      </c>
      <c r="Y20" s="3"/>
      <c r="Z20" s="8">
        <f t="shared" si="7"/>
        <v>-5.4715937499999992E-2</v>
      </c>
    </row>
    <row r="21" spans="1:26" s="29" customFormat="1" outlineLevel="1" collapsed="1" x14ac:dyDescent="0.25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923.98</v>
      </c>
      <c r="E21" s="1"/>
      <c r="F21" s="5">
        <f t="shared" si="0"/>
        <v>0</v>
      </c>
      <c r="G21" s="1"/>
      <c r="H21" s="1">
        <f>SUM(OSRRefH22_1x_0)</f>
        <v>15000</v>
      </c>
      <c r="I21" s="1"/>
      <c r="J21" s="5">
        <f t="shared" si="1"/>
        <v>0</v>
      </c>
      <c r="K21" s="1"/>
      <c r="L21" s="1">
        <f t="shared" si="2"/>
        <v>-14076.02</v>
      </c>
      <c r="M21" s="1"/>
      <c r="N21" s="5">
        <f t="shared" si="3"/>
        <v>-0.93840133333333331</v>
      </c>
      <c r="O21" s="14"/>
      <c r="P21" s="1">
        <f>SUM(OSRRefP22_1x_0)</f>
        <v>923.98</v>
      </c>
      <c r="Q21" s="1"/>
      <c r="R21" s="5">
        <f t="shared" si="4"/>
        <v>0</v>
      </c>
      <c r="S21" s="1"/>
      <c r="T21" s="1">
        <f>SUM(OSRRefT22_1x_0)</f>
        <v>15000</v>
      </c>
      <c r="U21" s="1"/>
      <c r="V21" s="5">
        <f t="shared" si="5"/>
        <v>0</v>
      </c>
      <c r="W21" s="1"/>
      <c r="X21" s="1">
        <f t="shared" si="6"/>
        <v>-14076.02</v>
      </c>
      <c r="Y21" s="1"/>
      <c r="Z21" s="5">
        <f t="shared" si="7"/>
        <v>-0.93840133333333331</v>
      </c>
    </row>
    <row r="22" spans="1:26" s="24" customFormat="1" hidden="1" outlineLevel="2" x14ac:dyDescent="0.25">
      <c r="A22" s="27"/>
      <c r="B22" s="12" t="str">
        <f>CONCATENATE("          ", "6381", " - ", "BANK/CREDIT CARD FEES")</f>
        <v xml:space="preserve">          6381 - BANK/CREDIT CARD FEES</v>
      </c>
      <c r="C22" s="12"/>
      <c r="D22" s="7">
        <v>923.98</v>
      </c>
      <c r="E22" s="3"/>
      <c r="F22" s="8">
        <f t="shared" si="0"/>
        <v>0</v>
      </c>
      <c r="G22" s="3"/>
      <c r="H22" s="7">
        <v>15000</v>
      </c>
      <c r="I22" s="3"/>
      <c r="J22" s="8">
        <f t="shared" si="1"/>
        <v>0</v>
      </c>
      <c r="K22" s="3"/>
      <c r="L22" s="7">
        <f t="shared" si="2"/>
        <v>-14076.02</v>
      </c>
      <c r="M22" s="3"/>
      <c r="N22" s="8">
        <f t="shared" si="3"/>
        <v>-0.93840133333333331</v>
      </c>
      <c r="O22" s="12"/>
      <c r="P22" s="7">
        <v>923.98</v>
      </c>
      <c r="Q22" s="3"/>
      <c r="R22" s="8">
        <f t="shared" si="4"/>
        <v>0</v>
      </c>
      <c r="S22" s="3"/>
      <c r="T22" s="7">
        <v>15000</v>
      </c>
      <c r="U22" s="3"/>
      <c r="V22" s="8">
        <f t="shared" si="5"/>
        <v>0</v>
      </c>
      <c r="W22" s="3"/>
      <c r="X22" s="7">
        <f t="shared" si="6"/>
        <v>-14076.02</v>
      </c>
      <c r="Y22" s="3"/>
      <c r="Z22" s="8">
        <f t="shared" si="7"/>
        <v>-0.93840133333333331</v>
      </c>
    </row>
    <row r="23" spans="1:26" s="29" customFormat="1" outlineLevel="1" collapsed="1" x14ac:dyDescent="0.25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783.79</v>
      </c>
      <c r="E23" s="1"/>
      <c r="F23" s="5">
        <f t="shared" si="0"/>
        <v>0</v>
      </c>
      <c r="G23" s="1"/>
      <c r="H23" s="1">
        <f>SUM(OSRRefH22_2x_0)</f>
        <v>2037</v>
      </c>
      <c r="I23" s="1"/>
      <c r="J23" s="5">
        <f t="shared" si="1"/>
        <v>0</v>
      </c>
      <c r="K23" s="1"/>
      <c r="L23" s="1">
        <f t="shared" si="2"/>
        <v>-1253.21</v>
      </c>
      <c r="M23" s="1"/>
      <c r="N23" s="5">
        <f t="shared" si="3"/>
        <v>-0.61522336769759456</v>
      </c>
      <c r="O23" s="14"/>
      <c r="P23" s="1">
        <f>SUM(OSRRefP22_2x_0)</f>
        <v>783.79</v>
      </c>
      <c r="Q23" s="1"/>
      <c r="R23" s="5">
        <f t="shared" si="4"/>
        <v>0</v>
      </c>
      <c r="S23" s="1"/>
      <c r="T23" s="1">
        <f>SUM(OSRRefT22_2x_0)</f>
        <v>2037</v>
      </c>
      <c r="U23" s="1"/>
      <c r="V23" s="5">
        <f t="shared" si="5"/>
        <v>0</v>
      </c>
      <c r="W23" s="1"/>
      <c r="X23" s="1">
        <f t="shared" si="6"/>
        <v>-1253.21</v>
      </c>
      <c r="Y23" s="1"/>
      <c r="Z23" s="5">
        <f t="shared" si="7"/>
        <v>-0.61522336769759456</v>
      </c>
    </row>
    <row r="24" spans="1:26" s="24" customFormat="1" hidden="1" outlineLevel="2" x14ac:dyDescent="0.25">
      <c r="A24" s="27"/>
      <c r="B24" s="12" t="str">
        <f>CONCATENATE("          ", "6397", " - ", "BOARD EXPENSES")</f>
        <v xml:space="preserve">          6397 - BOARD EXPENSES</v>
      </c>
      <c r="C24" s="12"/>
      <c r="D24" s="7">
        <v>783.79</v>
      </c>
      <c r="E24" s="3"/>
      <c r="F24" s="8">
        <f t="shared" si="0"/>
        <v>0</v>
      </c>
      <c r="G24" s="3"/>
      <c r="H24" s="7">
        <v>2037</v>
      </c>
      <c r="I24" s="3"/>
      <c r="J24" s="8">
        <f t="shared" si="1"/>
        <v>0</v>
      </c>
      <c r="K24" s="3"/>
      <c r="L24" s="7">
        <f t="shared" si="2"/>
        <v>-1253.21</v>
      </c>
      <c r="M24" s="3"/>
      <c r="N24" s="8">
        <f t="shared" si="3"/>
        <v>-0.61522336769759456</v>
      </c>
      <c r="O24" s="12"/>
      <c r="P24" s="7">
        <v>783.79</v>
      </c>
      <c r="Q24" s="3"/>
      <c r="R24" s="8">
        <f t="shared" si="4"/>
        <v>0</v>
      </c>
      <c r="S24" s="3"/>
      <c r="T24" s="7">
        <v>2037</v>
      </c>
      <c r="U24" s="3"/>
      <c r="V24" s="8">
        <f t="shared" si="5"/>
        <v>0</v>
      </c>
      <c r="W24" s="3"/>
      <c r="X24" s="7">
        <f t="shared" si="6"/>
        <v>-1253.21</v>
      </c>
      <c r="Y24" s="3"/>
      <c r="Z24" s="8">
        <f t="shared" si="7"/>
        <v>-0.61522336769759456</v>
      </c>
    </row>
    <row r="25" spans="1:26" s="29" customFormat="1" outlineLevel="1" collapsed="1" x14ac:dyDescent="0.25">
      <c r="A25" s="28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13500</v>
      </c>
      <c r="I25" s="1"/>
      <c r="J25" s="5">
        <f t="shared" si="1"/>
        <v>0</v>
      </c>
      <c r="K25" s="1"/>
      <c r="L25" s="1">
        <f t="shared" si="2"/>
        <v>-13500</v>
      </c>
      <c r="M25" s="1"/>
      <c r="N25" s="5">
        <f t="shared" si="3"/>
        <v>-1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13500</v>
      </c>
      <c r="U25" s="1"/>
      <c r="V25" s="5">
        <f t="shared" si="5"/>
        <v>0</v>
      </c>
      <c r="W25" s="1"/>
      <c r="X25" s="1">
        <f t="shared" si="6"/>
        <v>-13500</v>
      </c>
      <c r="Y25" s="1"/>
      <c r="Z25" s="5">
        <f t="shared" si="7"/>
        <v>-1</v>
      </c>
    </row>
    <row r="26" spans="1:26" s="24" customFormat="1" hidden="1" outlineLevel="2" x14ac:dyDescent="0.25">
      <c r="A26" s="27"/>
      <c r="B26" s="12" t="str">
        <f>CONCATENATE("          ", "6331", " - ", "INDIRECT COSTS-AUXILIARY ORGAN")</f>
        <v xml:space="preserve">          6331 - INDIRECT COSTS-AUXILIARY ORGAN</v>
      </c>
      <c r="C26" s="12"/>
      <c r="D26" s="7"/>
      <c r="E26" s="3"/>
      <c r="F26" s="8">
        <f t="shared" si="0"/>
        <v>0</v>
      </c>
      <c r="G26" s="3"/>
      <c r="H26" s="7">
        <v>13500</v>
      </c>
      <c r="I26" s="3"/>
      <c r="J26" s="8">
        <f t="shared" si="1"/>
        <v>0</v>
      </c>
      <c r="K26" s="3"/>
      <c r="L26" s="7">
        <f t="shared" si="2"/>
        <v>-13500</v>
      </c>
      <c r="M26" s="3"/>
      <c r="N26" s="8">
        <f t="shared" si="3"/>
        <v>-1</v>
      </c>
      <c r="O26" s="12"/>
      <c r="P26" s="7"/>
      <c r="Q26" s="3"/>
      <c r="R26" s="8">
        <f t="shared" si="4"/>
        <v>0</v>
      </c>
      <c r="S26" s="3"/>
      <c r="T26" s="7">
        <v>13500</v>
      </c>
      <c r="U26" s="3"/>
      <c r="V26" s="8">
        <f t="shared" si="5"/>
        <v>0</v>
      </c>
      <c r="W26" s="3"/>
      <c r="X26" s="7">
        <f t="shared" si="6"/>
        <v>-13500</v>
      </c>
      <c r="Y26" s="3"/>
      <c r="Z26" s="8">
        <f t="shared" si="7"/>
        <v>-1</v>
      </c>
    </row>
    <row r="27" spans="1:26" s="24" customFormat="1" hidden="1" outlineLevel="2" x14ac:dyDescent="0.25">
      <c r="A27" s="27"/>
      <c r="B27" s="12" t="str">
        <f>CONCATENATE("          ", "6332", " - ", "CONSULTANT FEES")</f>
        <v xml:space="preserve">          6332 - CONSULTANT FEES</v>
      </c>
      <c r="C27" s="12"/>
      <c r="D27" s="7"/>
      <c r="E27" s="3"/>
      <c r="F27" s="8">
        <f t="shared" si="0"/>
        <v>0</v>
      </c>
      <c r="G27" s="3"/>
      <c r="H27" s="7">
        <v>0</v>
      </c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0</v>
      </c>
      <c r="U27" s="3"/>
      <c r="V27" s="8">
        <f t="shared" si="5"/>
        <v>0</v>
      </c>
      <c r="W27" s="3"/>
      <c r="X27" s="7">
        <f t="shared" si="6"/>
        <v>0</v>
      </c>
      <c r="Y27" s="3"/>
      <c r="Z27" s="8">
        <f t="shared" si="7"/>
        <v>0</v>
      </c>
    </row>
    <row r="28" spans="1:26" s="54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2" customFormat="1" x14ac:dyDescent="0.25">
      <c r="A29" s="10"/>
      <c r="B29" s="26" t="s">
        <v>0</v>
      </c>
      <c r="C29" s="10"/>
      <c r="D29" s="4">
        <f>SUM(0)</f>
        <v>0</v>
      </c>
      <c r="E29" s="4"/>
      <c r="F29" s="11">
        <f>IF(D$12=0,0,D29/D$12)</f>
        <v>0</v>
      </c>
      <c r="G29" s="4"/>
      <c r="H29" s="4">
        <f>SUM(0)</f>
        <v>0</v>
      </c>
      <c r="I29" s="4"/>
      <c r="J29" s="11">
        <f>IF(H$12=0,0,H29/H$12)</f>
        <v>0</v>
      </c>
      <c r="K29" s="4"/>
      <c r="L29" s="4">
        <f>+D29-H29</f>
        <v>0</v>
      </c>
      <c r="M29" s="4"/>
      <c r="N29" s="11">
        <f>IF(H29=0,0,L29/H29)</f>
        <v>0</v>
      </c>
      <c r="O29" s="10"/>
      <c r="P29" s="4">
        <f>SUM(0)</f>
        <v>0</v>
      </c>
      <c r="Q29" s="4"/>
      <c r="R29" s="11">
        <f>IF(P$12=0,0,P29/P$12)</f>
        <v>0</v>
      </c>
      <c r="S29" s="4"/>
      <c r="T29" s="4">
        <f>SUM(0)</f>
        <v>0</v>
      </c>
      <c r="U29" s="4"/>
      <c r="V29" s="11">
        <f>IF(T$12=0,0,T29/T$12)</f>
        <v>0</v>
      </c>
      <c r="W29" s="4"/>
      <c r="X29" s="4">
        <f>+P29-T29</f>
        <v>0</v>
      </c>
      <c r="Y29" s="4"/>
      <c r="Z29" s="11">
        <f>IF(T29=0,0,X29/T29)</f>
        <v>0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x14ac:dyDescent="0.25">
      <c r="A31" s="10"/>
      <c r="B31" s="25" t="s">
        <v>3</v>
      </c>
      <c r="C31" s="25"/>
      <c r="D31" s="21">
        <f>+D16-D18+D29</f>
        <v>-31956.86</v>
      </c>
      <c r="E31" s="13"/>
      <c r="F31" s="20">
        <f>IF(D$12=0,0,D31/D$12)</f>
        <v>0</v>
      </c>
      <c r="G31" s="13"/>
      <c r="H31" s="21">
        <f>+H16-H18+H29</f>
        <v>-62537</v>
      </c>
      <c r="I31" s="13"/>
      <c r="J31" s="20">
        <f>IF(H$12=0,0,H31/H$12)</f>
        <v>0</v>
      </c>
      <c r="K31" s="15"/>
      <c r="L31" s="21">
        <f>+D31-H31</f>
        <v>30580.14</v>
      </c>
      <c r="M31" s="15"/>
      <c r="N31" s="20">
        <f>IF(H31=0,0,L31/H31)</f>
        <v>-0.48899275628827732</v>
      </c>
      <c r="O31" s="26"/>
      <c r="P31" s="21">
        <f>+P16-P18+P29</f>
        <v>-31956.86</v>
      </c>
      <c r="Q31" s="13"/>
      <c r="R31" s="20">
        <f>IF(P$12=0,0,P31/P$12)</f>
        <v>0</v>
      </c>
      <c r="S31" s="13"/>
      <c r="T31" s="21">
        <f>+T16-T18+T29</f>
        <v>-62537</v>
      </c>
      <c r="U31" s="13"/>
      <c r="V31" s="20">
        <f>IF(T$12=0,0,T31/T$12)</f>
        <v>0</v>
      </c>
      <c r="W31" s="15"/>
      <c r="X31" s="21">
        <f>+P31-T31</f>
        <v>30580.14</v>
      </c>
      <c r="Y31" s="15"/>
      <c r="Z31" s="20">
        <f>IF(T31=0,0,X31/T31)</f>
        <v>-0.48899275628827732</v>
      </c>
    </row>
    <row r="32" spans="1:26" x14ac:dyDescent="0.25">
      <c r="A32" s="9"/>
      <c r="B32" s="10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14</v>
      </c>
      <c r="C33" s="10"/>
      <c r="D33" s="4"/>
      <c r="E33" s="4"/>
      <c r="F33" s="11">
        <f>IF(D$12=0,0,D33/D$12)</f>
        <v>0</v>
      </c>
      <c r="G33" s="4"/>
      <c r="H33" s="4"/>
      <c r="I33" s="4"/>
      <c r="J33" s="11">
        <f>IF(H$12=0,0,H33/H$12)</f>
        <v>0</v>
      </c>
      <c r="K33" s="4"/>
      <c r="L33" s="4">
        <f>+D33-H33</f>
        <v>0</v>
      </c>
      <c r="M33" s="4"/>
      <c r="N33" s="11">
        <f>IF(H33=0,0,L33/H33)</f>
        <v>0</v>
      </c>
      <c r="O33" s="10"/>
      <c r="P33" s="4"/>
      <c r="Q33" s="4"/>
      <c r="R33" s="11">
        <f>IF(P$12=0,0,P33/P$12)</f>
        <v>0</v>
      </c>
      <c r="S33" s="4"/>
      <c r="T33" s="4"/>
      <c r="U33" s="4"/>
      <c r="V33" s="11">
        <f>IF(T$12=0,0,T33/T$12)</f>
        <v>0</v>
      </c>
      <c r="W33" s="4"/>
      <c r="X33" s="4">
        <f>+P33-T33</f>
        <v>0</v>
      </c>
      <c r="Y33" s="4"/>
      <c r="Z33" s="11">
        <f>IF(T33=0,0,X33/T33)</f>
        <v>0</v>
      </c>
    </row>
    <row r="34" spans="1:26" x14ac:dyDescent="0.25">
      <c r="A34" s="9"/>
      <c r="B34" s="10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10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2" customFormat="1" ht="15.75" thickBot="1" x14ac:dyDescent="0.3">
      <c r="A35" s="10"/>
      <c r="B35" s="25" t="s">
        <v>4</v>
      </c>
      <c r="C35" s="25"/>
      <c r="D35" s="34">
        <f>+D31-D33</f>
        <v>-31956.86</v>
      </c>
      <c r="E35" s="13"/>
      <c r="F35" s="30">
        <f>IF(D$12=0,0,D35/D$12)</f>
        <v>0</v>
      </c>
      <c r="G35" s="13"/>
      <c r="H35" s="34">
        <f>+H31-H33</f>
        <v>-62537</v>
      </c>
      <c r="I35" s="13"/>
      <c r="J35" s="30">
        <f>IF(H$12=0,0,H35/H$12)</f>
        <v>0</v>
      </c>
      <c r="K35" s="15"/>
      <c r="L35" s="34">
        <f>D35-H35</f>
        <v>30580.14</v>
      </c>
      <c r="M35" s="15"/>
      <c r="N35" s="30">
        <f>IF(H35=0,0,L35/H35)</f>
        <v>-0.48899275628827732</v>
      </c>
      <c r="O35" s="26"/>
      <c r="P35" s="34">
        <f>+P31-P33</f>
        <v>-31956.86</v>
      </c>
      <c r="Q35" s="13"/>
      <c r="R35" s="30">
        <f>IF(P$12=0,0,P35/P$12)</f>
        <v>0</v>
      </c>
      <c r="S35" s="13"/>
      <c r="T35" s="34">
        <f>+T31-T33</f>
        <v>-62537</v>
      </c>
      <c r="U35" s="13"/>
      <c r="V35" s="30">
        <f>IF(T$12=0,0,T35/T$12)</f>
        <v>0</v>
      </c>
      <c r="W35" s="15"/>
      <c r="X35" s="34">
        <f>P35-T35</f>
        <v>30580.14</v>
      </c>
      <c r="Y35" s="15"/>
      <c r="Z35" s="30">
        <f>IF(T35=0,0,X35/T35)</f>
        <v>-0.48899275628827732</v>
      </c>
    </row>
    <row r="36" spans="1:26" ht="15.75" thickTop="1" x14ac:dyDescent="0.25">
      <c r="A36" s="9"/>
      <c r="B36" s="9"/>
      <c r="C36" s="9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x14ac:dyDescent="0.25">
      <c r="A37" s="9"/>
      <c r="B37" s="9"/>
      <c r="C37" s="9"/>
      <c r="D37" s="2"/>
      <c r="E37" s="2"/>
      <c r="F37" s="6"/>
      <c r="G37" s="2"/>
      <c r="H37" s="2"/>
      <c r="I37" s="2"/>
      <c r="J37" s="6"/>
      <c r="K37" s="2"/>
      <c r="L37" s="2"/>
      <c r="M37" s="2"/>
      <c r="N37" s="6"/>
      <c r="P37" s="2"/>
      <c r="Q37" s="2"/>
      <c r="R37" s="6"/>
      <c r="S37" s="2"/>
      <c r="T37" s="2"/>
      <c r="U37" s="2"/>
      <c r="V37" s="6"/>
      <c r="W37" s="2"/>
      <c r="X37" s="2"/>
      <c r="Y37" s="2"/>
      <c r="Z37" s="6"/>
    </row>
    <row r="38" spans="1:26" s="22" customFormat="1" ht="15.75" thickBot="1" x14ac:dyDescent="0.3">
      <c r="A38" s="10"/>
      <c r="B38" s="25" t="s">
        <v>5</v>
      </c>
      <c r="C38" s="25"/>
      <c r="D38" s="32">
        <f>SUM(D35:D37)</f>
        <v>-31956.86</v>
      </c>
      <c r="E38" s="13"/>
      <c r="F38" s="33">
        <f>IF(D$12=0,0,D38/D$12)</f>
        <v>0</v>
      </c>
      <c r="G38" s="13"/>
      <c r="H38" s="32">
        <f>SUM(H35:H37)</f>
        <v>-62537</v>
      </c>
      <c r="I38" s="13"/>
      <c r="J38" s="33">
        <f>IF(H$12=0,0,H38/H$12)</f>
        <v>0</v>
      </c>
      <c r="K38" s="15"/>
      <c r="L38" s="32">
        <f>+D38-H38</f>
        <v>30580.14</v>
      </c>
      <c r="M38" s="15"/>
      <c r="N38" s="33">
        <f>IF(H38=0,0,L38/H38)</f>
        <v>-0.48899275628827732</v>
      </c>
      <c r="O38" s="26"/>
      <c r="P38" s="32">
        <f>SUM(P35:P37)</f>
        <v>-31956.86</v>
      </c>
      <c r="Q38" s="13"/>
      <c r="R38" s="33">
        <f>IF(P$12=0,0,P38/P$12)</f>
        <v>0</v>
      </c>
      <c r="S38" s="13"/>
      <c r="T38" s="32">
        <f>SUM(T35:T37)</f>
        <v>-62537</v>
      </c>
      <c r="U38" s="13"/>
      <c r="V38" s="33">
        <f>IF(T$12=0,0,T38/T$12)</f>
        <v>0</v>
      </c>
      <c r="W38" s="15"/>
      <c r="X38" s="32">
        <f>+P38-T38</f>
        <v>30580.14</v>
      </c>
      <c r="Y38" s="15"/>
      <c r="Z38" s="33">
        <f>IF(T38=0,0,X38/T38)</f>
        <v>-0.48899275628827732</v>
      </c>
    </row>
    <row r="39" spans="1:26" ht="15.75" thickTop="1" x14ac:dyDescent="0.25">
      <c r="A39" s="9"/>
      <c r="C39" s="9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>
        <v>44104.685697881941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56" t="s">
        <v>314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62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","201", " - ", "General Manager")</f>
        <v>Department 201 - General Manager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3" si="0">+D12-H12</f>
        <v>0</v>
      </c>
      <c r="M12" s="4"/>
      <c r="N12" s="11">
        <f t="shared" ref="N12:N13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3" si="2">+P12-T12</f>
        <v>0</v>
      </c>
      <c r="Y12" s="4"/>
      <c r="Z12" s="11">
        <f t="shared" ref="Z12:Z13" si="3">IF(T12=0,0,X12/T12)</f>
        <v>0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x14ac:dyDescent="0.25">
      <c r="A15" s="10"/>
      <c r="B15" s="26" t="s">
        <v>8</v>
      </c>
      <c r="C15" s="10"/>
      <c r="D15" s="4">
        <f>SUM(0)</f>
        <v>0</v>
      </c>
      <c r="E15" s="4"/>
      <c r="F15" s="11">
        <f>IF(D$12=0,0,D15/D$12)</f>
        <v>0</v>
      </c>
      <c r="G15" s="4"/>
      <c r="H15" s="4">
        <f>SUM(0)</f>
        <v>0</v>
      </c>
      <c r="I15" s="4"/>
      <c r="J15" s="11">
        <f>IF(H$12=0,0,H15/H$12)</f>
        <v>0</v>
      </c>
      <c r="K15" s="4"/>
      <c r="L15" s="4">
        <f>+D15-H15</f>
        <v>0</v>
      </c>
      <c r="M15" s="4"/>
      <c r="N15" s="11">
        <f>IF(H15=0,0,L15/H15)</f>
        <v>0</v>
      </c>
      <c r="O15" s="10"/>
      <c r="P15" s="4">
        <f>SUM(0)</f>
        <v>0</v>
      </c>
      <c r="Q15" s="4"/>
      <c r="R15" s="11">
        <f>IF(P$12=0,0,P15/P$12)</f>
        <v>0</v>
      </c>
      <c r="S15" s="4"/>
      <c r="T15" s="4">
        <f>SUM(0)</f>
        <v>0</v>
      </c>
      <c r="U15" s="4"/>
      <c r="V15" s="11">
        <f>IF(T$12=0,0,T15/T$12)</f>
        <v>0</v>
      </c>
      <c r="W15" s="4"/>
      <c r="X15" s="4">
        <f>+P15-T15</f>
        <v>0</v>
      </c>
      <c r="Y15" s="4"/>
      <c r="Z15" s="11">
        <f>IF(T15=0,0,X15/T15)</f>
        <v>0</v>
      </c>
    </row>
    <row r="16" spans="1:26" x14ac:dyDescent="0.25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x14ac:dyDescent="0.25">
      <c r="A17" s="10"/>
      <c r="B17" s="25" t="s">
        <v>6</v>
      </c>
      <c r="C17" s="25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5"/>
      <c r="L17" s="21">
        <f>+D17-H17</f>
        <v>0</v>
      </c>
      <c r="M17" s="15"/>
      <c r="N17" s="20">
        <f>IF(H17=0,0,L17/H17)</f>
        <v>0</v>
      </c>
      <c r="O17" s="26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5"/>
      <c r="X17" s="21">
        <f>+P17-T17</f>
        <v>0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6" t="s">
        <v>9</v>
      </c>
      <c r="C19" s="10"/>
      <c r="D19" s="19">
        <f>SUM(OSRRefD22x_0)</f>
        <v>35660.750000000007</v>
      </c>
      <c r="E19" s="19"/>
      <c r="F19" s="31">
        <f t="shared" ref="F19:F29" si="4">IF(D$12=0,0,D19/D$12)</f>
        <v>0</v>
      </c>
      <c r="G19" s="19"/>
      <c r="H19" s="19">
        <f>SUM(OSRRefH22x_0)</f>
        <v>62484.165384615364</v>
      </c>
      <c r="I19" s="19"/>
      <c r="J19" s="31">
        <f t="shared" ref="J19:J29" si="5">IF(H$12=0,0,H19/H$12)</f>
        <v>0</v>
      </c>
      <c r="K19" s="4"/>
      <c r="L19" s="19">
        <f t="shared" ref="L19:L29" si="6">+D19-H19</f>
        <v>-26823.415384615357</v>
      </c>
      <c r="M19" s="4"/>
      <c r="N19" s="31">
        <f t="shared" ref="N19:N29" si="7">IF(H19=0,0,L19/H19)</f>
        <v>-0.42928340675603754</v>
      </c>
      <c r="O19" s="10"/>
      <c r="P19" s="19">
        <f>SUM(OSRRefP22x_0)</f>
        <v>35660.750000000007</v>
      </c>
      <c r="Q19" s="19"/>
      <c r="R19" s="31">
        <f t="shared" ref="R19:R29" si="8">IF(P$12=0,0,P19/P$12)</f>
        <v>0</v>
      </c>
      <c r="S19" s="19"/>
      <c r="T19" s="19">
        <f>SUM(OSRRefT22x_0)</f>
        <v>62484.165384615364</v>
      </c>
      <c r="U19" s="19"/>
      <c r="V19" s="31">
        <f t="shared" ref="V19:V29" si="9">IF(T$12=0,0,T19/T$12)</f>
        <v>0</v>
      </c>
      <c r="W19" s="4"/>
      <c r="X19" s="19">
        <f t="shared" ref="X19:X29" si="10">+P19-T19</f>
        <v>-26823.415384615357</v>
      </c>
      <c r="Y19" s="4"/>
      <c r="Z19" s="31">
        <f t="shared" ref="Z19:Z29" si="11">IF(T19=0,0,X19/T19)</f>
        <v>-0.42928340675603754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11138.359999999999</v>
      </c>
      <c r="E20" s="1"/>
      <c r="F20" s="5">
        <f t="shared" si="4"/>
        <v>0</v>
      </c>
      <c r="G20" s="1"/>
      <c r="H20" s="1">
        <f>SUM(OSRRefH22_0x_0)</f>
        <v>9543.5500000000011</v>
      </c>
      <c r="I20" s="1"/>
      <c r="J20" s="5">
        <f t="shared" si="5"/>
        <v>0</v>
      </c>
      <c r="K20" s="1"/>
      <c r="L20" s="1">
        <f t="shared" si="6"/>
        <v>1594.8099999999977</v>
      </c>
      <c r="M20" s="1"/>
      <c r="N20" s="5">
        <f t="shared" si="7"/>
        <v>0.16710867549287189</v>
      </c>
      <c r="O20" s="14"/>
      <c r="P20" s="1">
        <f>SUM(OSRRefP22_0x_0)</f>
        <v>11138.359999999999</v>
      </c>
      <c r="Q20" s="1"/>
      <c r="R20" s="5">
        <f t="shared" si="8"/>
        <v>0</v>
      </c>
      <c r="S20" s="1"/>
      <c r="T20" s="1">
        <f>SUM(OSRRefT22_0x_0)</f>
        <v>9543.5500000000011</v>
      </c>
      <c r="U20" s="1"/>
      <c r="V20" s="5">
        <f t="shared" si="9"/>
        <v>0</v>
      </c>
      <c r="W20" s="1"/>
      <c r="X20" s="1">
        <f t="shared" si="10"/>
        <v>1594.8099999999977</v>
      </c>
      <c r="Y20" s="1"/>
      <c r="Z20" s="5">
        <f t="shared" si="11"/>
        <v>0.16710867549287189</v>
      </c>
    </row>
    <row r="21" spans="1:26" s="24" customFormat="1" hidden="1" outlineLevel="2" x14ac:dyDescent="0.25">
      <c r="A21" s="27"/>
      <c r="B21" s="12" t="str">
        <f>CONCATENATE("          ", "6111", " - ", "F.I.C.A.")</f>
        <v xml:space="preserve">          6111 - F.I.C.A.</v>
      </c>
      <c r="C21" s="12"/>
      <c r="D21" s="7">
        <v>1447.92</v>
      </c>
      <c r="E21" s="3"/>
      <c r="F21" s="8">
        <f t="shared" si="4"/>
        <v>0</v>
      </c>
      <c r="G21" s="3"/>
      <c r="H21" s="7">
        <v>1795.5115384615399</v>
      </c>
      <c r="I21" s="3"/>
      <c r="J21" s="8">
        <f t="shared" si="5"/>
        <v>0</v>
      </c>
      <c r="K21" s="3"/>
      <c r="L21" s="7">
        <f t="shared" si="6"/>
        <v>-347.59153846153981</v>
      </c>
      <c r="M21" s="3"/>
      <c r="N21" s="8">
        <f t="shared" si="7"/>
        <v>-0.19358914215576078</v>
      </c>
      <c r="O21" s="12"/>
      <c r="P21" s="7">
        <v>1447.92</v>
      </c>
      <c r="Q21" s="3"/>
      <c r="R21" s="8">
        <f t="shared" si="8"/>
        <v>0</v>
      </c>
      <c r="S21" s="3"/>
      <c r="T21" s="7">
        <v>1795.5115384615399</v>
      </c>
      <c r="U21" s="3"/>
      <c r="V21" s="8">
        <f t="shared" si="9"/>
        <v>0</v>
      </c>
      <c r="W21" s="3"/>
      <c r="X21" s="7">
        <f t="shared" si="10"/>
        <v>-347.59153846153981</v>
      </c>
      <c r="Y21" s="3"/>
      <c r="Z21" s="8">
        <f t="shared" si="11"/>
        <v>-0.19358914215576078</v>
      </c>
    </row>
    <row r="22" spans="1:26" s="24" customFormat="1" hidden="1" outlineLevel="2" x14ac:dyDescent="0.25">
      <c r="A22" s="27"/>
      <c r="B22" s="12" t="str">
        <f>CONCATENATE("          ", "6112", " - ", "COMPENSATION INSURANCE")</f>
        <v xml:space="preserve">          6112 - COMPENSATION INSURANCE</v>
      </c>
      <c r="C22" s="12"/>
      <c r="D22" s="7">
        <v>62.46</v>
      </c>
      <c r="E22" s="3"/>
      <c r="F22" s="8">
        <f t="shared" si="4"/>
        <v>0</v>
      </c>
      <c r="G22" s="3"/>
      <c r="H22" s="7">
        <v>77.423076923076906</v>
      </c>
      <c r="I22" s="3"/>
      <c r="J22" s="8">
        <f t="shared" si="5"/>
        <v>0</v>
      </c>
      <c r="K22" s="3"/>
      <c r="L22" s="7">
        <f t="shared" si="6"/>
        <v>-14.963076923076905</v>
      </c>
      <c r="M22" s="3"/>
      <c r="N22" s="8">
        <f t="shared" si="7"/>
        <v>-0.19326378539493275</v>
      </c>
      <c r="O22" s="12"/>
      <c r="P22" s="7">
        <v>62.46</v>
      </c>
      <c r="Q22" s="3"/>
      <c r="R22" s="8">
        <f t="shared" si="8"/>
        <v>0</v>
      </c>
      <c r="S22" s="3"/>
      <c r="T22" s="7">
        <v>77.423076923076906</v>
      </c>
      <c r="U22" s="3"/>
      <c r="V22" s="8">
        <f t="shared" si="9"/>
        <v>0</v>
      </c>
      <c r="W22" s="3"/>
      <c r="X22" s="7">
        <f t="shared" si="10"/>
        <v>-14.963076923076905</v>
      </c>
      <c r="Y22" s="3"/>
      <c r="Z22" s="8">
        <f t="shared" si="11"/>
        <v>-0.19326378539493275</v>
      </c>
    </row>
    <row r="23" spans="1:26" s="24" customFormat="1" hidden="1" outlineLevel="2" x14ac:dyDescent="0.25">
      <c r="A23" s="27"/>
      <c r="B23" s="12" t="str">
        <f>CONCATENATE("          ", "6113", " - ", "GROUP INSURANCE")</f>
        <v xml:space="preserve">          6113 - GROUP INSURANCE</v>
      </c>
      <c r="C23" s="12"/>
      <c r="D23" s="7">
        <v>3965.44</v>
      </c>
      <c r="E23" s="3"/>
      <c r="F23" s="8">
        <f t="shared" si="4"/>
        <v>0</v>
      </c>
      <c r="G23" s="3"/>
      <c r="H23" s="7">
        <v>3365</v>
      </c>
      <c r="I23" s="3"/>
      <c r="J23" s="8">
        <f t="shared" si="5"/>
        <v>0</v>
      </c>
      <c r="K23" s="3"/>
      <c r="L23" s="7">
        <f t="shared" si="6"/>
        <v>600.44000000000005</v>
      </c>
      <c r="M23" s="3"/>
      <c r="N23" s="8">
        <f t="shared" si="7"/>
        <v>0.1784368499257058</v>
      </c>
      <c r="O23" s="12"/>
      <c r="P23" s="7">
        <v>3965.44</v>
      </c>
      <c r="Q23" s="3"/>
      <c r="R23" s="8">
        <f t="shared" si="8"/>
        <v>0</v>
      </c>
      <c r="S23" s="3"/>
      <c r="T23" s="7">
        <v>3365</v>
      </c>
      <c r="U23" s="3"/>
      <c r="V23" s="8">
        <f t="shared" si="9"/>
        <v>0</v>
      </c>
      <c r="W23" s="3"/>
      <c r="X23" s="7">
        <f t="shared" si="10"/>
        <v>600.44000000000005</v>
      </c>
      <c r="Y23" s="3"/>
      <c r="Z23" s="8">
        <f t="shared" si="11"/>
        <v>0.1784368499257058</v>
      </c>
    </row>
    <row r="24" spans="1:26" s="24" customFormat="1" hidden="1" outlineLevel="2" x14ac:dyDescent="0.25">
      <c r="A24" s="27"/>
      <c r="B24" s="12" t="str">
        <f>CONCATENATE("          ", "6114", " - ", "STATE UNEMPLOYMENT INSURANCE")</f>
        <v xml:space="preserve">          6114 - STATE UNEMPLOYMENT INSURANCE</v>
      </c>
      <c r="C24" s="12"/>
      <c r="D24" s="7">
        <v>49.21</v>
      </c>
      <c r="E24" s="3"/>
      <c r="F24" s="8">
        <f t="shared" si="4"/>
        <v>0</v>
      </c>
      <c r="G24" s="3"/>
      <c r="H24" s="7">
        <v>61</v>
      </c>
      <c r="I24" s="3"/>
      <c r="J24" s="8">
        <f t="shared" si="5"/>
        <v>0</v>
      </c>
      <c r="K24" s="3"/>
      <c r="L24" s="7">
        <f t="shared" si="6"/>
        <v>-11.79</v>
      </c>
      <c r="M24" s="3"/>
      <c r="N24" s="8">
        <f t="shared" si="7"/>
        <v>-0.19327868852459015</v>
      </c>
      <c r="O24" s="12"/>
      <c r="P24" s="7">
        <v>49.21</v>
      </c>
      <c r="Q24" s="3"/>
      <c r="R24" s="8">
        <f t="shared" si="8"/>
        <v>0</v>
      </c>
      <c r="S24" s="3"/>
      <c r="T24" s="7">
        <v>61</v>
      </c>
      <c r="U24" s="3"/>
      <c r="V24" s="8">
        <f t="shared" si="9"/>
        <v>0</v>
      </c>
      <c r="W24" s="3"/>
      <c r="X24" s="7">
        <f t="shared" si="10"/>
        <v>-11.79</v>
      </c>
      <c r="Y24" s="3"/>
      <c r="Z24" s="8">
        <f t="shared" si="11"/>
        <v>-0.19327868852459015</v>
      </c>
    </row>
    <row r="25" spans="1:26" s="24" customFormat="1" hidden="1" outlineLevel="2" x14ac:dyDescent="0.25">
      <c r="A25" s="27"/>
      <c r="B25" s="12" t="str">
        <f>CONCATENATE("          ", "6115", " - ", "P.E.R.S.")</f>
        <v xml:space="preserve">          6115 - P.E.R.S.</v>
      </c>
      <c r="C25" s="12"/>
      <c r="D25" s="7">
        <v>3073.55</v>
      </c>
      <c r="E25" s="3"/>
      <c r="F25" s="8">
        <f t="shared" si="4"/>
        <v>0</v>
      </c>
      <c r="G25" s="3"/>
      <c r="H25" s="7">
        <v>2017.6923076923101</v>
      </c>
      <c r="I25" s="3"/>
      <c r="J25" s="8">
        <f t="shared" si="5"/>
        <v>0</v>
      </c>
      <c r="K25" s="3"/>
      <c r="L25" s="7">
        <f t="shared" si="6"/>
        <v>1055.8576923076901</v>
      </c>
      <c r="M25" s="3"/>
      <c r="N25" s="8">
        <f t="shared" si="7"/>
        <v>0.52329965688143176</v>
      </c>
      <c r="O25" s="12"/>
      <c r="P25" s="7">
        <v>3073.55</v>
      </c>
      <c r="Q25" s="3"/>
      <c r="R25" s="8">
        <f t="shared" si="8"/>
        <v>0</v>
      </c>
      <c r="S25" s="3"/>
      <c r="T25" s="7">
        <v>2017.6923076923101</v>
      </c>
      <c r="U25" s="3"/>
      <c r="V25" s="8">
        <f t="shared" si="9"/>
        <v>0</v>
      </c>
      <c r="W25" s="3"/>
      <c r="X25" s="7">
        <f t="shared" si="10"/>
        <v>1055.8576923076901</v>
      </c>
      <c r="Y25" s="3"/>
      <c r="Z25" s="8">
        <f t="shared" si="11"/>
        <v>0.52329965688143176</v>
      </c>
    </row>
    <row r="26" spans="1:26" s="24" customFormat="1" hidden="1" outlineLevel="2" x14ac:dyDescent="0.25">
      <c r="A26" s="27"/>
      <c r="B26" s="12" t="str">
        <f>CONCATENATE("          ", "6116", " - ", "EDUCATIONAL BENEFITS")</f>
        <v xml:space="preserve">          6116 - EDUCATIONAL BENEFITS</v>
      </c>
      <c r="C26" s="12"/>
      <c r="D26" s="7"/>
      <c r="E26" s="3"/>
      <c r="F26" s="8">
        <f t="shared" si="4"/>
        <v>0</v>
      </c>
      <c r="G26" s="3"/>
      <c r="H26" s="7">
        <v>0</v>
      </c>
      <c r="I26" s="3"/>
      <c r="J26" s="8">
        <f t="shared" si="5"/>
        <v>0</v>
      </c>
      <c r="K26" s="3"/>
      <c r="L26" s="7">
        <f t="shared" si="6"/>
        <v>0</v>
      </c>
      <c r="M26" s="3"/>
      <c r="N26" s="8">
        <f t="shared" si="7"/>
        <v>0</v>
      </c>
      <c r="O26" s="12"/>
      <c r="P26" s="7"/>
      <c r="Q26" s="3"/>
      <c r="R26" s="8">
        <f t="shared" si="8"/>
        <v>0</v>
      </c>
      <c r="S26" s="3"/>
      <c r="T26" s="7">
        <v>0</v>
      </c>
      <c r="U26" s="3"/>
      <c r="V26" s="8">
        <f t="shared" si="9"/>
        <v>0</v>
      </c>
      <c r="W26" s="3"/>
      <c r="X26" s="7">
        <f t="shared" si="10"/>
        <v>0</v>
      </c>
      <c r="Y26" s="3"/>
      <c r="Z26" s="8">
        <f t="shared" si="11"/>
        <v>0</v>
      </c>
    </row>
    <row r="27" spans="1:26" s="24" customFormat="1" hidden="1" outlineLevel="2" x14ac:dyDescent="0.25">
      <c r="A27" s="27"/>
      <c r="B27" s="12" t="str">
        <f>CONCATENATE("          ", "6118", " - ", "VACATION")</f>
        <v xml:space="preserve">          6118 - VACATION</v>
      </c>
      <c r="C27" s="12"/>
      <c r="D27" s="7">
        <v>1658.98</v>
      </c>
      <c r="E27" s="3"/>
      <c r="F27" s="8">
        <f t="shared" si="4"/>
        <v>0</v>
      </c>
      <c r="G27" s="3"/>
      <c r="H27" s="7">
        <v>1173.0769230769201</v>
      </c>
      <c r="I27" s="3"/>
      <c r="J27" s="8">
        <f t="shared" si="5"/>
        <v>0</v>
      </c>
      <c r="K27" s="3"/>
      <c r="L27" s="7">
        <f t="shared" si="6"/>
        <v>485.90307692307988</v>
      </c>
      <c r="M27" s="3"/>
      <c r="N27" s="8">
        <f t="shared" si="7"/>
        <v>0.41421245901639703</v>
      </c>
      <c r="O27" s="12"/>
      <c r="P27" s="7">
        <v>1658.98</v>
      </c>
      <c r="Q27" s="3"/>
      <c r="R27" s="8">
        <f t="shared" si="8"/>
        <v>0</v>
      </c>
      <c r="S27" s="3"/>
      <c r="T27" s="7">
        <v>1173.0769230769201</v>
      </c>
      <c r="U27" s="3"/>
      <c r="V27" s="8">
        <f t="shared" si="9"/>
        <v>0</v>
      </c>
      <c r="W27" s="3"/>
      <c r="X27" s="7">
        <f t="shared" si="10"/>
        <v>485.90307692307988</v>
      </c>
      <c r="Y27" s="3"/>
      <c r="Z27" s="8">
        <f t="shared" si="11"/>
        <v>0.41421245901639703</v>
      </c>
    </row>
    <row r="28" spans="1:26" s="24" customFormat="1" hidden="1" outlineLevel="2" x14ac:dyDescent="0.25">
      <c r="A28" s="27"/>
      <c r="B28" s="12" t="str">
        <f>CONCATENATE("          ", "6119", " - ", "SICK LEAVE")</f>
        <v xml:space="preserve">          6119 - SICK LEAVE</v>
      </c>
      <c r="C28" s="12"/>
      <c r="D28" s="7">
        <v>856.8</v>
      </c>
      <c r="E28" s="3"/>
      <c r="F28" s="8">
        <f t="shared" si="4"/>
        <v>0</v>
      </c>
      <c r="G28" s="3"/>
      <c r="H28" s="7">
        <v>703.84615384615404</v>
      </c>
      <c r="I28" s="3"/>
      <c r="J28" s="8">
        <f t="shared" si="5"/>
        <v>0</v>
      </c>
      <c r="K28" s="3"/>
      <c r="L28" s="7">
        <f t="shared" si="6"/>
        <v>152.95384615384592</v>
      </c>
      <c r="M28" s="3"/>
      <c r="N28" s="8">
        <f t="shared" si="7"/>
        <v>0.21731147540983567</v>
      </c>
      <c r="O28" s="12"/>
      <c r="P28" s="7">
        <v>856.8</v>
      </c>
      <c r="Q28" s="3"/>
      <c r="R28" s="8">
        <f t="shared" si="8"/>
        <v>0</v>
      </c>
      <c r="S28" s="3"/>
      <c r="T28" s="7">
        <v>703.84615384615404</v>
      </c>
      <c r="U28" s="3"/>
      <c r="V28" s="8">
        <f t="shared" si="9"/>
        <v>0</v>
      </c>
      <c r="W28" s="3"/>
      <c r="X28" s="7">
        <f t="shared" si="10"/>
        <v>152.95384615384592</v>
      </c>
      <c r="Y28" s="3"/>
      <c r="Z28" s="8">
        <f t="shared" si="11"/>
        <v>0.21731147540983567</v>
      </c>
    </row>
    <row r="29" spans="1:26" s="24" customFormat="1" hidden="1" outlineLevel="2" x14ac:dyDescent="0.25">
      <c r="A29" s="27"/>
      <c r="B29" s="12" t="str">
        <f>CONCATENATE("          ", "6156", " - ", "EMPLOYEE MEALS")</f>
        <v xml:space="preserve">          6156 - EMPLOYEE MEALS</v>
      </c>
      <c r="C29" s="12"/>
      <c r="D29" s="7">
        <v>24</v>
      </c>
      <c r="E29" s="3"/>
      <c r="F29" s="8">
        <f t="shared" si="4"/>
        <v>0</v>
      </c>
      <c r="G29" s="3"/>
      <c r="H29" s="7">
        <v>350</v>
      </c>
      <c r="I29" s="3"/>
      <c r="J29" s="8">
        <f t="shared" si="5"/>
        <v>0</v>
      </c>
      <c r="K29" s="3"/>
      <c r="L29" s="7">
        <f t="shared" si="6"/>
        <v>-326</v>
      </c>
      <c r="M29" s="3"/>
      <c r="N29" s="8">
        <f t="shared" si="7"/>
        <v>-0.93142857142857138</v>
      </c>
      <c r="O29" s="12"/>
      <c r="P29" s="7">
        <v>24</v>
      </c>
      <c r="Q29" s="3"/>
      <c r="R29" s="8">
        <f t="shared" si="8"/>
        <v>0</v>
      </c>
      <c r="S29" s="3"/>
      <c r="T29" s="7">
        <v>350</v>
      </c>
      <c r="U29" s="3"/>
      <c r="V29" s="8">
        <f t="shared" si="9"/>
        <v>0</v>
      </c>
      <c r="W29" s="3"/>
      <c r="X29" s="7">
        <f t="shared" si="10"/>
        <v>-326</v>
      </c>
      <c r="Y29" s="3"/>
      <c r="Z29" s="8">
        <f t="shared" si="11"/>
        <v>-0.93142857142857138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20793.400000000001</v>
      </c>
      <c r="E30" s="1"/>
      <c r="F30" s="5">
        <f t="shared" ref="F30:F40" si="12">IF(D$12=0,0,D30/D$12)</f>
        <v>0</v>
      </c>
      <c r="G30" s="1"/>
      <c r="H30" s="1">
        <f>SUM(OSRRefH22_1x_0)</f>
        <v>21584.615384615361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-791.21538461535965</v>
      </c>
      <c r="M30" s="1"/>
      <c r="N30" s="5">
        <f t="shared" ref="N30:N40" si="15">IF(H30=0,0,L30/H30)</f>
        <v>-3.6656450463291829E-2</v>
      </c>
      <c r="O30" s="14"/>
      <c r="P30" s="1">
        <f>SUM(OSRRefP22_1x_0)</f>
        <v>20793.400000000001</v>
      </c>
      <c r="Q30" s="1"/>
      <c r="R30" s="5">
        <f t="shared" ref="R30:R40" si="16">IF(P$12=0,0,P30/P$12)</f>
        <v>0</v>
      </c>
      <c r="S30" s="1"/>
      <c r="T30" s="1">
        <f>SUM(OSRRefT22_1x_0)</f>
        <v>21584.615384615361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-791.21538461535965</v>
      </c>
      <c r="Y30" s="1"/>
      <c r="Z30" s="5">
        <f t="shared" ref="Z30:Z40" si="19">IF(T30=0,0,X30/T30)</f>
        <v>-3.6656450463291829E-2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>
        <v>16876.34</v>
      </c>
      <c r="E31" s="3"/>
      <c r="F31" s="8">
        <f t="shared" si="12"/>
        <v>0</v>
      </c>
      <c r="G31" s="3"/>
      <c r="H31" s="7">
        <v>15923.0769230769</v>
      </c>
      <c r="I31" s="3"/>
      <c r="J31" s="8">
        <f t="shared" si="13"/>
        <v>0</v>
      </c>
      <c r="K31" s="3"/>
      <c r="L31" s="7">
        <f t="shared" si="14"/>
        <v>953.26307692310002</v>
      </c>
      <c r="M31" s="3"/>
      <c r="N31" s="8">
        <f t="shared" si="15"/>
        <v>5.9866763285025694E-2</v>
      </c>
      <c r="O31" s="12"/>
      <c r="P31" s="7">
        <v>16876.34</v>
      </c>
      <c r="Q31" s="3"/>
      <c r="R31" s="8">
        <f t="shared" si="16"/>
        <v>0</v>
      </c>
      <c r="S31" s="3"/>
      <c r="T31" s="7">
        <v>15923.0769230769</v>
      </c>
      <c r="U31" s="3"/>
      <c r="V31" s="8">
        <f t="shared" si="17"/>
        <v>0</v>
      </c>
      <c r="W31" s="3"/>
      <c r="X31" s="7">
        <f t="shared" si="18"/>
        <v>953.26307692310002</v>
      </c>
      <c r="Y31" s="3"/>
      <c r="Z31" s="8">
        <f t="shared" si="19"/>
        <v>5.9866763285025694E-2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>
        <v>3917.06</v>
      </c>
      <c r="E32" s="3"/>
      <c r="F32" s="8">
        <f t="shared" si="12"/>
        <v>0</v>
      </c>
      <c r="G32" s="3"/>
      <c r="H32" s="7">
        <v>5661.5384615384601</v>
      </c>
      <c r="I32" s="3"/>
      <c r="J32" s="8">
        <f t="shared" si="13"/>
        <v>0</v>
      </c>
      <c r="K32" s="3"/>
      <c r="L32" s="7">
        <f t="shared" si="14"/>
        <v>-1744.4784615384601</v>
      </c>
      <c r="M32" s="3"/>
      <c r="N32" s="8">
        <f t="shared" si="15"/>
        <v>-0.3081279891304346</v>
      </c>
      <c r="O32" s="12"/>
      <c r="P32" s="7">
        <v>3917.06</v>
      </c>
      <c r="Q32" s="3"/>
      <c r="R32" s="8">
        <f t="shared" si="16"/>
        <v>0</v>
      </c>
      <c r="S32" s="3"/>
      <c r="T32" s="7">
        <v>5661.5384615384601</v>
      </c>
      <c r="U32" s="3"/>
      <c r="V32" s="8">
        <f t="shared" si="17"/>
        <v>0</v>
      </c>
      <c r="W32" s="3"/>
      <c r="X32" s="7">
        <f t="shared" si="18"/>
        <v>-1744.4784615384601</v>
      </c>
      <c r="Y32" s="3"/>
      <c r="Z32" s="8">
        <f t="shared" si="19"/>
        <v>-0.3081279891304346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12"/>
        <v>0</v>
      </c>
      <c r="G33" s="3"/>
      <c r="H33" s="7">
        <v>0</v>
      </c>
      <c r="I33" s="3"/>
      <c r="J33" s="8">
        <f t="shared" si="13"/>
        <v>0</v>
      </c>
      <c r="K33" s="3"/>
      <c r="L33" s="7">
        <f t="shared" si="14"/>
        <v>0</v>
      </c>
      <c r="M33" s="3"/>
      <c r="N33" s="8">
        <f t="shared" si="15"/>
        <v>0</v>
      </c>
      <c r="O33" s="12"/>
      <c r="P33" s="7"/>
      <c r="Q33" s="3"/>
      <c r="R33" s="8">
        <f t="shared" si="16"/>
        <v>0</v>
      </c>
      <c r="S33" s="3"/>
      <c r="T33" s="7">
        <v>0</v>
      </c>
      <c r="U33" s="3"/>
      <c r="V33" s="8">
        <f t="shared" si="17"/>
        <v>0</v>
      </c>
      <c r="W33" s="3"/>
      <c r="X33" s="7">
        <f t="shared" si="18"/>
        <v>0</v>
      </c>
      <c r="Y33" s="3"/>
      <c r="Z33" s="8">
        <f t="shared" si="19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/>
      <c r="E34" s="3"/>
      <c r="F34" s="8">
        <f t="shared" si="12"/>
        <v>0</v>
      </c>
      <c r="G34" s="3"/>
      <c r="H34" s="7">
        <v>0</v>
      </c>
      <c r="I34" s="3"/>
      <c r="J34" s="8">
        <f t="shared" si="13"/>
        <v>0</v>
      </c>
      <c r="K34" s="3"/>
      <c r="L34" s="7">
        <f t="shared" si="14"/>
        <v>0</v>
      </c>
      <c r="M34" s="3"/>
      <c r="N34" s="8">
        <f t="shared" si="15"/>
        <v>0</v>
      </c>
      <c r="O34" s="12"/>
      <c r="P34" s="7"/>
      <c r="Q34" s="3"/>
      <c r="R34" s="8">
        <f t="shared" si="16"/>
        <v>0</v>
      </c>
      <c r="S34" s="3"/>
      <c r="T34" s="7">
        <v>0</v>
      </c>
      <c r="U34" s="3"/>
      <c r="V34" s="8">
        <f t="shared" si="17"/>
        <v>0</v>
      </c>
      <c r="W34" s="3"/>
      <c r="X34" s="7">
        <f t="shared" si="18"/>
        <v>0</v>
      </c>
      <c r="Y34" s="3"/>
      <c r="Z34" s="8">
        <f t="shared" si="19"/>
        <v>0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12"/>
        <v>0</v>
      </c>
      <c r="G35" s="3"/>
      <c r="H35" s="7">
        <v>0</v>
      </c>
      <c r="I35" s="3"/>
      <c r="J35" s="8">
        <f t="shared" si="13"/>
        <v>0</v>
      </c>
      <c r="K35" s="3"/>
      <c r="L35" s="7">
        <f t="shared" si="14"/>
        <v>0</v>
      </c>
      <c r="M35" s="3"/>
      <c r="N35" s="8">
        <f t="shared" si="15"/>
        <v>0</v>
      </c>
      <c r="O35" s="12"/>
      <c r="P35" s="7"/>
      <c r="Q35" s="3"/>
      <c r="R35" s="8">
        <f t="shared" si="16"/>
        <v>0</v>
      </c>
      <c r="S35" s="3"/>
      <c r="T35" s="7">
        <v>0</v>
      </c>
      <c r="U35" s="3"/>
      <c r="V35" s="8">
        <f t="shared" si="17"/>
        <v>0</v>
      </c>
      <c r="W35" s="3"/>
      <c r="X35" s="7">
        <f t="shared" si="18"/>
        <v>0</v>
      </c>
      <c r="Y35" s="3"/>
      <c r="Z35" s="8">
        <f t="shared" si="19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12"/>
        <v>0</v>
      </c>
      <c r="G36" s="3"/>
      <c r="H36" s="7">
        <v>0</v>
      </c>
      <c r="I36" s="3"/>
      <c r="J36" s="8">
        <f t="shared" si="13"/>
        <v>0</v>
      </c>
      <c r="K36" s="3"/>
      <c r="L36" s="7">
        <f t="shared" si="14"/>
        <v>0</v>
      </c>
      <c r="M36" s="3"/>
      <c r="N36" s="8">
        <f t="shared" si="15"/>
        <v>0</v>
      </c>
      <c r="O36" s="12"/>
      <c r="P36" s="7"/>
      <c r="Q36" s="3"/>
      <c r="R36" s="8">
        <f t="shared" si="16"/>
        <v>0</v>
      </c>
      <c r="S36" s="3"/>
      <c r="T36" s="7">
        <v>0</v>
      </c>
      <c r="U36" s="3"/>
      <c r="V36" s="8">
        <f t="shared" si="17"/>
        <v>0</v>
      </c>
      <c r="W36" s="3"/>
      <c r="X36" s="7">
        <f t="shared" si="18"/>
        <v>0</v>
      </c>
      <c r="Y36" s="3"/>
      <c r="Z36" s="8">
        <f t="shared" si="19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/>
      <c r="E37" s="3"/>
      <c r="F37" s="8">
        <f t="shared" si="12"/>
        <v>0</v>
      </c>
      <c r="G37" s="3"/>
      <c r="H37" s="7">
        <v>0</v>
      </c>
      <c r="I37" s="3"/>
      <c r="J37" s="8">
        <f t="shared" si="13"/>
        <v>0</v>
      </c>
      <c r="K37" s="3"/>
      <c r="L37" s="7">
        <f t="shared" si="14"/>
        <v>0</v>
      </c>
      <c r="M37" s="3"/>
      <c r="N37" s="8">
        <f t="shared" si="15"/>
        <v>0</v>
      </c>
      <c r="O37" s="12"/>
      <c r="P37" s="7"/>
      <c r="Q37" s="3"/>
      <c r="R37" s="8">
        <f t="shared" si="16"/>
        <v>0</v>
      </c>
      <c r="S37" s="3"/>
      <c r="T37" s="7">
        <v>0</v>
      </c>
      <c r="U37" s="3"/>
      <c r="V37" s="8">
        <f t="shared" si="17"/>
        <v>0</v>
      </c>
      <c r="W37" s="3"/>
      <c r="X37" s="7">
        <f t="shared" si="18"/>
        <v>0</v>
      </c>
      <c r="Y37" s="3"/>
      <c r="Z37" s="8">
        <f t="shared" si="19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12"/>
        <v>0</v>
      </c>
      <c r="G38" s="3"/>
      <c r="H38" s="7">
        <v>0</v>
      </c>
      <c r="I38" s="3"/>
      <c r="J38" s="8">
        <f t="shared" si="13"/>
        <v>0</v>
      </c>
      <c r="K38" s="3"/>
      <c r="L38" s="7">
        <f t="shared" si="14"/>
        <v>0</v>
      </c>
      <c r="M38" s="3"/>
      <c r="N38" s="8">
        <f t="shared" si="15"/>
        <v>0</v>
      </c>
      <c r="O38" s="12"/>
      <c r="P38" s="7"/>
      <c r="Q38" s="3"/>
      <c r="R38" s="8">
        <f t="shared" si="16"/>
        <v>0</v>
      </c>
      <c r="S38" s="3"/>
      <c r="T38" s="7">
        <v>0</v>
      </c>
      <c r="U38" s="3"/>
      <c r="V38" s="8">
        <f t="shared" si="17"/>
        <v>0</v>
      </c>
      <c r="W38" s="3"/>
      <c r="X38" s="7">
        <f t="shared" si="18"/>
        <v>0</v>
      </c>
      <c r="Y38" s="3"/>
      <c r="Z38" s="8">
        <f t="shared" si="19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12"/>
        <v>0</v>
      </c>
      <c r="G39" s="3"/>
      <c r="H39" s="7">
        <v>0</v>
      </c>
      <c r="I39" s="3"/>
      <c r="J39" s="8">
        <f t="shared" si="13"/>
        <v>0</v>
      </c>
      <c r="K39" s="3"/>
      <c r="L39" s="7">
        <f t="shared" si="14"/>
        <v>0</v>
      </c>
      <c r="M39" s="3"/>
      <c r="N39" s="8">
        <f t="shared" si="15"/>
        <v>0</v>
      </c>
      <c r="O39" s="12"/>
      <c r="P39" s="7"/>
      <c r="Q39" s="3"/>
      <c r="R39" s="8">
        <f t="shared" si="16"/>
        <v>0</v>
      </c>
      <c r="S39" s="3"/>
      <c r="T39" s="7">
        <v>0</v>
      </c>
      <c r="U39" s="3"/>
      <c r="V39" s="8">
        <f t="shared" si="17"/>
        <v>0</v>
      </c>
      <c r="W39" s="3"/>
      <c r="X39" s="7">
        <f t="shared" si="18"/>
        <v>0</v>
      </c>
      <c r="Y39" s="3"/>
      <c r="Z39" s="8">
        <f t="shared" si="19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58.38</v>
      </c>
      <c r="E41" s="1"/>
      <c r="F41" s="5">
        <f t="shared" ref="F41:F62" si="20">IF(D$12=0,0,D41/D$12)</f>
        <v>0</v>
      </c>
      <c r="G41" s="1"/>
      <c r="H41" s="1">
        <f>SUM(OSRRefH22_2x_0)</f>
        <v>500</v>
      </c>
      <c r="I41" s="1"/>
      <c r="J41" s="5">
        <f t="shared" ref="J41:J62" si="21">IF(H$12=0,0,H41/H$12)</f>
        <v>0</v>
      </c>
      <c r="K41" s="1"/>
      <c r="L41" s="1">
        <f t="shared" ref="L41:L62" si="22">+D41-H41</f>
        <v>-441.62</v>
      </c>
      <c r="M41" s="1"/>
      <c r="N41" s="5">
        <f t="shared" ref="N41:N62" si="23">IF(H41=0,0,L41/H41)</f>
        <v>-0.88324000000000003</v>
      </c>
      <c r="O41" s="14"/>
      <c r="P41" s="1">
        <f>SUM(OSRRefP22_2x_0)</f>
        <v>58.38</v>
      </c>
      <c r="Q41" s="1"/>
      <c r="R41" s="5">
        <f t="shared" ref="R41:R62" si="24">IF(P$12=0,0,P41/P$12)</f>
        <v>0</v>
      </c>
      <c r="S41" s="1"/>
      <c r="T41" s="1">
        <f>SUM(OSRRefT22_2x_0)</f>
        <v>500</v>
      </c>
      <c r="U41" s="1"/>
      <c r="V41" s="5">
        <f t="shared" ref="V41:V62" si="25">IF(T$12=0,0,T41/T$12)</f>
        <v>0</v>
      </c>
      <c r="W41" s="1"/>
      <c r="X41" s="1">
        <f t="shared" ref="X41:X62" si="26">+P41-T41</f>
        <v>-441.62</v>
      </c>
      <c r="Y41" s="1"/>
      <c r="Z41" s="5">
        <f t="shared" ref="Z41:Z62" si="27">IF(T41=0,0,X41/T41)</f>
        <v>-0.88324000000000003</v>
      </c>
    </row>
    <row r="42" spans="1:26" s="24" customFormat="1" hidden="1" outlineLevel="2" x14ac:dyDescent="0.25">
      <c r="A42" s="27"/>
      <c r="B42" s="12" t="str">
        <f>CONCATENATE("          ", "6362", " - ", "ADVERTISING EXPENSE")</f>
        <v xml:space="preserve">          6362 - ADVERTISING EXPENSE</v>
      </c>
      <c r="C42" s="12"/>
      <c r="D42" s="7">
        <v>58.38</v>
      </c>
      <c r="E42" s="3"/>
      <c r="F42" s="8">
        <f t="shared" si="20"/>
        <v>0</v>
      </c>
      <c r="G42" s="3"/>
      <c r="H42" s="7">
        <v>500</v>
      </c>
      <c r="I42" s="3"/>
      <c r="J42" s="8">
        <f t="shared" si="21"/>
        <v>0</v>
      </c>
      <c r="K42" s="3"/>
      <c r="L42" s="7">
        <f t="shared" si="22"/>
        <v>-441.62</v>
      </c>
      <c r="M42" s="3"/>
      <c r="N42" s="8">
        <f t="shared" si="23"/>
        <v>-0.88324000000000003</v>
      </c>
      <c r="O42" s="12"/>
      <c r="P42" s="7">
        <v>58.38</v>
      </c>
      <c r="Q42" s="3"/>
      <c r="R42" s="8">
        <f t="shared" si="24"/>
        <v>0</v>
      </c>
      <c r="S42" s="3"/>
      <c r="T42" s="7">
        <v>500</v>
      </c>
      <c r="U42" s="3"/>
      <c r="V42" s="8">
        <f t="shared" si="25"/>
        <v>0</v>
      </c>
      <c r="W42" s="3"/>
      <c r="X42" s="7">
        <f t="shared" si="26"/>
        <v>-441.62</v>
      </c>
      <c r="Y42" s="3"/>
      <c r="Z42" s="8">
        <f t="shared" si="27"/>
        <v>-0.88324000000000003</v>
      </c>
    </row>
    <row r="43" spans="1:26" s="29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4"/>
      <c r="P43" s="1">
        <f>SUM(OSRRefP22_3x_0)</f>
        <v>314.87</v>
      </c>
      <c r="Q43" s="1"/>
      <c r="R43" s="5">
        <f t="shared" si="24"/>
        <v>0</v>
      </c>
      <c r="S43" s="1"/>
      <c r="T43" s="1">
        <f>SUM(OSRRefT22_3x_0)</f>
        <v>315</v>
      </c>
      <c r="U43" s="1"/>
      <c r="V43" s="5">
        <f t="shared" si="25"/>
        <v>0</v>
      </c>
      <c r="W43" s="1"/>
      <c r="X43" s="1">
        <f t="shared" si="26"/>
        <v>-0.12999999999999545</v>
      </c>
      <c r="Y43" s="1"/>
      <c r="Z43" s="5">
        <f t="shared" si="27"/>
        <v>-4.1269841269839827E-4</v>
      </c>
    </row>
    <row r="44" spans="1:26" s="24" customFormat="1" hidden="1" outlineLevel="2" x14ac:dyDescent="0.25">
      <c r="A44" s="27"/>
      <c r="B44" s="12" t="str">
        <f>CONCATENATE("          ", "6322", " - ", "EQUIPMENT DEPRECIATION EXPENSE")</f>
        <v xml:space="preserve">          6322 - EQUIPMENT DEPRECIATION EXPENSE</v>
      </c>
      <c r="C44" s="12"/>
      <c r="D44" s="7">
        <v>314.87</v>
      </c>
      <c r="E44" s="3"/>
      <c r="F44" s="8">
        <f t="shared" si="20"/>
        <v>0</v>
      </c>
      <c r="G44" s="3"/>
      <c r="H44" s="7">
        <v>315</v>
      </c>
      <c r="I44" s="3"/>
      <c r="J44" s="8">
        <f t="shared" si="21"/>
        <v>0</v>
      </c>
      <c r="K44" s="3"/>
      <c r="L44" s="7">
        <f t="shared" si="22"/>
        <v>-0.12999999999999545</v>
      </c>
      <c r="M44" s="3"/>
      <c r="N44" s="8">
        <f t="shared" si="23"/>
        <v>-4.1269841269839827E-4</v>
      </c>
      <c r="O44" s="12"/>
      <c r="P44" s="7">
        <v>314.87</v>
      </c>
      <c r="Q44" s="3"/>
      <c r="R44" s="8">
        <f t="shared" si="24"/>
        <v>0</v>
      </c>
      <c r="S44" s="3"/>
      <c r="T44" s="7">
        <v>315</v>
      </c>
      <c r="U44" s="3"/>
      <c r="V44" s="8">
        <f t="shared" si="25"/>
        <v>0</v>
      </c>
      <c r="W44" s="3"/>
      <c r="X44" s="7">
        <f t="shared" si="26"/>
        <v>-0.12999999999999545</v>
      </c>
      <c r="Y44" s="3"/>
      <c r="Z44" s="8">
        <f t="shared" si="27"/>
        <v>-4.1269841269839827E-4</v>
      </c>
    </row>
    <row r="45" spans="1:26" s="29" customFormat="1" outlineLevel="1" collapsed="1" x14ac:dyDescent="0.25">
      <c r="A45" s="28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26500</v>
      </c>
      <c r="I45" s="1"/>
      <c r="J45" s="5">
        <f t="shared" si="21"/>
        <v>0</v>
      </c>
      <c r="K45" s="1"/>
      <c r="L45" s="1">
        <f t="shared" si="22"/>
        <v>-26500</v>
      </c>
      <c r="M45" s="1"/>
      <c r="N45" s="5">
        <f t="shared" si="23"/>
        <v>-1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26500</v>
      </c>
      <c r="U45" s="1"/>
      <c r="V45" s="5">
        <f t="shared" si="25"/>
        <v>0</v>
      </c>
      <c r="W45" s="1"/>
      <c r="X45" s="1">
        <f t="shared" si="26"/>
        <v>-26500</v>
      </c>
      <c r="Y45" s="1"/>
      <c r="Z45" s="5">
        <f t="shared" si="27"/>
        <v>-1</v>
      </c>
    </row>
    <row r="46" spans="1:26" s="24" customFormat="1" hidden="1" outlineLevel="2" x14ac:dyDescent="0.25">
      <c r="A46" s="27"/>
      <c r="B46" s="12" t="str">
        <f>CONCATENATE("          ", "6399", " - ", "DONATION-ON CAMPUS")</f>
        <v xml:space="preserve">          6399 - DONATION-ON CAMPUS</v>
      </c>
      <c r="C46" s="12"/>
      <c r="D46" s="7"/>
      <c r="E46" s="3"/>
      <c r="F46" s="8">
        <f t="shared" si="20"/>
        <v>0</v>
      </c>
      <c r="G46" s="3"/>
      <c r="H46" s="7">
        <v>26500</v>
      </c>
      <c r="I46" s="3"/>
      <c r="J46" s="8">
        <f t="shared" si="21"/>
        <v>0</v>
      </c>
      <c r="K46" s="3"/>
      <c r="L46" s="7">
        <f t="shared" si="22"/>
        <v>-26500</v>
      </c>
      <c r="M46" s="3"/>
      <c r="N46" s="8">
        <f t="shared" si="23"/>
        <v>-1</v>
      </c>
      <c r="O46" s="12"/>
      <c r="P46" s="7"/>
      <c r="Q46" s="3"/>
      <c r="R46" s="8">
        <f t="shared" si="24"/>
        <v>0</v>
      </c>
      <c r="S46" s="3"/>
      <c r="T46" s="7">
        <v>26500</v>
      </c>
      <c r="U46" s="3"/>
      <c r="V46" s="8">
        <f t="shared" si="25"/>
        <v>0</v>
      </c>
      <c r="W46" s="3"/>
      <c r="X46" s="7">
        <f t="shared" si="26"/>
        <v>-26500</v>
      </c>
      <c r="Y46" s="3"/>
      <c r="Z46" s="8">
        <f t="shared" si="27"/>
        <v>-1</v>
      </c>
    </row>
    <row r="47" spans="1:26" s="29" customFormat="1" outlineLevel="1" collapsed="1" x14ac:dyDescent="0.25">
      <c r="A47" s="28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117.71</v>
      </c>
      <c r="E47" s="1"/>
      <c r="F47" s="5">
        <f t="shared" si="20"/>
        <v>0</v>
      </c>
      <c r="G47" s="1"/>
      <c r="H47" s="1">
        <f>SUM(OSRRefH22_5x_0)</f>
        <v>118</v>
      </c>
      <c r="I47" s="1"/>
      <c r="J47" s="5">
        <f t="shared" si="21"/>
        <v>0</v>
      </c>
      <c r="K47" s="1"/>
      <c r="L47" s="1">
        <f t="shared" si="22"/>
        <v>-0.29000000000000625</v>
      </c>
      <c r="M47" s="1"/>
      <c r="N47" s="5">
        <f t="shared" si="23"/>
        <v>-2.457627118644121E-3</v>
      </c>
      <c r="O47" s="14"/>
      <c r="P47" s="1">
        <f>SUM(OSRRefP22_5x_0)</f>
        <v>117.71</v>
      </c>
      <c r="Q47" s="1"/>
      <c r="R47" s="5">
        <f t="shared" si="24"/>
        <v>0</v>
      </c>
      <c r="S47" s="1"/>
      <c r="T47" s="1">
        <f>SUM(OSRRefT22_5x_0)</f>
        <v>118</v>
      </c>
      <c r="U47" s="1"/>
      <c r="V47" s="5">
        <f t="shared" si="25"/>
        <v>0</v>
      </c>
      <c r="W47" s="1"/>
      <c r="X47" s="1">
        <f t="shared" si="26"/>
        <v>-0.29000000000000625</v>
      </c>
      <c r="Y47" s="1"/>
      <c r="Z47" s="5">
        <f t="shared" si="27"/>
        <v>-2.457627118644121E-3</v>
      </c>
    </row>
    <row r="48" spans="1:26" s="24" customFormat="1" hidden="1" outlineLevel="2" x14ac:dyDescent="0.25">
      <c r="A48" s="27"/>
      <c r="B48" s="12" t="str">
        <f>CONCATENATE("          ", "6351", " - ", "EQUIPMENT RENTAL")</f>
        <v xml:space="preserve">          6351 - EQUIPMENT RENTAL</v>
      </c>
      <c r="C48" s="12"/>
      <c r="D48" s="7">
        <v>117.71</v>
      </c>
      <c r="E48" s="3"/>
      <c r="F48" s="8">
        <f t="shared" si="20"/>
        <v>0</v>
      </c>
      <c r="G48" s="3"/>
      <c r="H48" s="7">
        <v>118</v>
      </c>
      <c r="I48" s="3"/>
      <c r="J48" s="8">
        <f t="shared" si="21"/>
        <v>0</v>
      </c>
      <c r="K48" s="3"/>
      <c r="L48" s="7">
        <f t="shared" si="22"/>
        <v>-0.29000000000000625</v>
      </c>
      <c r="M48" s="3"/>
      <c r="N48" s="8">
        <f t="shared" si="23"/>
        <v>-2.457627118644121E-3</v>
      </c>
      <c r="O48" s="12"/>
      <c r="P48" s="7">
        <v>117.71</v>
      </c>
      <c r="Q48" s="3"/>
      <c r="R48" s="8">
        <f t="shared" si="24"/>
        <v>0</v>
      </c>
      <c r="S48" s="3"/>
      <c r="T48" s="7">
        <v>118</v>
      </c>
      <c r="U48" s="3"/>
      <c r="V48" s="8">
        <f t="shared" si="25"/>
        <v>0</v>
      </c>
      <c r="W48" s="3"/>
      <c r="X48" s="7">
        <f t="shared" si="26"/>
        <v>-0.29000000000000625</v>
      </c>
      <c r="Y48" s="3"/>
      <c r="Z48" s="8">
        <f t="shared" si="27"/>
        <v>-2.457627118644121E-3</v>
      </c>
    </row>
    <row r="49" spans="1:26" s="29" customFormat="1" outlineLevel="1" collapsed="1" x14ac:dyDescent="0.25">
      <c r="A49" s="28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15</v>
      </c>
      <c r="I49" s="1"/>
      <c r="J49" s="5">
        <f t="shared" si="21"/>
        <v>0</v>
      </c>
      <c r="K49" s="1"/>
      <c r="L49" s="1">
        <f t="shared" si="22"/>
        <v>-15</v>
      </c>
      <c r="M49" s="1"/>
      <c r="N49" s="5">
        <f t="shared" si="23"/>
        <v>-1</v>
      </c>
      <c r="O49" s="14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15</v>
      </c>
      <c r="U49" s="1"/>
      <c r="V49" s="5">
        <f t="shared" si="25"/>
        <v>0</v>
      </c>
      <c r="W49" s="1"/>
      <c r="X49" s="1">
        <f t="shared" si="26"/>
        <v>-15</v>
      </c>
      <c r="Y49" s="1"/>
      <c r="Z49" s="5">
        <f t="shared" si="27"/>
        <v>-1</v>
      </c>
    </row>
    <row r="50" spans="1:26" s="24" customFormat="1" hidden="1" outlineLevel="2" x14ac:dyDescent="0.25">
      <c r="A50" s="27"/>
      <c r="B50" s="12" t="str">
        <f>CONCATENATE("          ", "6307", " - ", "POSTAGE")</f>
        <v xml:space="preserve">          6307 - POSTAGE</v>
      </c>
      <c r="C50" s="12"/>
      <c r="D50" s="7"/>
      <c r="E50" s="3"/>
      <c r="F50" s="8">
        <f t="shared" si="20"/>
        <v>0</v>
      </c>
      <c r="G50" s="3"/>
      <c r="H50" s="7">
        <v>15</v>
      </c>
      <c r="I50" s="3"/>
      <c r="J50" s="8">
        <f t="shared" si="21"/>
        <v>0</v>
      </c>
      <c r="K50" s="3"/>
      <c r="L50" s="7">
        <f t="shared" si="22"/>
        <v>-15</v>
      </c>
      <c r="M50" s="3"/>
      <c r="N50" s="8">
        <f t="shared" si="23"/>
        <v>-1</v>
      </c>
      <c r="O50" s="12"/>
      <c r="P50" s="7"/>
      <c r="Q50" s="3"/>
      <c r="R50" s="8">
        <f t="shared" si="24"/>
        <v>0</v>
      </c>
      <c r="S50" s="3"/>
      <c r="T50" s="7">
        <v>15</v>
      </c>
      <c r="U50" s="3"/>
      <c r="V50" s="8">
        <f t="shared" si="25"/>
        <v>0</v>
      </c>
      <c r="W50" s="3"/>
      <c r="X50" s="7">
        <f t="shared" si="26"/>
        <v>-15</v>
      </c>
      <c r="Y50" s="3"/>
      <c r="Z50" s="8">
        <f t="shared" si="27"/>
        <v>-1</v>
      </c>
    </row>
    <row r="51" spans="1:26" s="29" customFormat="1" outlineLevel="1" collapsed="1" x14ac:dyDescent="0.25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115.13</v>
      </c>
      <c r="E51" s="1"/>
      <c r="F51" s="5">
        <f t="shared" si="20"/>
        <v>0</v>
      </c>
      <c r="G51" s="1"/>
      <c r="H51" s="1">
        <f>SUM(OSRRefH22_7x_0)</f>
        <v>126</v>
      </c>
      <c r="I51" s="1"/>
      <c r="J51" s="5">
        <f t="shared" si="21"/>
        <v>0</v>
      </c>
      <c r="K51" s="1"/>
      <c r="L51" s="1">
        <f t="shared" si="22"/>
        <v>-10.870000000000005</v>
      </c>
      <c r="M51" s="1"/>
      <c r="N51" s="5">
        <f t="shared" si="23"/>
        <v>-8.6269841269841302E-2</v>
      </c>
      <c r="O51" s="14"/>
      <c r="P51" s="1">
        <f>SUM(OSRRefP22_7x_0)</f>
        <v>115.13</v>
      </c>
      <c r="Q51" s="1"/>
      <c r="R51" s="5">
        <f t="shared" si="24"/>
        <v>0</v>
      </c>
      <c r="S51" s="1"/>
      <c r="T51" s="1">
        <f>SUM(OSRRefT22_7x_0)</f>
        <v>126</v>
      </c>
      <c r="U51" s="1"/>
      <c r="V51" s="5">
        <f t="shared" si="25"/>
        <v>0</v>
      </c>
      <c r="W51" s="1"/>
      <c r="X51" s="1">
        <f t="shared" si="26"/>
        <v>-10.870000000000005</v>
      </c>
      <c r="Y51" s="1"/>
      <c r="Z51" s="5">
        <f t="shared" si="27"/>
        <v>-8.6269841269841302E-2</v>
      </c>
    </row>
    <row r="52" spans="1:26" s="24" customFormat="1" hidden="1" outlineLevel="2" x14ac:dyDescent="0.25">
      <c r="A52" s="27"/>
      <c r="B52" s="12" t="str">
        <f>CONCATENATE("          ", "6314", " - ", "LIABILITY INSURANCE")</f>
        <v xml:space="preserve">          6314 - LIABILITY INSURANCE</v>
      </c>
      <c r="C52" s="12"/>
      <c r="D52" s="7">
        <v>115.13</v>
      </c>
      <c r="E52" s="3"/>
      <c r="F52" s="8">
        <f t="shared" si="20"/>
        <v>0</v>
      </c>
      <c r="G52" s="3"/>
      <c r="H52" s="7">
        <v>126</v>
      </c>
      <c r="I52" s="3"/>
      <c r="J52" s="8">
        <f t="shared" si="21"/>
        <v>0</v>
      </c>
      <c r="K52" s="3"/>
      <c r="L52" s="7">
        <f t="shared" si="22"/>
        <v>-10.870000000000005</v>
      </c>
      <c r="M52" s="3"/>
      <c r="N52" s="8">
        <f t="shared" si="23"/>
        <v>-8.6269841269841302E-2</v>
      </c>
      <c r="O52" s="12"/>
      <c r="P52" s="7">
        <v>115.13</v>
      </c>
      <c r="Q52" s="3"/>
      <c r="R52" s="8">
        <f t="shared" si="24"/>
        <v>0</v>
      </c>
      <c r="S52" s="3"/>
      <c r="T52" s="7">
        <v>126</v>
      </c>
      <c r="U52" s="3"/>
      <c r="V52" s="8">
        <f t="shared" si="25"/>
        <v>0</v>
      </c>
      <c r="W52" s="3"/>
      <c r="X52" s="7">
        <f t="shared" si="26"/>
        <v>-10.870000000000005</v>
      </c>
      <c r="Y52" s="3"/>
      <c r="Z52" s="8">
        <f t="shared" si="27"/>
        <v>-8.6269841269841302E-2</v>
      </c>
    </row>
    <row r="53" spans="1:26" s="29" customFormat="1" outlineLevel="1" collapsed="1" x14ac:dyDescent="0.25">
      <c r="A53" s="28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100</v>
      </c>
      <c r="E53" s="1"/>
      <c r="F53" s="5">
        <f t="shared" si="20"/>
        <v>0</v>
      </c>
      <c r="G53" s="1"/>
      <c r="H53" s="1">
        <f>SUM(OSRRefH22_8x_0)</f>
        <v>0</v>
      </c>
      <c r="I53" s="1"/>
      <c r="J53" s="5">
        <f t="shared" si="21"/>
        <v>0</v>
      </c>
      <c r="K53" s="1"/>
      <c r="L53" s="1">
        <f t="shared" si="22"/>
        <v>100</v>
      </c>
      <c r="M53" s="1"/>
      <c r="N53" s="5">
        <f t="shared" si="23"/>
        <v>0</v>
      </c>
      <c r="O53" s="14"/>
      <c r="P53" s="1">
        <f>SUM(OSRRefP22_8x_0)</f>
        <v>100</v>
      </c>
      <c r="Q53" s="1"/>
      <c r="R53" s="5">
        <f t="shared" si="24"/>
        <v>0</v>
      </c>
      <c r="S53" s="1"/>
      <c r="T53" s="1">
        <f>SUM(OSRRefT22_8x_0)</f>
        <v>0</v>
      </c>
      <c r="U53" s="1"/>
      <c r="V53" s="5">
        <f t="shared" si="25"/>
        <v>0</v>
      </c>
      <c r="W53" s="1"/>
      <c r="X53" s="1">
        <f t="shared" si="26"/>
        <v>100</v>
      </c>
      <c r="Y53" s="1"/>
      <c r="Z53" s="5">
        <f t="shared" si="27"/>
        <v>0</v>
      </c>
    </row>
    <row r="54" spans="1:26" s="24" customFormat="1" hidden="1" outlineLevel="2" x14ac:dyDescent="0.25">
      <c r="A54" s="27"/>
      <c r="B54" s="12" t="str">
        <f>CONCATENATE("          ", "6334", " - ", "LEGAL COUNCIL EXPENSE")</f>
        <v xml:space="preserve">          6334 - LEGAL COUNCIL EXPENSE</v>
      </c>
      <c r="C54" s="12"/>
      <c r="D54" s="7">
        <v>100</v>
      </c>
      <c r="E54" s="3"/>
      <c r="F54" s="8">
        <f t="shared" si="20"/>
        <v>0</v>
      </c>
      <c r="G54" s="3"/>
      <c r="H54" s="7"/>
      <c r="I54" s="3"/>
      <c r="J54" s="8">
        <f t="shared" si="21"/>
        <v>0</v>
      </c>
      <c r="K54" s="3"/>
      <c r="L54" s="7">
        <f t="shared" si="22"/>
        <v>100</v>
      </c>
      <c r="M54" s="3"/>
      <c r="N54" s="8">
        <f t="shared" si="23"/>
        <v>0</v>
      </c>
      <c r="O54" s="12"/>
      <c r="P54" s="7">
        <v>100</v>
      </c>
      <c r="Q54" s="3"/>
      <c r="R54" s="8">
        <f t="shared" si="24"/>
        <v>0</v>
      </c>
      <c r="S54" s="3"/>
      <c r="T54" s="7"/>
      <c r="U54" s="3"/>
      <c r="V54" s="8">
        <f t="shared" si="25"/>
        <v>0</v>
      </c>
      <c r="W54" s="3"/>
      <c r="X54" s="7">
        <f t="shared" si="26"/>
        <v>100</v>
      </c>
      <c r="Y54" s="3"/>
      <c r="Z54" s="8">
        <f t="shared" si="27"/>
        <v>0</v>
      </c>
    </row>
    <row r="55" spans="1:26" s="29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2587.73</v>
      </c>
      <c r="E55" s="1"/>
      <c r="F55" s="5">
        <f t="shared" si="20"/>
        <v>0</v>
      </c>
      <c r="G55" s="1"/>
      <c r="H55" s="1">
        <f>SUM(OSRRefH22_9x_0)</f>
        <v>2182</v>
      </c>
      <c r="I55" s="1"/>
      <c r="J55" s="5">
        <f t="shared" si="21"/>
        <v>0</v>
      </c>
      <c r="K55" s="1"/>
      <c r="L55" s="1">
        <f t="shared" si="22"/>
        <v>405.73</v>
      </c>
      <c r="M55" s="1"/>
      <c r="N55" s="5">
        <f t="shared" si="23"/>
        <v>0.18594408799266729</v>
      </c>
      <c r="O55" s="14"/>
      <c r="P55" s="1">
        <f>SUM(OSRRefP22_9x_0)</f>
        <v>2587.73</v>
      </c>
      <c r="Q55" s="1"/>
      <c r="R55" s="5">
        <f t="shared" si="24"/>
        <v>0</v>
      </c>
      <c r="S55" s="1"/>
      <c r="T55" s="1">
        <f>SUM(OSRRefT22_9x_0)</f>
        <v>2182</v>
      </c>
      <c r="U55" s="1"/>
      <c r="V55" s="5">
        <f t="shared" si="25"/>
        <v>0</v>
      </c>
      <c r="W55" s="1"/>
      <c r="X55" s="1">
        <f t="shared" si="26"/>
        <v>405.73</v>
      </c>
      <c r="Y55" s="1"/>
      <c r="Z55" s="5">
        <f t="shared" si="27"/>
        <v>0.18594408799266729</v>
      </c>
    </row>
    <row r="56" spans="1:26" s="24" customFormat="1" hidden="1" outlineLevel="2" x14ac:dyDescent="0.25">
      <c r="A56" s="27"/>
      <c r="B56" s="12" t="str">
        <f>CONCATENATE("          ", "6373", " - ", "MAINTENANCE CONTRACTS")</f>
        <v xml:space="preserve">          6373 - MAINTENANCE CONTRACTS</v>
      </c>
      <c r="C56" s="12"/>
      <c r="D56" s="7">
        <v>2587.73</v>
      </c>
      <c r="E56" s="3"/>
      <c r="F56" s="8">
        <f t="shared" si="20"/>
        <v>0</v>
      </c>
      <c r="G56" s="3"/>
      <c r="H56" s="7">
        <v>2182</v>
      </c>
      <c r="I56" s="3"/>
      <c r="J56" s="8">
        <f t="shared" si="21"/>
        <v>0</v>
      </c>
      <c r="K56" s="3"/>
      <c r="L56" s="7">
        <f t="shared" si="22"/>
        <v>405.73</v>
      </c>
      <c r="M56" s="3"/>
      <c r="N56" s="8">
        <f t="shared" si="23"/>
        <v>0.18594408799266729</v>
      </c>
      <c r="O56" s="12"/>
      <c r="P56" s="7">
        <v>2587.73</v>
      </c>
      <c r="Q56" s="3"/>
      <c r="R56" s="8">
        <f t="shared" si="24"/>
        <v>0</v>
      </c>
      <c r="S56" s="3"/>
      <c r="T56" s="7">
        <v>2182</v>
      </c>
      <c r="U56" s="3"/>
      <c r="V56" s="8">
        <f t="shared" si="25"/>
        <v>0</v>
      </c>
      <c r="W56" s="3"/>
      <c r="X56" s="7">
        <f t="shared" si="26"/>
        <v>405.73</v>
      </c>
      <c r="Y56" s="3"/>
      <c r="Z56" s="8">
        <f t="shared" si="27"/>
        <v>0.18594408799266729</v>
      </c>
    </row>
    <row r="57" spans="1:26" s="29" customFormat="1" outlineLevel="1" collapsed="1" x14ac:dyDescent="0.25">
      <c r="A57" s="28"/>
      <c r="B57" s="14" t="str">
        <f>CONCATENATE("     ","Subscriptions &amp; Dues                              ")</f>
        <v xml:space="preserve">     Subscriptions &amp; Dues                              </v>
      </c>
      <c r="C57" s="14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250</v>
      </c>
      <c r="I57" s="1"/>
      <c r="J57" s="5">
        <f t="shared" si="21"/>
        <v>0</v>
      </c>
      <c r="K57" s="1"/>
      <c r="L57" s="1">
        <f t="shared" si="22"/>
        <v>-250</v>
      </c>
      <c r="M57" s="1"/>
      <c r="N57" s="5">
        <f t="shared" si="23"/>
        <v>-1</v>
      </c>
      <c r="O57" s="14"/>
      <c r="P57" s="1">
        <f>SUM(OSRRefP22_10x_0)</f>
        <v>0</v>
      </c>
      <c r="Q57" s="1"/>
      <c r="R57" s="5">
        <f t="shared" si="24"/>
        <v>0</v>
      </c>
      <c r="S57" s="1"/>
      <c r="T57" s="1">
        <f>SUM(OSRRefT22_10x_0)</f>
        <v>250</v>
      </c>
      <c r="U57" s="1"/>
      <c r="V57" s="5">
        <f t="shared" si="25"/>
        <v>0</v>
      </c>
      <c r="W57" s="1"/>
      <c r="X57" s="1">
        <f t="shared" si="26"/>
        <v>-250</v>
      </c>
      <c r="Y57" s="1"/>
      <c r="Z57" s="5">
        <f t="shared" si="27"/>
        <v>-1</v>
      </c>
    </row>
    <row r="58" spans="1:26" s="24" customFormat="1" hidden="1" outlineLevel="2" x14ac:dyDescent="0.25">
      <c r="A58" s="27"/>
      <c r="B58" s="12" t="str">
        <f>CONCATENATE("          ", "6258", " - ", "MEMBERSHIP DUES")</f>
        <v xml:space="preserve">          6258 - MEMBERSHIP DUES</v>
      </c>
      <c r="C58" s="12"/>
      <c r="D58" s="7"/>
      <c r="E58" s="3"/>
      <c r="F58" s="8">
        <f t="shared" si="20"/>
        <v>0</v>
      </c>
      <c r="G58" s="3"/>
      <c r="H58" s="7">
        <v>250</v>
      </c>
      <c r="I58" s="3"/>
      <c r="J58" s="8">
        <f t="shared" si="21"/>
        <v>0</v>
      </c>
      <c r="K58" s="3"/>
      <c r="L58" s="7">
        <f t="shared" si="22"/>
        <v>-250</v>
      </c>
      <c r="M58" s="3"/>
      <c r="N58" s="8">
        <f t="shared" si="23"/>
        <v>-1</v>
      </c>
      <c r="O58" s="12"/>
      <c r="P58" s="7"/>
      <c r="Q58" s="3"/>
      <c r="R58" s="8">
        <f t="shared" si="24"/>
        <v>0</v>
      </c>
      <c r="S58" s="3"/>
      <c r="T58" s="7">
        <v>250</v>
      </c>
      <c r="U58" s="3"/>
      <c r="V58" s="8">
        <f t="shared" si="25"/>
        <v>0</v>
      </c>
      <c r="W58" s="3"/>
      <c r="X58" s="7">
        <f t="shared" si="26"/>
        <v>-250</v>
      </c>
      <c r="Y58" s="3"/>
      <c r="Z58" s="8">
        <f t="shared" si="27"/>
        <v>-1</v>
      </c>
    </row>
    <row r="59" spans="1:26" s="29" customFormat="1" outlineLevel="1" collapsed="1" x14ac:dyDescent="0.25">
      <c r="A59" s="28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SUM(OSRRefD22_11x_0)</f>
        <v>132.01</v>
      </c>
      <c r="E59" s="1"/>
      <c r="F59" s="5">
        <f t="shared" si="20"/>
        <v>0</v>
      </c>
      <c r="G59" s="1"/>
      <c r="H59" s="1">
        <f>SUM(OSRRefH22_11x_0)</f>
        <v>1000</v>
      </c>
      <c r="I59" s="1"/>
      <c r="J59" s="5">
        <f t="shared" si="21"/>
        <v>0</v>
      </c>
      <c r="K59" s="1"/>
      <c r="L59" s="1">
        <f t="shared" si="22"/>
        <v>-867.99</v>
      </c>
      <c r="M59" s="1"/>
      <c r="N59" s="5">
        <f t="shared" si="23"/>
        <v>-0.86799000000000004</v>
      </c>
      <c r="O59" s="14"/>
      <c r="P59" s="1">
        <f>SUM(OSRRefP22_11x_0)</f>
        <v>132.01</v>
      </c>
      <c r="Q59" s="1"/>
      <c r="R59" s="5">
        <f t="shared" si="24"/>
        <v>0</v>
      </c>
      <c r="S59" s="1"/>
      <c r="T59" s="1">
        <f>SUM(OSRRefT22_11x_0)</f>
        <v>1000</v>
      </c>
      <c r="U59" s="1"/>
      <c r="V59" s="5">
        <f t="shared" si="25"/>
        <v>0</v>
      </c>
      <c r="W59" s="1"/>
      <c r="X59" s="1">
        <f t="shared" si="26"/>
        <v>-867.99</v>
      </c>
      <c r="Y59" s="1"/>
      <c r="Z59" s="5">
        <f t="shared" si="27"/>
        <v>-0.86799000000000004</v>
      </c>
    </row>
    <row r="60" spans="1:26" s="24" customFormat="1" hidden="1" outlineLevel="2" x14ac:dyDescent="0.25">
      <c r="A60" s="27"/>
      <c r="B60" s="12" t="str">
        <f>CONCATENATE("          ", "6234", " - ", "EXPENDABLE SUPPLIES &amp; EQUIPMEN")</f>
        <v xml:space="preserve">          6234 - EXPENDABLE SUPPLIES &amp; EQUIPMEN</v>
      </c>
      <c r="C60" s="12"/>
      <c r="D60" s="7"/>
      <c r="E60" s="3"/>
      <c r="F60" s="8">
        <f t="shared" si="20"/>
        <v>0</v>
      </c>
      <c r="G60" s="3"/>
      <c r="H60" s="7">
        <v>1000</v>
      </c>
      <c r="I60" s="3"/>
      <c r="J60" s="8">
        <f t="shared" si="21"/>
        <v>0</v>
      </c>
      <c r="K60" s="3"/>
      <c r="L60" s="7">
        <f t="shared" si="22"/>
        <v>-1000</v>
      </c>
      <c r="M60" s="3"/>
      <c r="N60" s="8">
        <f t="shared" si="23"/>
        <v>-1</v>
      </c>
      <c r="O60" s="12"/>
      <c r="P60" s="7"/>
      <c r="Q60" s="3"/>
      <c r="R60" s="8">
        <f t="shared" si="24"/>
        <v>0</v>
      </c>
      <c r="S60" s="3"/>
      <c r="T60" s="7">
        <v>1000</v>
      </c>
      <c r="U60" s="3"/>
      <c r="V60" s="8">
        <f t="shared" si="25"/>
        <v>0</v>
      </c>
      <c r="W60" s="3"/>
      <c r="X60" s="7">
        <f t="shared" si="26"/>
        <v>-1000</v>
      </c>
      <c r="Y60" s="3"/>
      <c r="Z60" s="8">
        <f t="shared" si="27"/>
        <v>-1</v>
      </c>
    </row>
    <row r="61" spans="1:26" s="24" customFormat="1" hidden="1" outlineLevel="2" x14ac:dyDescent="0.25">
      <c r="A61" s="27"/>
      <c r="B61" s="12" t="str">
        <f>CONCATENATE("          ", "6235", " - ", "COVID-19 EXPENSES")</f>
        <v xml:space="preserve">          6235 - COVID-19 EXPENSES</v>
      </c>
      <c r="C61" s="12"/>
      <c r="D61" s="7">
        <v>106.94</v>
      </c>
      <c r="E61" s="3"/>
      <c r="F61" s="8">
        <f t="shared" si="20"/>
        <v>0</v>
      </c>
      <c r="G61" s="3"/>
      <c r="H61" s="7"/>
      <c r="I61" s="3"/>
      <c r="J61" s="8">
        <f t="shared" si="21"/>
        <v>0</v>
      </c>
      <c r="K61" s="3"/>
      <c r="L61" s="7">
        <f t="shared" si="22"/>
        <v>106.94</v>
      </c>
      <c r="M61" s="3"/>
      <c r="N61" s="8">
        <f t="shared" si="23"/>
        <v>0</v>
      </c>
      <c r="O61" s="12"/>
      <c r="P61" s="7">
        <v>106.94</v>
      </c>
      <c r="Q61" s="3"/>
      <c r="R61" s="8">
        <f t="shared" si="24"/>
        <v>0</v>
      </c>
      <c r="S61" s="3"/>
      <c r="T61" s="7"/>
      <c r="U61" s="3"/>
      <c r="V61" s="8">
        <f t="shared" si="25"/>
        <v>0</v>
      </c>
      <c r="W61" s="3"/>
      <c r="X61" s="7">
        <f t="shared" si="26"/>
        <v>106.94</v>
      </c>
      <c r="Y61" s="3"/>
      <c r="Z61" s="8">
        <f t="shared" si="27"/>
        <v>0</v>
      </c>
    </row>
    <row r="62" spans="1:26" s="24" customFormat="1" hidden="1" outlineLevel="2" x14ac:dyDescent="0.25">
      <c r="A62" s="27"/>
      <c r="B62" s="12" t="str">
        <f>CONCATENATE("          ", "6241", " - ", "OFFICE EXPENSE")</f>
        <v xml:space="preserve">          6241 - OFFICE EXPENSE</v>
      </c>
      <c r="C62" s="12"/>
      <c r="D62" s="7">
        <v>25.07</v>
      </c>
      <c r="E62" s="3"/>
      <c r="F62" s="8">
        <f t="shared" si="20"/>
        <v>0</v>
      </c>
      <c r="G62" s="3"/>
      <c r="H62" s="7"/>
      <c r="I62" s="3"/>
      <c r="J62" s="8">
        <f t="shared" si="21"/>
        <v>0</v>
      </c>
      <c r="K62" s="3"/>
      <c r="L62" s="7">
        <f t="shared" si="22"/>
        <v>25.07</v>
      </c>
      <c r="M62" s="3"/>
      <c r="N62" s="8">
        <f t="shared" si="23"/>
        <v>0</v>
      </c>
      <c r="O62" s="12"/>
      <c r="P62" s="7">
        <v>25.07</v>
      </c>
      <c r="Q62" s="3"/>
      <c r="R62" s="8">
        <f t="shared" si="24"/>
        <v>0</v>
      </c>
      <c r="S62" s="3"/>
      <c r="T62" s="7"/>
      <c r="U62" s="3"/>
      <c r="V62" s="8">
        <f t="shared" si="25"/>
        <v>0</v>
      </c>
      <c r="W62" s="3"/>
      <c r="X62" s="7">
        <f t="shared" si="26"/>
        <v>25.07</v>
      </c>
      <c r="Y62" s="3"/>
      <c r="Z62" s="8">
        <f t="shared" si="27"/>
        <v>0</v>
      </c>
    </row>
    <row r="63" spans="1:26" s="29" customFormat="1" outlineLevel="1" collapsed="1" x14ac:dyDescent="0.25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303.16000000000003</v>
      </c>
      <c r="E63" s="1"/>
      <c r="F63" s="5">
        <f t="shared" ref="F63:F64" si="28">IF(D$12=0,0,D63/D$12)</f>
        <v>0</v>
      </c>
      <c r="G63" s="1"/>
      <c r="H63" s="1">
        <f>SUM(OSRRefH22_12x_0)</f>
        <v>350</v>
      </c>
      <c r="I63" s="1"/>
      <c r="J63" s="5">
        <f t="shared" ref="J63:J64" si="29">IF(H$12=0,0,H63/H$12)</f>
        <v>0</v>
      </c>
      <c r="K63" s="1"/>
      <c r="L63" s="1">
        <f t="shared" ref="L63:L64" si="30">+D63-H63</f>
        <v>-46.839999999999975</v>
      </c>
      <c r="M63" s="1"/>
      <c r="N63" s="5">
        <f t="shared" ref="N63:N64" si="31">IF(H63=0,0,L63/H63)</f>
        <v>-0.13382857142857135</v>
      </c>
      <c r="O63" s="14"/>
      <c r="P63" s="1">
        <f>SUM(OSRRefP22_12x_0)</f>
        <v>303.16000000000003</v>
      </c>
      <c r="Q63" s="1"/>
      <c r="R63" s="5">
        <f t="shared" ref="R63:R64" si="32">IF(P$12=0,0,P63/P$12)</f>
        <v>0</v>
      </c>
      <c r="S63" s="1"/>
      <c r="T63" s="1">
        <f>SUM(OSRRefT22_12x_0)</f>
        <v>350</v>
      </c>
      <c r="U63" s="1"/>
      <c r="V63" s="5">
        <f t="shared" ref="V63:V64" si="33">IF(T$12=0,0,T63/T$12)</f>
        <v>0</v>
      </c>
      <c r="W63" s="1"/>
      <c r="X63" s="1">
        <f t="shared" ref="X63:X64" si="34">+P63-T63</f>
        <v>-46.839999999999975</v>
      </c>
      <c r="Y63" s="1"/>
      <c r="Z63" s="5">
        <f t="shared" ref="Z63:Z64" si="35">IF(T63=0,0,X63/T63)</f>
        <v>-0.13382857142857135</v>
      </c>
    </row>
    <row r="64" spans="1:26" s="24" customFormat="1" hidden="1" outlineLevel="2" x14ac:dyDescent="0.25">
      <c r="A64" s="27"/>
      <c r="B64" s="12" t="str">
        <f>CONCATENATE("          ", "6309", " - ", "TELEPHONE")</f>
        <v xml:space="preserve">          6309 - TELEPHONE</v>
      </c>
      <c r="C64" s="12"/>
      <c r="D64" s="7">
        <v>303.16000000000003</v>
      </c>
      <c r="E64" s="3"/>
      <c r="F64" s="8">
        <f t="shared" si="28"/>
        <v>0</v>
      </c>
      <c r="G64" s="3"/>
      <c r="H64" s="7">
        <v>350</v>
      </c>
      <c r="I64" s="3"/>
      <c r="J64" s="8">
        <f t="shared" si="29"/>
        <v>0</v>
      </c>
      <c r="K64" s="3"/>
      <c r="L64" s="7">
        <f t="shared" si="30"/>
        <v>-46.839999999999975</v>
      </c>
      <c r="M64" s="3"/>
      <c r="N64" s="8">
        <f t="shared" si="31"/>
        <v>-0.13382857142857135</v>
      </c>
      <c r="O64" s="12"/>
      <c r="P64" s="7">
        <v>303.16000000000003</v>
      </c>
      <c r="Q64" s="3"/>
      <c r="R64" s="8">
        <f t="shared" si="32"/>
        <v>0</v>
      </c>
      <c r="S64" s="3"/>
      <c r="T64" s="7">
        <v>350</v>
      </c>
      <c r="U64" s="3"/>
      <c r="V64" s="8">
        <f t="shared" si="33"/>
        <v>0</v>
      </c>
      <c r="W64" s="3"/>
      <c r="X64" s="7">
        <f t="shared" si="34"/>
        <v>-46.839999999999975</v>
      </c>
      <c r="Y64" s="3"/>
      <c r="Z64" s="8">
        <f t="shared" si="35"/>
        <v>-0.13382857142857135</v>
      </c>
    </row>
    <row r="65" spans="1:26" s="54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2" customFormat="1" x14ac:dyDescent="0.25">
      <c r="A66" s="10"/>
      <c r="B66" s="26" t="s">
        <v>0</v>
      </c>
      <c r="C66" s="10"/>
      <c r="D66" s="4">
        <f>SUM(0)</f>
        <v>0</v>
      </c>
      <c r="E66" s="4"/>
      <c r="F66" s="11">
        <f>IF(D$12=0,0,D66/D$12)</f>
        <v>0</v>
      </c>
      <c r="G66" s="4"/>
      <c r="H66" s="4">
        <f>SUM(0)</f>
        <v>0</v>
      </c>
      <c r="I66" s="4"/>
      <c r="J66" s="11">
        <f>IF(H$12=0,0,H66/H$12)</f>
        <v>0</v>
      </c>
      <c r="K66" s="4"/>
      <c r="L66" s="4">
        <f>+D66-H66</f>
        <v>0</v>
      </c>
      <c r="M66" s="4"/>
      <c r="N66" s="11">
        <f>IF(H66=0,0,L66/H66)</f>
        <v>0</v>
      </c>
      <c r="O66" s="10"/>
      <c r="P66" s="4">
        <f>SUM(0)</f>
        <v>0</v>
      </c>
      <c r="Q66" s="4"/>
      <c r="R66" s="11">
        <f>IF(P$12=0,0,P66/P$12)</f>
        <v>0</v>
      </c>
      <c r="S66" s="4"/>
      <c r="T66" s="4">
        <f>SUM(0)</f>
        <v>0</v>
      </c>
      <c r="U66" s="4"/>
      <c r="V66" s="11">
        <f>IF(T$12=0,0,T66/T$12)</f>
        <v>0</v>
      </c>
      <c r="W66" s="4"/>
      <c r="X66" s="4">
        <f>+P66-T66</f>
        <v>0</v>
      </c>
      <c r="Y66" s="4"/>
      <c r="Z66" s="11">
        <f>IF(T66=0,0,X66/T66)</f>
        <v>0</v>
      </c>
    </row>
    <row r="67" spans="1:26" x14ac:dyDescent="0.25">
      <c r="A67" s="9"/>
      <c r="B67" s="10"/>
      <c r="C67" s="10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10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2" customFormat="1" x14ac:dyDescent="0.25">
      <c r="A68" s="10"/>
      <c r="B68" s="25" t="s">
        <v>3</v>
      </c>
      <c r="C68" s="25"/>
      <c r="D68" s="21">
        <f>+D17-D19+D66</f>
        <v>-35660.750000000007</v>
      </c>
      <c r="E68" s="13"/>
      <c r="F68" s="20">
        <f>IF(D$12=0,0,D68/D$12)</f>
        <v>0</v>
      </c>
      <c r="G68" s="13"/>
      <c r="H68" s="21">
        <f>+H17-H19+H66</f>
        <v>-62484.165384615364</v>
      </c>
      <c r="I68" s="13"/>
      <c r="J68" s="20">
        <f>IF(H$12=0,0,H68/H$12)</f>
        <v>0</v>
      </c>
      <c r="K68" s="15"/>
      <c r="L68" s="21">
        <f>+D68-H68</f>
        <v>26823.415384615357</v>
      </c>
      <c r="M68" s="15"/>
      <c r="N68" s="20">
        <f>IF(H68=0,0,L68/H68)</f>
        <v>-0.42928340675603754</v>
      </c>
      <c r="O68" s="26"/>
      <c r="P68" s="21">
        <f>+P17-P19+P66</f>
        <v>-35660.750000000007</v>
      </c>
      <c r="Q68" s="13"/>
      <c r="R68" s="20">
        <f>IF(P$12=0,0,P68/P$12)</f>
        <v>0</v>
      </c>
      <c r="S68" s="13"/>
      <c r="T68" s="21">
        <f>+T17-T19+T66</f>
        <v>-62484.165384615364</v>
      </c>
      <c r="U68" s="13"/>
      <c r="V68" s="20">
        <f>IF(T$12=0,0,T68/T$12)</f>
        <v>0</v>
      </c>
      <c r="W68" s="15"/>
      <c r="X68" s="21">
        <f>+P68-T68</f>
        <v>26823.415384615357</v>
      </c>
      <c r="Y68" s="15"/>
      <c r="Z68" s="20">
        <f>IF(T68=0,0,X68/T68)</f>
        <v>-0.42928340675603754</v>
      </c>
    </row>
    <row r="69" spans="1:26" x14ac:dyDescent="0.25">
      <c r="A69" s="9"/>
      <c r="B69" s="10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2" customFormat="1" x14ac:dyDescent="0.25">
      <c r="A70" s="52"/>
      <c r="B70" s="10" t="s">
        <v>14</v>
      </c>
      <c r="C70" s="10"/>
      <c r="D70" s="4"/>
      <c r="E70" s="4"/>
      <c r="F70" s="11">
        <f>IF(D$12=0,0,D70/D$12)</f>
        <v>0</v>
      </c>
      <c r="G70" s="4"/>
      <c r="H70" s="4"/>
      <c r="I70" s="4"/>
      <c r="J70" s="11">
        <f>IF(H$12=0,0,H70/H$12)</f>
        <v>0</v>
      </c>
      <c r="K70" s="4"/>
      <c r="L70" s="4">
        <f>+D70-H70</f>
        <v>0</v>
      </c>
      <c r="M70" s="4"/>
      <c r="N70" s="11">
        <f>IF(H70=0,0,L70/H70)</f>
        <v>0</v>
      </c>
      <c r="O70" s="10"/>
      <c r="P70" s="4"/>
      <c r="Q70" s="4"/>
      <c r="R70" s="11">
        <f>IF(P$12=0,0,P70/P$12)</f>
        <v>0</v>
      </c>
      <c r="S70" s="4"/>
      <c r="T70" s="4"/>
      <c r="U70" s="4"/>
      <c r="V70" s="11">
        <f>IF(T$12=0,0,T70/T$12)</f>
        <v>0</v>
      </c>
      <c r="W70" s="4"/>
      <c r="X70" s="4">
        <f>+P70-T70</f>
        <v>0</v>
      </c>
      <c r="Y70" s="4"/>
      <c r="Z70" s="11">
        <f>IF(T70=0,0,X70/T70)</f>
        <v>0</v>
      </c>
    </row>
    <row r="71" spans="1:26" x14ac:dyDescent="0.25">
      <c r="A71" s="9"/>
      <c r="B71" s="10"/>
      <c r="C71" s="10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10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2" customFormat="1" ht="15.75" thickBot="1" x14ac:dyDescent="0.3">
      <c r="A72" s="10"/>
      <c r="B72" s="25" t="s">
        <v>4</v>
      </c>
      <c r="C72" s="25"/>
      <c r="D72" s="34">
        <f>+D68-D70</f>
        <v>-35660.750000000007</v>
      </c>
      <c r="E72" s="13"/>
      <c r="F72" s="30">
        <f>IF(D$12=0,0,D72/D$12)</f>
        <v>0</v>
      </c>
      <c r="G72" s="13"/>
      <c r="H72" s="34">
        <f>+H68-H70</f>
        <v>-62484.165384615364</v>
      </c>
      <c r="I72" s="13"/>
      <c r="J72" s="30">
        <f>IF(H$12=0,0,H72/H$12)</f>
        <v>0</v>
      </c>
      <c r="K72" s="15"/>
      <c r="L72" s="34">
        <f>D72-H72</f>
        <v>26823.415384615357</v>
      </c>
      <c r="M72" s="15"/>
      <c r="N72" s="30">
        <f>IF(H72=0,0,L72/H72)</f>
        <v>-0.42928340675603754</v>
      </c>
      <c r="O72" s="26"/>
      <c r="P72" s="34">
        <f>+P68-P70</f>
        <v>-35660.750000000007</v>
      </c>
      <c r="Q72" s="13"/>
      <c r="R72" s="30">
        <f>IF(P$12=0,0,P72/P$12)</f>
        <v>0</v>
      </c>
      <c r="S72" s="13"/>
      <c r="T72" s="34">
        <f>+T68-T70</f>
        <v>-62484.165384615364</v>
      </c>
      <c r="U72" s="13"/>
      <c r="V72" s="30">
        <f>IF(T$12=0,0,T72/T$12)</f>
        <v>0</v>
      </c>
      <c r="W72" s="15"/>
      <c r="X72" s="34">
        <f>P72-T72</f>
        <v>26823.415384615357</v>
      </c>
      <c r="Y72" s="15"/>
      <c r="Z72" s="30">
        <f>IF(T72=0,0,X72/T72)</f>
        <v>-0.42928340675603754</v>
      </c>
    </row>
    <row r="73" spans="1:26" ht="15.75" thickTop="1" x14ac:dyDescent="0.25">
      <c r="A73" s="9"/>
      <c r="B73" s="9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x14ac:dyDescent="0.25">
      <c r="A74" s="9"/>
      <c r="B74" s="9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2" customFormat="1" ht="15.75" thickBot="1" x14ac:dyDescent="0.3">
      <c r="A75" s="10"/>
      <c r="B75" s="25" t="s">
        <v>5</v>
      </c>
      <c r="C75" s="25"/>
      <c r="D75" s="32">
        <f>SUM(D72:D74)</f>
        <v>-35660.750000000007</v>
      </c>
      <c r="E75" s="13"/>
      <c r="F75" s="33">
        <f>IF(D$12=0,0,D75/D$12)</f>
        <v>0</v>
      </c>
      <c r="G75" s="13"/>
      <c r="H75" s="32">
        <f>SUM(H72:H74)</f>
        <v>-62484.165384615364</v>
      </c>
      <c r="I75" s="13"/>
      <c r="J75" s="33">
        <f>IF(H$12=0,0,H75/H$12)</f>
        <v>0</v>
      </c>
      <c r="K75" s="15"/>
      <c r="L75" s="32">
        <f>+D75-H75</f>
        <v>26823.415384615357</v>
      </c>
      <c r="M75" s="15"/>
      <c r="N75" s="33">
        <f>IF(H75=0,0,L75/H75)</f>
        <v>-0.42928340675603754</v>
      </c>
      <c r="O75" s="26"/>
      <c r="P75" s="32">
        <f>SUM(P72:P74)</f>
        <v>-35660.750000000007</v>
      </c>
      <c r="Q75" s="13"/>
      <c r="R75" s="33">
        <f>IF(P$12=0,0,P75/P$12)</f>
        <v>0</v>
      </c>
      <c r="S75" s="13"/>
      <c r="T75" s="32">
        <f>SUM(T72:T74)</f>
        <v>-62484.165384615364</v>
      </c>
      <c r="U75" s="13"/>
      <c r="V75" s="33">
        <f>IF(T$12=0,0,T75/T$12)</f>
        <v>0</v>
      </c>
      <c r="W75" s="15"/>
      <c r="X75" s="32">
        <f>+P75-T75</f>
        <v>26823.415384615357</v>
      </c>
      <c r="Y75" s="15"/>
      <c r="Z75" s="33">
        <f>IF(T75=0,0,X75/T75)</f>
        <v>-0.42928340675603754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8">
        <v>44104.685714699073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6" t="s">
        <v>314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62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","202", " - ", "Accounting")</f>
        <v>Department 202 - Accounting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3" si="0">+D12-H12</f>
        <v>0</v>
      </c>
      <c r="M12" s="4"/>
      <c r="N12" s="11">
        <f t="shared" ref="N12:N13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3" si="2">+P12-T12</f>
        <v>0</v>
      </c>
      <c r="Y12" s="4"/>
      <c r="Z12" s="11">
        <f t="shared" ref="Z12:Z13" si="3">IF(T12=0,0,X12/T12)</f>
        <v>0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x14ac:dyDescent="0.25">
      <c r="A15" s="10"/>
      <c r="B15" s="26" t="s">
        <v>8</v>
      </c>
      <c r="C15" s="10"/>
      <c r="D15" s="4">
        <f>SUM(0)</f>
        <v>0</v>
      </c>
      <c r="E15" s="4"/>
      <c r="F15" s="11">
        <f>IF(D$12=0,0,D15/D$12)</f>
        <v>0</v>
      </c>
      <c r="G15" s="4"/>
      <c r="H15" s="4">
        <f>SUM(0)</f>
        <v>0</v>
      </c>
      <c r="I15" s="4"/>
      <c r="J15" s="11">
        <f>IF(H$12=0,0,H15/H$12)</f>
        <v>0</v>
      </c>
      <c r="K15" s="4"/>
      <c r="L15" s="4">
        <f>+D15-H15</f>
        <v>0</v>
      </c>
      <c r="M15" s="4"/>
      <c r="N15" s="11">
        <f>IF(H15=0,0,L15/H15)</f>
        <v>0</v>
      </c>
      <c r="O15" s="10"/>
      <c r="P15" s="4">
        <f>SUM(0)</f>
        <v>0</v>
      </c>
      <c r="Q15" s="4"/>
      <c r="R15" s="11">
        <f>IF(P$12=0,0,P15/P$12)</f>
        <v>0</v>
      </c>
      <c r="S15" s="4"/>
      <c r="T15" s="4">
        <f>SUM(0)</f>
        <v>0</v>
      </c>
      <c r="U15" s="4"/>
      <c r="V15" s="11">
        <f>IF(T$12=0,0,T15/T$12)</f>
        <v>0</v>
      </c>
      <c r="W15" s="4"/>
      <c r="X15" s="4">
        <f>+P15-T15</f>
        <v>0</v>
      </c>
      <c r="Y15" s="4"/>
      <c r="Z15" s="11">
        <f>IF(T15=0,0,X15/T15)</f>
        <v>0</v>
      </c>
    </row>
    <row r="16" spans="1:26" x14ac:dyDescent="0.25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x14ac:dyDescent="0.25">
      <c r="A17" s="10"/>
      <c r="B17" s="25" t="s">
        <v>6</v>
      </c>
      <c r="C17" s="25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5"/>
      <c r="L17" s="21">
        <f>+D17-H17</f>
        <v>0</v>
      </c>
      <c r="M17" s="15"/>
      <c r="N17" s="20">
        <f>IF(H17=0,0,L17/H17)</f>
        <v>0</v>
      </c>
      <c r="O17" s="26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5"/>
      <c r="X17" s="21">
        <f>+P17-T17</f>
        <v>0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6" t="s">
        <v>9</v>
      </c>
      <c r="C19" s="10"/>
      <c r="D19" s="19">
        <f>SUM(OSRRefD22x_0)</f>
        <v>39398.04</v>
      </c>
      <c r="E19" s="19"/>
      <c r="F19" s="31">
        <f t="shared" ref="F19:F29" si="4">IF(D$12=0,0,D19/D$12)</f>
        <v>0</v>
      </c>
      <c r="G19" s="19"/>
      <c r="H19" s="19">
        <f>SUM(OSRRefH22x_0)</f>
        <v>49708.56951923079</v>
      </c>
      <c r="I19" s="19"/>
      <c r="J19" s="31">
        <f t="shared" ref="J19:J29" si="5">IF(H$12=0,0,H19/H$12)</f>
        <v>0</v>
      </c>
      <c r="K19" s="4"/>
      <c r="L19" s="19">
        <f t="shared" ref="L19:L29" si="6">+D19-H19</f>
        <v>-10310.529519230789</v>
      </c>
      <c r="M19" s="4"/>
      <c r="N19" s="31">
        <f t="shared" ref="N19:N29" si="7">IF(H19=0,0,L19/H19)</f>
        <v>-0.20741955801488005</v>
      </c>
      <c r="O19" s="10"/>
      <c r="P19" s="19">
        <f>SUM(OSRRefP22x_0)</f>
        <v>39398.04</v>
      </c>
      <c r="Q19" s="19"/>
      <c r="R19" s="31">
        <f t="shared" ref="R19:R29" si="8">IF(P$12=0,0,P19/P$12)</f>
        <v>0</v>
      </c>
      <c r="S19" s="19"/>
      <c r="T19" s="19">
        <f>SUM(OSRRefT22x_0)</f>
        <v>49708.56951923079</v>
      </c>
      <c r="U19" s="19"/>
      <c r="V19" s="31">
        <f t="shared" ref="V19:V29" si="9">IF(T$12=0,0,T19/T$12)</f>
        <v>0</v>
      </c>
      <c r="W19" s="4"/>
      <c r="X19" s="19">
        <f t="shared" ref="X19:X29" si="10">+P19-T19</f>
        <v>-10310.529519230789</v>
      </c>
      <c r="Y19" s="4"/>
      <c r="Z19" s="31">
        <f t="shared" ref="Z19:Z29" si="11">IF(T19=0,0,X19/T19)</f>
        <v>-0.20741955801488005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13083.460000000001</v>
      </c>
      <c r="E20" s="1"/>
      <c r="F20" s="5">
        <f t="shared" si="4"/>
        <v>0</v>
      </c>
      <c r="G20" s="1"/>
      <c r="H20" s="1">
        <f>SUM(OSRRefH22_0x_0)</f>
        <v>12701.300288461553</v>
      </c>
      <c r="I20" s="1"/>
      <c r="J20" s="5">
        <f t="shared" si="5"/>
        <v>0</v>
      </c>
      <c r="K20" s="1"/>
      <c r="L20" s="1">
        <f t="shared" si="6"/>
        <v>382.15971153844839</v>
      </c>
      <c r="M20" s="1"/>
      <c r="N20" s="5">
        <f t="shared" si="7"/>
        <v>3.0088235287659477E-2</v>
      </c>
      <c r="O20" s="14"/>
      <c r="P20" s="1">
        <f>SUM(OSRRefP22_0x_0)</f>
        <v>13083.460000000001</v>
      </c>
      <c r="Q20" s="1"/>
      <c r="R20" s="5">
        <f t="shared" si="8"/>
        <v>0</v>
      </c>
      <c r="S20" s="1"/>
      <c r="T20" s="1">
        <f>SUM(OSRRefT22_0x_0)</f>
        <v>12701.300288461553</v>
      </c>
      <c r="U20" s="1"/>
      <c r="V20" s="5">
        <f t="shared" si="9"/>
        <v>0</v>
      </c>
      <c r="W20" s="1"/>
      <c r="X20" s="1">
        <f t="shared" si="10"/>
        <v>382.15971153844839</v>
      </c>
      <c r="Y20" s="1"/>
      <c r="Z20" s="5">
        <f t="shared" si="11"/>
        <v>3.0088235287659477E-2</v>
      </c>
    </row>
    <row r="21" spans="1:26" s="24" customFormat="1" hidden="1" outlineLevel="2" x14ac:dyDescent="0.25">
      <c r="A21" s="27"/>
      <c r="B21" s="12" t="str">
        <f>CONCATENATE("          ", "6111", " - ", "F.I.C.A.")</f>
        <v xml:space="preserve">          6111 - F.I.C.A.</v>
      </c>
      <c r="C21" s="12"/>
      <c r="D21" s="7">
        <v>1621.35</v>
      </c>
      <c r="E21" s="3"/>
      <c r="F21" s="8">
        <f t="shared" si="4"/>
        <v>0</v>
      </c>
      <c r="G21" s="3"/>
      <c r="H21" s="7">
        <v>2031.7243269230801</v>
      </c>
      <c r="I21" s="3"/>
      <c r="J21" s="8">
        <f t="shared" si="5"/>
        <v>0</v>
      </c>
      <c r="K21" s="3"/>
      <c r="L21" s="7">
        <f t="shared" si="6"/>
        <v>-410.37432692308016</v>
      </c>
      <c r="M21" s="3"/>
      <c r="N21" s="8">
        <f t="shared" si="7"/>
        <v>-0.20198327178794306</v>
      </c>
      <c r="O21" s="12"/>
      <c r="P21" s="7">
        <v>1621.35</v>
      </c>
      <c r="Q21" s="3"/>
      <c r="R21" s="8">
        <f t="shared" si="8"/>
        <v>0</v>
      </c>
      <c r="S21" s="3"/>
      <c r="T21" s="7">
        <v>2031.7243269230801</v>
      </c>
      <c r="U21" s="3"/>
      <c r="V21" s="8">
        <f t="shared" si="9"/>
        <v>0</v>
      </c>
      <c r="W21" s="3"/>
      <c r="X21" s="7">
        <f t="shared" si="10"/>
        <v>-410.37432692308016</v>
      </c>
      <c r="Y21" s="3"/>
      <c r="Z21" s="8">
        <f t="shared" si="11"/>
        <v>-0.20198327178794306</v>
      </c>
    </row>
    <row r="22" spans="1:26" s="24" customFormat="1" hidden="1" outlineLevel="2" x14ac:dyDescent="0.25">
      <c r="A22" s="27"/>
      <c r="B22" s="12" t="str">
        <f>CONCATENATE("          ", "6112", " - ", "COMPENSATION INSURANCE")</f>
        <v xml:space="preserve">          6112 - COMPENSATION INSURANCE</v>
      </c>
      <c r="C22" s="12"/>
      <c r="D22" s="7">
        <v>70.03</v>
      </c>
      <c r="E22" s="3"/>
      <c r="F22" s="8">
        <f t="shared" si="4"/>
        <v>0</v>
      </c>
      <c r="G22" s="3"/>
      <c r="H22" s="7">
        <v>87.608653846153899</v>
      </c>
      <c r="I22" s="3"/>
      <c r="J22" s="8">
        <f t="shared" si="5"/>
        <v>0</v>
      </c>
      <c r="K22" s="3"/>
      <c r="L22" s="7">
        <f t="shared" si="6"/>
        <v>-17.578653846153898</v>
      </c>
      <c r="M22" s="3"/>
      <c r="N22" s="8">
        <f t="shared" si="7"/>
        <v>-0.20064974262728746</v>
      </c>
      <c r="O22" s="12"/>
      <c r="P22" s="7">
        <v>70.03</v>
      </c>
      <c r="Q22" s="3"/>
      <c r="R22" s="8">
        <f t="shared" si="8"/>
        <v>0</v>
      </c>
      <c r="S22" s="3"/>
      <c r="T22" s="7">
        <v>87.608653846153899</v>
      </c>
      <c r="U22" s="3"/>
      <c r="V22" s="8">
        <f t="shared" si="9"/>
        <v>0</v>
      </c>
      <c r="W22" s="3"/>
      <c r="X22" s="7">
        <f t="shared" si="10"/>
        <v>-17.578653846153898</v>
      </c>
      <c r="Y22" s="3"/>
      <c r="Z22" s="8">
        <f t="shared" si="11"/>
        <v>-0.20064974262728746</v>
      </c>
    </row>
    <row r="23" spans="1:26" s="24" customFormat="1" hidden="1" outlineLevel="2" x14ac:dyDescent="0.25">
      <c r="A23" s="27"/>
      <c r="B23" s="12" t="str">
        <f>CONCATENATE("          ", "6113", " - ", "GROUP INSURANCE")</f>
        <v xml:space="preserve">          6113 - GROUP INSURANCE</v>
      </c>
      <c r="C23" s="12"/>
      <c r="D23" s="7">
        <v>5567.04</v>
      </c>
      <c r="E23" s="3"/>
      <c r="F23" s="8">
        <f t="shared" si="4"/>
        <v>0</v>
      </c>
      <c r="G23" s="3"/>
      <c r="H23" s="7">
        <v>5415</v>
      </c>
      <c r="I23" s="3"/>
      <c r="J23" s="8">
        <f t="shared" si="5"/>
        <v>0</v>
      </c>
      <c r="K23" s="3"/>
      <c r="L23" s="7">
        <f t="shared" si="6"/>
        <v>152.03999999999996</v>
      </c>
      <c r="M23" s="3"/>
      <c r="N23" s="8">
        <f t="shared" si="7"/>
        <v>2.8077562326869799E-2</v>
      </c>
      <c r="O23" s="12"/>
      <c r="P23" s="7">
        <v>5567.04</v>
      </c>
      <c r="Q23" s="3"/>
      <c r="R23" s="8">
        <f t="shared" si="8"/>
        <v>0</v>
      </c>
      <c r="S23" s="3"/>
      <c r="T23" s="7">
        <v>5415</v>
      </c>
      <c r="U23" s="3"/>
      <c r="V23" s="8">
        <f t="shared" si="9"/>
        <v>0</v>
      </c>
      <c r="W23" s="3"/>
      <c r="X23" s="7">
        <f t="shared" si="10"/>
        <v>152.03999999999996</v>
      </c>
      <c r="Y23" s="3"/>
      <c r="Z23" s="8">
        <f t="shared" si="11"/>
        <v>2.8077562326869799E-2</v>
      </c>
    </row>
    <row r="24" spans="1:26" s="24" customFormat="1" hidden="1" outlineLevel="2" x14ac:dyDescent="0.25">
      <c r="A24" s="27"/>
      <c r="B24" s="12" t="str">
        <f>CONCATENATE("          ", "6114", " - ", "STATE UNEMPLOYMENT INSURANCE")</f>
        <v xml:space="preserve">          6114 - STATE UNEMPLOYMENT INSURANCE</v>
      </c>
      <c r="C24" s="12"/>
      <c r="D24" s="7">
        <v>55.17</v>
      </c>
      <c r="E24" s="3"/>
      <c r="F24" s="8">
        <f t="shared" si="4"/>
        <v>0</v>
      </c>
      <c r="G24" s="3"/>
      <c r="H24" s="7">
        <v>69.025000000000006</v>
      </c>
      <c r="I24" s="3"/>
      <c r="J24" s="8">
        <f t="shared" si="5"/>
        <v>0</v>
      </c>
      <c r="K24" s="3"/>
      <c r="L24" s="7">
        <f t="shared" si="6"/>
        <v>-13.855000000000004</v>
      </c>
      <c r="M24" s="3"/>
      <c r="N24" s="8">
        <f t="shared" si="7"/>
        <v>-0.2007243752263673</v>
      </c>
      <c r="O24" s="12"/>
      <c r="P24" s="7">
        <v>55.17</v>
      </c>
      <c r="Q24" s="3"/>
      <c r="R24" s="8">
        <f t="shared" si="8"/>
        <v>0</v>
      </c>
      <c r="S24" s="3"/>
      <c r="T24" s="7">
        <v>69.025000000000006</v>
      </c>
      <c r="U24" s="3"/>
      <c r="V24" s="8">
        <f t="shared" si="9"/>
        <v>0</v>
      </c>
      <c r="W24" s="3"/>
      <c r="X24" s="7">
        <f t="shared" si="10"/>
        <v>-13.855000000000004</v>
      </c>
      <c r="Y24" s="3"/>
      <c r="Z24" s="8">
        <f t="shared" si="11"/>
        <v>-0.2007243752263673</v>
      </c>
    </row>
    <row r="25" spans="1:26" s="24" customFormat="1" hidden="1" outlineLevel="2" x14ac:dyDescent="0.25">
      <c r="A25" s="27"/>
      <c r="B25" s="12" t="str">
        <f>CONCATENATE("          ", "6115", " - ", "P.E.R.S.")</f>
        <v xml:space="preserve">          6115 - P.E.R.S.</v>
      </c>
      <c r="C25" s="12"/>
      <c r="D25" s="7">
        <v>2968.15</v>
      </c>
      <c r="E25" s="3"/>
      <c r="F25" s="8">
        <f t="shared" si="4"/>
        <v>0</v>
      </c>
      <c r="G25" s="3"/>
      <c r="H25" s="7">
        <v>2283.1346153846198</v>
      </c>
      <c r="I25" s="3"/>
      <c r="J25" s="8">
        <f t="shared" si="5"/>
        <v>0</v>
      </c>
      <c r="K25" s="3"/>
      <c r="L25" s="7">
        <f t="shared" si="6"/>
        <v>685.0153846153803</v>
      </c>
      <c r="M25" s="3"/>
      <c r="N25" s="8">
        <f t="shared" si="7"/>
        <v>0.3000328495742165</v>
      </c>
      <c r="O25" s="12"/>
      <c r="P25" s="7">
        <v>2968.15</v>
      </c>
      <c r="Q25" s="3"/>
      <c r="R25" s="8">
        <f t="shared" si="8"/>
        <v>0</v>
      </c>
      <c r="S25" s="3"/>
      <c r="T25" s="7">
        <v>2283.1346153846198</v>
      </c>
      <c r="U25" s="3"/>
      <c r="V25" s="8">
        <f t="shared" si="9"/>
        <v>0</v>
      </c>
      <c r="W25" s="3"/>
      <c r="X25" s="7">
        <f t="shared" si="10"/>
        <v>685.0153846153803</v>
      </c>
      <c r="Y25" s="3"/>
      <c r="Z25" s="8">
        <f t="shared" si="11"/>
        <v>0.3000328495742165</v>
      </c>
    </row>
    <row r="26" spans="1:26" s="24" customFormat="1" hidden="1" outlineLevel="2" x14ac:dyDescent="0.25">
      <c r="A26" s="27"/>
      <c r="B26" s="12" t="str">
        <f>CONCATENATE("          ", "6116", " - ", "EDUCATIONAL BENEFITS")</f>
        <v xml:space="preserve">          6116 - EDUCATIONAL BENEFITS</v>
      </c>
      <c r="C26" s="12"/>
      <c r="D26" s="7"/>
      <c r="E26" s="3"/>
      <c r="F26" s="8">
        <f t="shared" si="4"/>
        <v>0</v>
      </c>
      <c r="G26" s="3"/>
      <c r="H26" s="7">
        <v>0</v>
      </c>
      <c r="I26" s="3"/>
      <c r="J26" s="8">
        <f t="shared" si="5"/>
        <v>0</v>
      </c>
      <c r="K26" s="3"/>
      <c r="L26" s="7">
        <f t="shared" si="6"/>
        <v>0</v>
      </c>
      <c r="M26" s="3"/>
      <c r="N26" s="8">
        <f t="shared" si="7"/>
        <v>0</v>
      </c>
      <c r="O26" s="12"/>
      <c r="P26" s="7"/>
      <c r="Q26" s="3"/>
      <c r="R26" s="8">
        <f t="shared" si="8"/>
        <v>0</v>
      </c>
      <c r="S26" s="3"/>
      <c r="T26" s="7">
        <v>0</v>
      </c>
      <c r="U26" s="3"/>
      <c r="V26" s="8">
        <f t="shared" si="9"/>
        <v>0</v>
      </c>
      <c r="W26" s="3"/>
      <c r="X26" s="7">
        <f t="shared" si="10"/>
        <v>0</v>
      </c>
      <c r="Y26" s="3"/>
      <c r="Z26" s="8">
        <f t="shared" si="11"/>
        <v>0</v>
      </c>
    </row>
    <row r="27" spans="1:26" s="24" customFormat="1" hidden="1" outlineLevel="2" x14ac:dyDescent="0.25">
      <c r="A27" s="27"/>
      <c r="B27" s="12" t="str">
        <f>CONCATENATE("          ", "6118", " - ", "VACATION")</f>
        <v xml:space="preserve">          6118 - VACATION</v>
      </c>
      <c r="C27" s="12"/>
      <c r="D27" s="7">
        <v>1559.44</v>
      </c>
      <c r="E27" s="3"/>
      <c r="F27" s="8">
        <f t="shared" si="4"/>
        <v>0</v>
      </c>
      <c r="G27" s="3"/>
      <c r="H27" s="7">
        <v>1327.4038461538501</v>
      </c>
      <c r="I27" s="3"/>
      <c r="J27" s="8">
        <f t="shared" si="5"/>
        <v>0</v>
      </c>
      <c r="K27" s="3"/>
      <c r="L27" s="7">
        <f t="shared" si="6"/>
        <v>232.03615384615</v>
      </c>
      <c r="M27" s="3"/>
      <c r="N27" s="8">
        <f t="shared" si="7"/>
        <v>0.17480449112640006</v>
      </c>
      <c r="O27" s="12"/>
      <c r="P27" s="7">
        <v>1559.44</v>
      </c>
      <c r="Q27" s="3"/>
      <c r="R27" s="8">
        <f t="shared" si="8"/>
        <v>0</v>
      </c>
      <c r="S27" s="3"/>
      <c r="T27" s="7">
        <v>1327.4038461538501</v>
      </c>
      <c r="U27" s="3"/>
      <c r="V27" s="8">
        <f t="shared" si="9"/>
        <v>0</v>
      </c>
      <c r="W27" s="3"/>
      <c r="X27" s="7">
        <f t="shared" si="10"/>
        <v>232.03615384615</v>
      </c>
      <c r="Y27" s="3"/>
      <c r="Z27" s="8">
        <f t="shared" si="11"/>
        <v>0.17480449112640006</v>
      </c>
    </row>
    <row r="28" spans="1:26" s="24" customFormat="1" hidden="1" outlineLevel="2" x14ac:dyDescent="0.25">
      <c r="A28" s="27"/>
      <c r="B28" s="12" t="str">
        <f>CONCATENATE("          ", "6119", " - ", "SICK LEAVE")</f>
        <v xml:space="preserve">          6119 - SICK LEAVE</v>
      </c>
      <c r="C28" s="12"/>
      <c r="D28" s="7">
        <v>979.42</v>
      </c>
      <c r="E28" s="3"/>
      <c r="F28" s="8">
        <f t="shared" si="4"/>
        <v>0</v>
      </c>
      <c r="G28" s="3"/>
      <c r="H28" s="7">
        <v>1327.4038461538501</v>
      </c>
      <c r="I28" s="3"/>
      <c r="J28" s="8">
        <f t="shared" si="5"/>
        <v>0</v>
      </c>
      <c r="K28" s="3"/>
      <c r="L28" s="7">
        <f t="shared" si="6"/>
        <v>-347.9838461538501</v>
      </c>
      <c r="M28" s="3"/>
      <c r="N28" s="8">
        <f t="shared" si="7"/>
        <v>-0.26215371242303731</v>
      </c>
      <c r="O28" s="12"/>
      <c r="P28" s="7">
        <v>979.42</v>
      </c>
      <c r="Q28" s="3"/>
      <c r="R28" s="8">
        <f t="shared" si="8"/>
        <v>0</v>
      </c>
      <c r="S28" s="3"/>
      <c r="T28" s="7">
        <v>1327.4038461538501</v>
      </c>
      <c r="U28" s="3"/>
      <c r="V28" s="8">
        <f t="shared" si="9"/>
        <v>0</v>
      </c>
      <c r="W28" s="3"/>
      <c r="X28" s="7">
        <f t="shared" si="10"/>
        <v>-347.9838461538501</v>
      </c>
      <c r="Y28" s="3"/>
      <c r="Z28" s="8">
        <f t="shared" si="11"/>
        <v>-0.26215371242303731</v>
      </c>
    </row>
    <row r="29" spans="1:26" s="24" customFormat="1" hidden="1" outlineLevel="2" x14ac:dyDescent="0.25">
      <c r="A29" s="27"/>
      <c r="B29" s="12" t="str">
        <f>CONCATENATE("          ", "6156", " - ", "EMPLOYEE MEALS")</f>
        <v xml:space="preserve">          6156 - EMPLOYEE MEALS</v>
      </c>
      <c r="C29" s="12"/>
      <c r="D29" s="7">
        <v>262.86</v>
      </c>
      <c r="E29" s="3"/>
      <c r="F29" s="8">
        <f t="shared" si="4"/>
        <v>0</v>
      </c>
      <c r="G29" s="3"/>
      <c r="H29" s="7">
        <v>160</v>
      </c>
      <c r="I29" s="3"/>
      <c r="J29" s="8">
        <f t="shared" si="5"/>
        <v>0</v>
      </c>
      <c r="K29" s="3"/>
      <c r="L29" s="7">
        <f t="shared" si="6"/>
        <v>102.86000000000001</v>
      </c>
      <c r="M29" s="3"/>
      <c r="N29" s="8">
        <f t="shared" si="7"/>
        <v>0.64287500000000009</v>
      </c>
      <c r="O29" s="12"/>
      <c r="P29" s="7">
        <v>262.86</v>
      </c>
      <c r="Q29" s="3"/>
      <c r="R29" s="8">
        <f t="shared" si="8"/>
        <v>0</v>
      </c>
      <c r="S29" s="3"/>
      <c r="T29" s="7">
        <v>160</v>
      </c>
      <c r="U29" s="3"/>
      <c r="V29" s="8">
        <f t="shared" si="9"/>
        <v>0</v>
      </c>
      <c r="W29" s="3"/>
      <c r="X29" s="7">
        <f t="shared" si="10"/>
        <v>102.86000000000001</v>
      </c>
      <c r="Y29" s="3"/>
      <c r="Z29" s="8">
        <f t="shared" si="11"/>
        <v>0.64287500000000009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22976.46</v>
      </c>
      <c r="E30" s="1"/>
      <c r="F30" s="5">
        <f t="shared" ref="F30:F40" si="12">IF(D$12=0,0,D30/D$12)</f>
        <v>0</v>
      </c>
      <c r="G30" s="1"/>
      <c r="H30" s="1">
        <f>SUM(OSRRefH22_1x_0)</f>
        <v>23893.269230769238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-916.80923076923864</v>
      </c>
      <c r="M30" s="1"/>
      <c r="N30" s="5">
        <f t="shared" ref="N30:N40" si="15">IF(H30=0,0,L30/H30)</f>
        <v>-3.8371024990945628E-2</v>
      </c>
      <c r="O30" s="14"/>
      <c r="P30" s="1">
        <f>SUM(OSRRefP22_1x_0)</f>
        <v>22976.46</v>
      </c>
      <c r="Q30" s="1"/>
      <c r="R30" s="5">
        <f t="shared" ref="R30:R40" si="16">IF(P$12=0,0,P30/P$12)</f>
        <v>0</v>
      </c>
      <c r="S30" s="1"/>
      <c r="T30" s="1">
        <f>SUM(OSRRefT22_1x_0)</f>
        <v>23893.269230769238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-916.80923076923864</v>
      </c>
      <c r="Y30" s="1"/>
      <c r="Z30" s="5">
        <f t="shared" ref="Z30:Z40" si="19">IF(T30=0,0,X30/T30)</f>
        <v>-3.8371024990945628E-2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/>
      <c r="E31" s="3"/>
      <c r="F31" s="8">
        <f t="shared" si="12"/>
        <v>0</v>
      </c>
      <c r="G31" s="3"/>
      <c r="H31" s="7">
        <v>6775.9615384615399</v>
      </c>
      <c r="I31" s="3"/>
      <c r="J31" s="8">
        <f t="shared" si="13"/>
        <v>0</v>
      </c>
      <c r="K31" s="3"/>
      <c r="L31" s="7">
        <f t="shared" si="14"/>
        <v>-6775.9615384615399</v>
      </c>
      <c r="M31" s="3"/>
      <c r="N31" s="8">
        <f t="shared" si="15"/>
        <v>-1</v>
      </c>
      <c r="O31" s="12"/>
      <c r="P31" s="7"/>
      <c r="Q31" s="3"/>
      <c r="R31" s="8">
        <f t="shared" si="16"/>
        <v>0</v>
      </c>
      <c r="S31" s="3"/>
      <c r="T31" s="7">
        <v>6775.9615384615399</v>
      </c>
      <c r="U31" s="3"/>
      <c r="V31" s="8">
        <f t="shared" si="17"/>
        <v>0</v>
      </c>
      <c r="W31" s="3"/>
      <c r="X31" s="7">
        <f t="shared" si="18"/>
        <v>-6775.9615384615399</v>
      </c>
      <c r="Y31" s="3"/>
      <c r="Z31" s="8">
        <f t="shared" si="19"/>
        <v>-1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>
        <v>22976.46</v>
      </c>
      <c r="E32" s="3"/>
      <c r="F32" s="8">
        <f t="shared" si="12"/>
        <v>0</v>
      </c>
      <c r="G32" s="3"/>
      <c r="H32" s="7">
        <v>17117.307692307699</v>
      </c>
      <c r="I32" s="3"/>
      <c r="J32" s="8">
        <f t="shared" si="13"/>
        <v>0</v>
      </c>
      <c r="K32" s="3"/>
      <c r="L32" s="7">
        <f t="shared" si="14"/>
        <v>5859.1523076923004</v>
      </c>
      <c r="M32" s="3"/>
      <c r="N32" s="8">
        <f t="shared" si="15"/>
        <v>0.3422940343781592</v>
      </c>
      <c r="O32" s="12"/>
      <c r="P32" s="7">
        <v>22976.46</v>
      </c>
      <c r="Q32" s="3"/>
      <c r="R32" s="8">
        <f t="shared" si="16"/>
        <v>0</v>
      </c>
      <c r="S32" s="3"/>
      <c r="T32" s="7">
        <v>17117.307692307699</v>
      </c>
      <c r="U32" s="3"/>
      <c r="V32" s="8">
        <f t="shared" si="17"/>
        <v>0</v>
      </c>
      <c r="W32" s="3"/>
      <c r="X32" s="7">
        <f t="shared" si="18"/>
        <v>5859.1523076923004</v>
      </c>
      <c r="Y32" s="3"/>
      <c r="Z32" s="8">
        <f t="shared" si="19"/>
        <v>0.3422940343781592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12"/>
        <v>0</v>
      </c>
      <c r="G33" s="3"/>
      <c r="H33" s="7">
        <v>0</v>
      </c>
      <c r="I33" s="3"/>
      <c r="J33" s="8">
        <f t="shared" si="13"/>
        <v>0</v>
      </c>
      <c r="K33" s="3"/>
      <c r="L33" s="7">
        <f t="shared" si="14"/>
        <v>0</v>
      </c>
      <c r="M33" s="3"/>
      <c r="N33" s="8">
        <f t="shared" si="15"/>
        <v>0</v>
      </c>
      <c r="O33" s="12"/>
      <c r="P33" s="7"/>
      <c r="Q33" s="3"/>
      <c r="R33" s="8">
        <f t="shared" si="16"/>
        <v>0</v>
      </c>
      <c r="S33" s="3"/>
      <c r="T33" s="7">
        <v>0</v>
      </c>
      <c r="U33" s="3"/>
      <c r="V33" s="8">
        <f t="shared" si="17"/>
        <v>0</v>
      </c>
      <c r="W33" s="3"/>
      <c r="X33" s="7">
        <f t="shared" si="18"/>
        <v>0</v>
      </c>
      <c r="Y33" s="3"/>
      <c r="Z33" s="8">
        <f t="shared" si="19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/>
      <c r="E34" s="3"/>
      <c r="F34" s="8">
        <f t="shared" si="12"/>
        <v>0</v>
      </c>
      <c r="G34" s="3"/>
      <c r="H34" s="7">
        <v>0</v>
      </c>
      <c r="I34" s="3"/>
      <c r="J34" s="8">
        <f t="shared" si="13"/>
        <v>0</v>
      </c>
      <c r="K34" s="3"/>
      <c r="L34" s="7">
        <f t="shared" si="14"/>
        <v>0</v>
      </c>
      <c r="M34" s="3"/>
      <c r="N34" s="8">
        <f t="shared" si="15"/>
        <v>0</v>
      </c>
      <c r="O34" s="12"/>
      <c r="P34" s="7"/>
      <c r="Q34" s="3"/>
      <c r="R34" s="8">
        <f t="shared" si="16"/>
        <v>0</v>
      </c>
      <c r="S34" s="3"/>
      <c r="T34" s="7">
        <v>0</v>
      </c>
      <c r="U34" s="3"/>
      <c r="V34" s="8">
        <f t="shared" si="17"/>
        <v>0</v>
      </c>
      <c r="W34" s="3"/>
      <c r="X34" s="7">
        <f t="shared" si="18"/>
        <v>0</v>
      </c>
      <c r="Y34" s="3"/>
      <c r="Z34" s="8">
        <f t="shared" si="19"/>
        <v>0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12"/>
        <v>0</v>
      </c>
      <c r="G35" s="3"/>
      <c r="H35" s="7">
        <v>0</v>
      </c>
      <c r="I35" s="3"/>
      <c r="J35" s="8">
        <f t="shared" si="13"/>
        <v>0</v>
      </c>
      <c r="K35" s="3"/>
      <c r="L35" s="7">
        <f t="shared" si="14"/>
        <v>0</v>
      </c>
      <c r="M35" s="3"/>
      <c r="N35" s="8">
        <f t="shared" si="15"/>
        <v>0</v>
      </c>
      <c r="O35" s="12"/>
      <c r="P35" s="7"/>
      <c r="Q35" s="3"/>
      <c r="R35" s="8">
        <f t="shared" si="16"/>
        <v>0</v>
      </c>
      <c r="S35" s="3"/>
      <c r="T35" s="7">
        <v>0</v>
      </c>
      <c r="U35" s="3"/>
      <c r="V35" s="8">
        <f t="shared" si="17"/>
        <v>0</v>
      </c>
      <c r="W35" s="3"/>
      <c r="X35" s="7">
        <f t="shared" si="18"/>
        <v>0</v>
      </c>
      <c r="Y35" s="3"/>
      <c r="Z35" s="8">
        <f t="shared" si="19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12"/>
        <v>0</v>
      </c>
      <c r="G36" s="3"/>
      <c r="H36" s="7">
        <v>0</v>
      </c>
      <c r="I36" s="3"/>
      <c r="J36" s="8">
        <f t="shared" si="13"/>
        <v>0</v>
      </c>
      <c r="K36" s="3"/>
      <c r="L36" s="7">
        <f t="shared" si="14"/>
        <v>0</v>
      </c>
      <c r="M36" s="3"/>
      <c r="N36" s="8">
        <f t="shared" si="15"/>
        <v>0</v>
      </c>
      <c r="O36" s="12"/>
      <c r="P36" s="7"/>
      <c r="Q36" s="3"/>
      <c r="R36" s="8">
        <f t="shared" si="16"/>
        <v>0</v>
      </c>
      <c r="S36" s="3"/>
      <c r="T36" s="7">
        <v>0</v>
      </c>
      <c r="U36" s="3"/>
      <c r="V36" s="8">
        <f t="shared" si="17"/>
        <v>0</v>
      </c>
      <c r="W36" s="3"/>
      <c r="X36" s="7">
        <f t="shared" si="18"/>
        <v>0</v>
      </c>
      <c r="Y36" s="3"/>
      <c r="Z36" s="8">
        <f t="shared" si="19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/>
      <c r="E37" s="3"/>
      <c r="F37" s="8">
        <f t="shared" si="12"/>
        <v>0</v>
      </c>
      <c r="G37" s="3"/>
      <c r="H37" s="7">
        <v>0</v>
      </c>
      <c r="I37" s="3"/>
      <c r="J37" s="8">
        <f t="shared" si="13"/>
        <v>0</v>
      </c>
      <c r="K37" s="3"/>
      <c r="L37" s="7">
        <f t="shared" si="14"/>
        <v>0</v>
      </c>
      <c r="M37" s="3"/>
      <c r="N37" s="8">
        <f t="shared" si="15"/>
        <v>0</v>
      </c>
      <c r="O37" s="12"/>
      <c r="P37" s="7"/>
      <c r="Q37" s="3"/>
      <c r="R37" s="8">
        <f t="shared" si="16"/>
        <v>0</v>
      </c>
      <c r="S37" s="3"/>
      <c r="T37" s="7">
        <v>0</v>
      </c>
      <c r="U37" s="3"/>
      <c r="V37" s="8">
        <f t="shared" si="17"/>
        <v>0</v>
      </c>
      <c r="W37" s="3"/>
      <c r="X37" s="7">
        <f t="shared" si="18"/>
        <v>0</v>
      </c>
      <c r="Y37" s="3"/>
      <c r="Z37" s="8">
        <f t="shared" si="19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12"/>
        <v>0</v>
      </c>
      <c r="G38" s="3"/>
      <c r="H38" s="7">
        <v>0</v>
      </c>
      <c r="I38" s="3"/>
      <c r="J38" s="8">
        <f t="shared" si="13"/>
        <v>0</v>
      </c>
      <c r="K38" s="3"/>
      <c r="L38" s="7">
        <f t="shared" si="14"/>
        <v>0</v>
      </c>
      <c r="M38" s="3"/>
      <c r="N38" s="8">
        <f t="shared" si="15"/>
        <v>0</v>
      </c>
      <c r="O38" s="12"/>
      <c r="P38" s="7"/>
      <c r="Q38" s="3"/>
      <c r="R38" s="8">
        <f t="shared" si="16"/>
        <v>0</v>
      </c>
      <c r="S38" s="3"/>
      <c r="T38" s="7">
        <v>0</v>
      </c>
      <c r="U38" s="3"/>
      <c r="V38" s="8">
        <f t="shared" si="17"/>
        <v>0</v>
      </c>
      <c r="W38" s="3"/>
      <c r="X38" s="7">
        <f t="shared" si="18"/>
        <v>0</v>
      </c>
      <c r="Y38" s="3"/>
      <c r="Z38" s="8">
        <f t="shared" si="19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12"/>
        <v>0</v>
      </c>
      <c r="G39" s="3"/>
      <c r="H39" s="7">
        <v>0</v>
      </c>
      <c r="I39" s="3"/>
      <c r="J39" s="8">
        <f t="shared" si="13"/>
        <v>0</v>
      </c>
      <c r="K39" s="3"/>
      <c r="L39" s="7">
        <f t="shared" si="14"/>
        <v>0</v>
      </c>
      <c r="M39" s="3"/>
      <c r="N39" s="8">
        <f t="shared" si="15"/>
        <v>0</v>
      </c>
      <c r="O39" s="12"/>
      <c r="P39" s="7"/>
      <c r="Q39" s="3"/>
      <c r="R39" s="8">
        <f t="shared" si="16"/>
        <v>0</v>
      </c>
      <c r="S39" s="3"/>
      <c r="T39" s="7">
        <v>0</v>
      </c>
      <c r="U39" s="3"/>
      <c r="V39" s="8">
        <f t="shared" si="17"/>
        <v>0</v>
      </c>
      <c r="W39" s="3"/>
      <c r="X39" s="7">
        <f t="shared" si="18"/>
        <v>0</v>
      </c>
      <c r="Y39" s="3"/>
      <c r="Z39" s="8">
        <f t="shared" si="19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29" customFormat="1" outlineLevel="1" collapsed="1" x14ac:dyDescent="0.25">
      <c r="A41" s="28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SUM(OSRRefD22_2x_0)</f>
        <v>1558.88</v>
      </c>
      <c r="E41" s="1"/>
      <c r="F41" s="5">
        <f t="shared" ref="F41:F53" si="20">IF(D$12=0,0,D41/D$12)</f>
        <v>0</v>
      </c>
      <c r="G41" s="1"/>
      <c r="H41" s="1">
        <f>SUM(OSRRefH22_2x_0)</f>
        <v>1559</v>
      </c>
      <c r="I41" s="1"/>
      <c r="J41" s="5">
        <f t="shared" ref="J41:J53" si="21">IF(H$12=0,0,H41/H$12)</f>
        <v>0</v>
      </c>
      <c r="K41" s="1"/>
      <c r="L41" s="1">
        <f t="shared" ref="L41:L53" si="22">+D41-H41</f>
        <v>-0.11999999999989086</v>
      </c>
      <c r="M41" s="1"/>
      <c r="N41" s="5">
        <f t="shared" ref="N41:N53" si="23">IF(H41=0,0,L41/H41)</f>
        <v>-7.6972418216735637E-5</v>
      </c>
      <c r="O41" s="14"/>
      <c r="P41" s="1">
        <f>SUM(OSRRefP22_2x_0)</f>
        <v>1558.88</v>
      </c>
      <c r="Q41" s="1"/>
      <c r="R41" s="5">
        <f t="shared" ref="R41:R53" si="24">IF(P$12=0,0,P41/P$12)</f>
        <v>0</v>
      </c>
      <c r="S41" s="1"/>
      <c r="T41" s="1">
        <f>SUM(OSRRefT22_2x_0)</f>
        <v>1559</v>
      </c>
      <c r="U41" s="1"/>
      <c r="V41" s="5">
        <f t="shared" ref="V41:V53" si="25">IF(T$12=0,0,T41/T$12)</f>
        <v>0</v>
      </c>
      <c r="W41" s="1"/>
      <c r="X41" s="1">
        <f t="shared" ref="X41:X53" si="26">+P41-T41</f>
        <v>-0.11999999999989086</v>
      </c>
      <c r="Y41" s="1"/>
      <c r="Z41" s="5">
        <f t="shared" ref="Z41:Z53" si="27">IF(T41=0,0,X41/T41)</f>
        <v>-7.6972418216735637E-5</v>
      </c>
    </row>
    <row r="42" spans="1:26" s="24" customFormat="1" hidden="1" outlineLevel="2" x14ac:dyDescent="0.25">
      <c r="A42" s="27"/>
      <c r="B42" s="12" t="str">
        <f>CONCATENATE("          ", "6322", " - ", "EQUIPMENT DEPRECIATION EXPENSE")</f>
        <v xml:space="preserve">          6322 - EQUIPMENT DEPRECIATION EXPENSE</v>
      </c>
      <c r="C42" s="12"/>
      <c r="D42" s="7">
        <v>1558.88</v>
      </c>
      <c r="E42" s="3"/>
      <c r="F42" s="8">
        <f t="shared" si="20"/>
        <v>0</v>
      </c>
      <c r="G42" s="3"/>
      <c r="H42" s="7">
        <v>1559</v>
      </c>
      <c r="I42" s="3"/>
      <c r="J42" s="8">
        <f t="shared" si="21"/>
        <v>0</v>
      </c>
      <c r="K42" s="3"/>
      <c r="L42" s="7">
        <f t="shared" si="22"/>
        <v>-0.11999999999989086</v>
      </c>
      <c r="M42" s="3"/>
      <c r="N42" s="8">
        <f t="shared" si="23"/>
        <v>-7.6972418216735637E-5</v>
      </c>
      <c r="O42" s="12"/>
      <c r="P42" s="7">
        <v>1558.88</v>
      </c>
      <c r="Q42" s="3"/>
      <c r="R42" s="8">
        <f t="shared" si="24"/>
        <v>0</v>
      </c>
      <c r="S42" s="3"/>
      <c r="T42" s="7">
        <v>1559</v>
      </c>
      <c r="U42" s="3"/>
      <c r="V42" s="8">
        <f t="shared" si="25"/>
        <v>0</v>
      </c>
      <c r="W42" s="3"/>
      <c r="X42" s="7">
        <f t="shared" si="26"/>
        <v>-0.11999999999989086</v>
      </c>
      <c r="Y42" s="3"/>
      <c r="Z42" s="8">
        <f t="shared" si="27"/>
        <v>-7.6972418216735637E-5</v>
      </c>
    </row>
    <row r="43" spans="1:26" s="29" customFormat="1" outlineLevel="1" collapsed="1" x14ac:dyDescent="0.25">
      <c r="A43" s="28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4"/>
      <c r="P43" s="1">
        <f>SUM(OSRRefP22_3x_0)</f>
        <v>91.26</v>
      </c>
      <c r="Q43" s="1"/>
      <c r="R43" s="5">
        <f t="shared" si="24"/>
        <v>0</v>
      </c>
      <c r="S43" s="1"/>
      <c r="T43" s="1">
        <f>SUM(OSRRefT22_3x_0)</f>
        <v>91</v>
      </c>
      <c r="U43" s="1"/>
      <c r="V43" s="5">
        <f t="shared" si="25"/>
        <v>0</v>
      </c>
      <c r="W43" s="1"/>
      <c r="X43" s="1">
        <f t="shared" si="26"/>
        <v>0.26000000000000512</v>
      </c>
      <c r="Y43" s="1"/>
      <c r="Z43" s="5">
        <f t="shared" si="27"/>
        <v>2.8571428571429135E-3</v>
      </c>
    </row>
    <row r="44" spans="1:26" s="24" customFormat="1" hidden="1" outlineLevel="2" x14ac:dyDescent="0.25">
      <c r="A44" s="27"/>
      <c r="B44" s="12" t="str">
        <f>CONCATENATE("          ", "6351", " - ", "EQUIPMENT RENTAL")</f>
        <v xml:space="preserve">          6351 - EQUIPMENT RENTAL</v>
      </c>
      <c r="C44" s="12"/>
      <c r="D44" s="7">
        <v>91.26</v>
      </c>
      <c r="E44" s="3"/>
      <c r="F44" s="8">
        <f t="shared" si="20"/>
        <v>0</v>
      </c>
      <c r="G44" s="3"/>
      <c r="H44" s="7">
        <v>91</v>
      </c>
      <c r="I44" s="3"/>
      <c r="J44" s="8">
        <f t="shared" si="21"/>
        <v>0</v>
      </c>
      <c r="K44" s="3"/>
      <c r="L44" s="7">
        <f t="shared" si="22"/>
        <v>0.26000000000000512</v>
      </c>
      <c r="M44" s="3"/>
      <c r="N44" s="8">
        <f t="shared" si="23"/>
        <v>2.8571428571429135E-3</v>
      </c>
      <c r="O44" s="12"/>
      <c r="P44" s="7">
        <v>91.26</v>
      </c>
      <c r="Q44" s="3"/>
      <c r="R44" s="8">
        <f t="shared" si="24"/>
        <v>0</v>
      </c>
      <c r="S44" s="3"/>
      <c r="T44" s="7">
        <v>91</v>
      </c>
      <c r="U44" s="3"/>
      <c r="V44" s="8">
        <f t="shared" si="25"/>
        <v>0</v>
      </c>
      <c r="W44" s="3"/>
      <c r="X44" s="7">
        <f t="shared" si="26"/>
        <v>0.26000000000000512</v>
      </c>
      <c r="Y44" s="3"/>
      <c r="Z44" s="8">
        <f t="shared" si="27"/>
        <v>2.8571428571429135E-3</v>
      </c>
    </row>
    <row r="45" spans="1:26" s="29" customFormat="1" outlineLevel="1" collapsed="1" x14ac:dyDescent="0.25">
      <c r="A45" s="28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SUM(OSRRefD22_4x_0)</f>
        <v>80.5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-19.5</v>
      </c>
      <c r="M45" s="1"/>
      <c r="N45" s="5">
        <f t="shared" si="23"/>
        <v>-0.19500000000000001</v>
      </c>
      <c r="O45" s="14"/>
      <c r="P45" s="1">
        <f>SUM(OSRRefP22_4x_0)</f>
        <v>80.5</v>
      </c>
      <c r="Q45" s="1"/>
      <c r="R45" s="5">
        <f t="shared" si="24"/>
        <v>0</v>
      </c>
      <c r="S45" s="1"/>
      <c r="T45" s="1">
        <f>SUM(OSRRefT22_4x_0)</f>
        <v>100</v>
      </c>
      <c r="U45" s="1"/>
      <c r="V45" s="5">
        <f t="shared" si="25"/>
        <v>0</v>
      </c>
      <c r="W45" s="1"/>
      <c r="X45" s="1">
        <f t="shared" si="26"/>
        <v>-19.5</v>
      </c>
      <c r="Y45" s="1"/>
      <c r="Z45" s="5">
        <f t="shared" si="27"/>
        <v>-0.19500000000000001</v>
      </c>
    </row>
    <row r="46" spans="1:26" s="24" customFormat="1" hidden="1" outlineLevel="2" x14ac:dyDescent="0.25">
      <c r="A46" s="27"/>
      <c r="B46" s="12" t="str">
        <f>CONCATENATE("          ", "6307", " - ", "POSTAGE")</f>
        <v xml:space="preserve">          6307 - POSTAGE</v>
      </c>
      <c r="C46" s="12"/>
      <c r="D46" s="7">
        <v>80.5</v>
      </c>
      <c r="E46" s="3"/>
      <c r="F46" s="8">
        <f t="shared" si="20"/>
        <v>0</v>
      </c>
      <c r="G46" s="3"/>
      <c r="H46" s="7">
        <v>100</v>
      </c>
      <c r="I46" s="3"/>
      <c r="J46" s="8">
        <f t="shared" si="21"/>
        <v>0</v>
      </c>
      <c r="K46" s="3"/>
      <c r="L46" s="7">
        <f t="shared" si="22"/>
        <v>-19.5</v>
      </c>
      <c r="M46" s="3"/>
      <c r="N46" s="8">
        <f t="shared" si="23"/>
        <v>-0.19500000000000001</v>
      </c>
      <c r="O46" s="12"/>
      <c r="P46" s="7">
        <v>80.5</v>
      </c>
      <c r="Q46" s="3"/>
      <c r="R46" s="8">
        <f t="shared" si="24"/>
        <v>0</v>
      </c>
      <c r="S46" s="3"/>
      <c r="T46" s="7">
        <v>100</v>
      </c>
      <c r="U46" s="3"/>
      <c r="V46" s="8">
        <f t="shared" si="25"/>
        <v>0</v>
      </c>
      <c r="W46" s="3"/>
      <c r="X46" s="7">
        <f t="shared" si="26"/>
        <v>-19.5</v>
      </c>
      <c r="Y46" s="3"/>
      <c r="Z46" s="8">
        <f t="shared" si="27"/>
        <v>-0.19500000000000001</v>
      </c>
    </row>
    <row r="47" spans="1:26" s="29" customFormat="1" outlineLevel="1" collapsed="1" x14ac:dyDescent="0.25">
      <c r="A47" s="28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SUM(OSRRefD22_5x_0)</f>
        <v>132.16999999999999</v>
      </c>
      <c r="E47" s="1"/>
      <c r="F47" s="5">
        <f t="shared" si="20"/>
        <v>0</v>
      </c>
      <c r="G47" s="1"/>
      <c r="H47" s="1">
        <f>SUM(OSRRefH22_5x_0)</f>
        <v>145</v>
      </c>
      <c r="I47" s="1"/>
      <c r="J47" s="5">
        <f t="shared" si="21"/>
        <v>0</v>
      </c>
      <c r="K47" s="1"/>
      <c r="L47" s="1">
        <f t="shared" si="22"/>
        <v>-12.830000000000013</v>
      </c>
      <c r="M47" s="1"/>
      <c r="N47" s="5">
        <f t="shared" si="23"/>
        <v>-8.8482758620689744E-2</v>
      </c>
      <c r="O47" s="14"/>
      <c r="P47" s="1">
        <f>SUM(OSRRefP22_5x_0)</f>
        <v>132.16999999999999</v>
      </c>
      <c r="Q47" s="1"/>
      <c r="R47" s="5">
        <f t="shared" si="24"/>
        <v>0</v>
      </c>
      <c r="S47" s="1"/>
      <c r="T47" s="1">
        <f>SUM(OSRRefT22_5x_0)</f>
        <v>145</v>
      </c>
      <c r="U47" s="1"/>
      <c r="V47" s="5">
        <f t="shared" si="25"/>
        <v>0</v>
      </c>
      <c r="W47" s="1"/>
      <c r="X47" s="1">
        <f t="shared" si="26"/>
        <v>-12.830000000000013</v>
      </c>
      <c r="Y47" s="1"/>
      <c r="Z47" s="5">
        <f t="shared" si="27"/>
        <v>-8.8482758620689744E-2</v>
      </c>
    </row>
    <row r="48" spans="1:26" s="24" customFormat="1" hidden="1" outlineLevel="2" x14ac:dyDescent="0.25">
      <c r="A48" s="27"/>
      <c r="B48" s="12" t="str">
        <f>CONCATENATE("          ", "6314", " - ", "LIABILITY INSURANCE")</f>
        <v xml:space="preserve">          6314 - LIABILITY INSURANCE</v>
      </c>
      <c r="C48" s="12"/>
      <c r="D48" s="7">
        <v>132.16999999999999</v>
      </c>
      <c r="E48" s="3"/>
      <c r="F48" s="8">
        <f t="shared" si="20"/>
        <v>0</v>
      </c>
      <c r="G48" s="3"/>
      <c r="H48" s="7">
        <v>145</v>
      </c>
      <c r="I48" s="3"/>
      <c r="J48" s="8">
        <f t="shared" si="21"/>
        <v>0</v>
      </c>
      <c r="K48" s="3"/>
      <c r="L48" s="7">
        <f t="shared" si="22"/>
        <v>-12.830000000000013</v>
      </c>
      <c r="M48" s="3"/>
      <c r="N48" s="8">
        <f t="shared" si="23"/>
        <v>-8.8482758620689744E-2</v>
      </c>
      <c r="O48" s="12"/>
      <c r="P48" s="7">
        <v>132.16999999999999</v>
      </c>
      <c r="Q48" s="3"/>
      <c r="R48" s="8">
        <f t="shared" si="24"/>
        <v>0</v>
      </c>
      <c r="S48" s="3"/>
      <c r="T48" s="7">
        <v>145</v>
      </c>
      <c r="U48" s="3"/>
      <c r="V48" s="8">
        <f t="shared" si="25"/>
        <v>0</v>
      </c>
      <c r="W48" s="3"/>
      <c r="X48" s="7">
        <f t="shared" si="26"/>
        <v>-12.830000000000013</v>
      </c>
      <c r="Y48" s="3"/>
      <c r="Z48" s="8">
        <f t="shared" si="27"/>
        <v>-8.8482758620689744E-2</v>
      </c>
    </row>
    <row r="49" spans="1:26" s="29" customFormat="1" outlineLevel="1" collapsed="1" x14ac:dyDescent="0.25">
      <c r="A49" s="28"/>
      <c r="B49" s="14" t="str">
        <f>CONCATENATE("     ","Professional Services                             ")</f>
        <v xml:space="preserve">     Professional Services                             </v>
      </c>
      <c r="C49" s="14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250</v>
      </c>
      <c r="I49" s="1"/>
      <c r="J49" s="5">
        <f t="shared" si="21"/>
        <v>0</v>
      </c>
      <c r="K49" s="1"/>
      <c r="L49" s="1">
        <f t="shared" si="22"/>
        <v>-250</v>
      </c>
      <c r="M49" s="1"/>
      <c r="N49" s="5">
        <f t="shared" si="23"/>
        <v>-1</v>
      </c>
      <c r="O49" s="14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250</v>
      </c>
      <c r="U49" s="1"/>
      <c r="V49" s="5">
        <f t="shared" si="25"/>
        <v>0</v>
      </c>
      <c r="W49" s="1"/>
      <c r="X49" s="1">
        <f t="shared" si="26"/>
        <v>-250</v>
      </c>
      <c r="Y49" s="1"/>
      <c r="Z49" s="5">
        <f t="shared" si="27"/>
        <v>-1</v>
      </c>
    </row>
    <row r="50" spans="1:26" s="24" customFormat="1" hidden="1" outlineLevel="2" x14ac:dyDescent="0.25">
      <c r="A50" s="27"/>
      <c r="B50" s="12" t="str">
        <f>CONCATENATE("          ", "6332", " - ", "CONSULTANT FEES")</f>
        <v xml:space="preserve">          6332 - CONSULTANT FEES</v>
      </c>
      <c r="C50" s="12"/>
      <c r="D50" s="7"/>
      <c r="E50" s="3"/>
      <c r="F50" s="8">
        <f t="shared" si="20"/>
        <v>0</v>
      </c>
      <c r="G50" s="3"/>
      <c r="H50" s="7">
        <v>250</v>
      </c>
      <c r="I50" s="3"/>
      <c r="J50" s="8">
        <f t="shared" si="21"/>
        <v>0</v>
      </c>
      <c r="K50" s="3"/>
      <c r="L50" s="7">
        <f t="shared" si="22"/>
        <v>-250</v>
      </c>
      <c r="M50" s="3"/>
      <c r="N50" s="8">
        <f t="shared" si="23"/>
        <v>-1</v>
      </c>
      <c r="O50" s="12"/>
      <c r="P50" s="7"/>
      <c r="Q50" s="3"/>
      <c r="R50" s="8">
        <f t="shared" si="24"/>
        <v>0</v>
      </c>
      <c r="S50" s="3"/>
      <c r="T50" s="7">
        <v>250</v>
      </c>
      <c r="U50" s="3"/>
      <c r="V50" s="8">
        <f t="shared" si="25"/>
        <v>0</v>
      </c>
      <c r="W50" s="3"/>
      <c r="X50" s="7">
        <f t="shared" si="26"/>
        <v>-250</v>
      </c>
      <c r="Y50" s="3"/>
      <c r="Z50" s="8">
        <f t="shared" si="27"/>
        <v>-1</v>
      </c>
    </row>
    <row r="51" spans="1:26" s="29" customFormat="1" outlineLevel="1" collapsed="1" x14ac:dyDescent="0.25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SUM(OSRRefD22_7x_0)</f>
        <v>69.84</v>
      </c>
      <c r="E51" s="1"/>
      <c r="F51" s="5">
        <f t="shared" si="20"/>
        <v>0</v>
      </c>
      <c r="G51" s="1"/>
      <c r="H51" s="1">
        <f>SUM(OSRRefH22_7x_0)</f>
        <v>60</v>
      </c>
      <c r="I51" s="1"/>
      <c r="J51" s="5">
        <f t="shared" si="21"/>
        <v>0</v>
      </c>
      <c r="K51" s="1"/>
      <c r="L51" s="1">
        <f t="shared" si="22"/>
        <v>9.8400000000000034</v>
      </c>
      <c r="M51" s="1"/>
      <c r="N51" s="5">
        <f t="shared" si="23"/>
        <v>0.16400000000000006</v>
      </c>
      <c r="O51" s="14"/>
      <c r="P51" s="1">
        <f>SUM(OSRRefP22_7x_0)</f>
        <v>69.84</v>
      </c>
      <c r="Q51" s="1"/>
      <c r="R51" s="5">
        <f t="shared" si="24"/>
        <v>0</v>
      </c>
      <c r="S51" s="1"/>
      <c r="T51" s="1">
        <f>SUM(OSRRefT22_7x_0)</f>
        <v>60</v>
      </c>
      <c r="U51" s="1"/>
      <c r="V51" s="5">
        <f t="shared" si="25"/>
        <v>0</v>
      </c>
      <c r="W51" s="1"/>
      <c r="X51" s="1">
        <f t="shared" si="26"/>
        <v>9.8400000000000034</v>
      </c>
      <c r="Y51" s="1"/>
      <c r="Z51" s="5">
        <f t="shared" si="27"/>
        <v>0.16400000000000006</v>
      </c>
    </row>
    <row r="52" spans="1:26" s="24" customFormat="1" hidden="1" outlineLevel="2" x14ac:dyDescent="0.25">
      <c r="A52" s="27"/>
      <c r="B52" s="12" t="str">
        <f>CONCATENATE("          ", "6371", " - ", "COMPUTER SOFTWARE MAINTENANCE")</f>
        <v xml:space="preserve">          6371 - COMPUTER SOFTWARE MAINTENANCE</v>
      </c>
      <c r="C52" s="12"/>
      <c r="D52" s="7">
        <v>59.95</v>
      </c>
      <c r="E52" s="3"/>
      <c r="F52" s="8">
        <f t="shared" si="20"/>
        <v>0</v>
      </c>
      <c r="G52" s="3"/>
      <c r="H52" s="7">
        <v>60</v>
      </c>
      <c r="I52" s="3"/>
      <c r="J52" s="8">
        <f t="shared" si="21"/>
        <v>0</v>
      </c>
      <c r="K52" s="3"/>
      <c r="L52" s="7">
        <f t="shared" si="22"/>
        <v>-4.9999999999997158E-2</v>
      </c>
      <c r="M52" s="3"/>
      <c r="N52" s="8">
        <f t="shared" si="23"/>
        <v>-8.3333333333328601E-4</v>
      </c>
      <c r="O52" s="12"/>
      <c r="P52" s="7">
        <v>59.95</v>
      </c>
      <c r="Q52" s="3"/>
      <c r="R52" s="8">
        <f t="shared" si="24"/>
        <v>0</v>
      </c>
      <c r="S52" s="3"/>
      <c r="T52" s="7">
        <v>60</v>
      </c>
      <c r="U52" s="3"/>
      <c r="V52" s="8">
        <f t="shared" si="25"/>
        <v>0</v>
      </c>
      <c r="W52" s="3"/>
      <c r="X52" s="7">
        <f t="shared" si="26"/>
        <v>-4.9999999999997158E-2</v>
      </c>
      <c r="Y52" s="3"/>
      <c r="Z52" s="8">
        <f t="shared" si="27"/>
        <v>-8.3333333333328601E-4</v>
      </c>
    </row>
    <row r="53" spans="1:26" s="24" customFormat="1" hidden="1" outlineLevel="2" x14ac:dyDescent="0.25">
      <c r="A53" s="27"/>
      <c r="B53" s="12" t="str">
        <f>CONCATENATE("          ", "6373", " - ", "MAINTENANCE CONTRACTS")</f>
        <v xml:space="preserve">          6373 - MAINTENANCE CONTRACTS</v>
      </c>
      <c r="C53" s="12"/>
      <c r="D53" s="7">
        <v>9.89</v>
      </c>
      <c r="E53" s="3"/>
      <c r="F53" s="8">
        <f t="shared" si="20"/>
        <v>0</v>
      </c>
      <c r="G53" s="3"/>
      <c r="H53" s="7"/>
      <c r="I53" s="3"/>
      <c r="J53" s="8">
        <f t="shared" si="21"/>
        <v>0</v>
      </c>
      <c r="K53" s="3"/>
      <c r="L53" s="7">
        <f t="shared" si="22"/>
        <v>9.89</v>
      </c>
      <c r="M53" s="3"/>
      <c r="N53" s="8">
        <f t="shared" si="23"/>
        <v>0</v>
      </c>
      <c r="O53" s="12"/>
      <c r="P53" s="7">
        <v>9.89</v>
      </c>
      <c r="Q53" s="3"/>
      <c r="R53" s="8">
        <f t="shared" si="24"/>
        <v>0</v>
      </c>
      <c r="S53" s="3"/>
      <c r="T53" s="7"/>
      <c r="U53" s="3"/>
      <c r="V53" s="8">
        <f t="shared" si="25"/>
        <v>0</v>
      </c>
      <c r="W53" s="3"/>
      <c r="X53" s="7">
        <f t="shared" si="26"/>
        <v>9.89</v>
      </c>
      <c r="Y53" s="3"/>
      <c r="Z53" s="8">
        <f t="shared" si="27"/>
        <v>0</v>
      </c>
    </row>
    <row r="54" spans="1:26" s="29" customFormat="1" outlineLevel="1" collapsed="1" x14ac:dyDescent="0.25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SUM(OSRRefD22_8x_0)</f>
        <v>512.48</v>
      </c>
      <c r="E54" s="1"/>
      <c r="F54" s="5">
        <f t="shared" ref="F54:F59" si="28">IF(D$12=0,0,D54/D$12)</f>
        <v>0</v>
      </c>
      <c r="G54" s="1"/>
      <c r="H54" s="1">
        <f>SUM(OSRRefH22_8x_0)</f>
        <v>500</v>
      </c>
      <c r="I54" s="1"/>
      <c r="J54" s="5">
        <f t="shared" ref="J54:J59" si="29">IF(H$12=0,0,H54/H$12)</f>
        <v>0</v>
      </c>
      <c r="K54" s="1"/>
      <c r="L54" s="1">
        <f t="shared" ref="L54:L59" si="30">+D54-H54</f>
        <v>12.480000000000018</v>
      </c>
      <c r="M54" s="1"/>
      <c r="N54" s="5">
        <f t="shared" ref="N54:N59" si="31">IF(H54=0,0,L54/H54)</f>
        <v>2.4960000000000038E-2</v>
      </c>
      <c r="O54" s="14"/>
      <c r="P54" s="1">
        <f>SUM(OSRRefP22_8x_0)</f>
        <v>512.48</v>
      </c>
      <c r="Q54" s="1"/>
      <c r="R54" s="5">
        <f t="shared" ref="R54:R59" si="32">IF(P$12=0,0,P54/P$12)</f>
        <v>0</v>
      </c>
      <c r="S54" s="1"/>
      <c r="T54" s="1">
        <f>SUM(OSRRefT22_8x_0)</f>
        <v>500</v>
      </c>
      <c r="U54" s="1"/>
      <c r="V54" s="5">
        <f t="shared" ref="V54:V59" si="33">IF(T$12=0,0,T54/T$12)</f>
        <v>0</v>
      </c>
      <c r="W54" s="1"/>
      <c r="X54" s="1">
        <f t="shared" ref="X54:X59" si="34">+P54-T54</f>
        <v>12.480000000000018</v>
      </c>
      <c r="Y54" s="1"/>
      <c r="Z54" s="5">
        <f t="shared" ref="Z54:Z59" si="35">IF(T54=0,0,X54/T54)</f>
        <v>2.4960000000000038E-2</v>
      </c>
    </row>
    <row r="55" spans="1:26" s="24" customFormat="1" hidden="1" outlineLevel="2" x14ac:dyDescent="0.25">
      <c r="A55" s="27"/>
      <c r="B55" s="12" t="str">
        <f>CONCATENATE("          ", "6281", " - ", "STORAGE FEE")</f>
        <v xml:space="preserve">          6281 - STORAGE FEE</v>
      </c>
      <c r="C55" s="12"/>
      <c r="D55" s="7">
        <v>512.48</v>
      </c>
      <c r="E55" s="3"/>
      <c r="F55" s="8">
        <f t="shared" si="28"/>
        <v>0</v>
      </c>
      <c r="G55" s="3"/>
      <c r="H55" s="7">
        <v>500</v>
      </c>
      <c r="I55" s="3"/>
      <c r="J55" s="8">
        <f t="shared" si="29"/>
        <v>0</v>
      </c>
      <c r="K55" s="3"/>
      <c r="L55" s="7">
        <f t="shared" si="30"/>
        <v>12.480000000000018</v>
      </c>
      <c r="M55" s="3"/>
      <c r="N55" s="8">
        <f t="shared" si="31"/>
        <v>2.4960000000000038E-2</v>
      </c>
      <c r="O55" s="12"/>
      <c r="P55" s="7">
        <v>512.48</v>
      </c>
      <c r="Q55" s="3"/>
      <c r="R55" s="8">
        <f t="shared" si="32"/>
        <v>0</v>
      </c>
      <c r="S55" s="3"/>
      <c r="T55" s="7">
        <v>500</v>
      </c>
      <c r="U55" s="3"/>
      <c r="V55" s="8">
        <f t="shared" si="33"/>
        <v>0</v>
      </c>
      <c r="W55" s="3"/>
      <c r="X55" s="7">
        <f t="shared" si="34"/>
        <v>12.480000000000018</v>
      </c>
      <c r="Y55" s="3"/>
      <c r="Z55" s="8">
        <f t="shared" si="35"/>
        <v>2.4960000000000038E-2</v>
      </c>
    </row>
    <row r="56" spans="1:26" s="29" customFormat="1" outlineLevel="1" collapsed="1" x14ac:dyDescent="0.25">
      <c r="A56" s="28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SUM(OSRRefD22_9x_0)</f>
        <v>461.94000000000005</v>
      </c>
      <c r="E56" s="1"/>
      <c r="F56" s="5">
        <f t="shared" si="28"/>
        <v>0</v>
      </c>
      <c r="G56" s="1"/>
      <c r="H56" s="1">
        <f>SUM(OSRRefH22_9x_0)</f>
        <v>9784</v>
      </c>
      <c r="I56" s="1"/>
      <c r="J56" s="5">
        <f t="shared" si="29"/>
        <v>0</v>
      </c>
      <c r="K56" s="1"/>
      <c r="L56" s="1">
        <f t="shared" si="30"/>
        <v>-9322.06</v>
      </c>
      <c r="M56" s="1"/>
      <c r="N56" s="5">
        <f t="shared" si="31"/>
        <v>-0.95278618152085026</v>
      </c>
      <c r="O56" s="14"/>
      <c r="P56" s="1">
        <f>SUM(OSRRefP22_9x_0)</f>
        <v>461.94000000000005</v>
      </c>
      <c r="Q56" s="1"/>
      <c r="R56" s="5">
        <f t="shared" si="32"/>
        <v>0</v>
      </c>
      <c r="S56" s="1"/>
      <c r="T56" s="1">
        <f>SUM(OSRRefT22_9x_0)</f>
        <v>9784</v>
      </c>
      <c r="U56" s="1"/>
      <c r="V56" s="5">
        <f t="shared" si="33"/>
        <v>0</v>
      </c>
      <c r="W56" s="1"/>
      <c r="X56" s="1">
        <f t="shared" si="34"/>
        <v>-9322.06</v>
      </c>
      <c r="Y56" s="1"/>
      <c r="Z56" s="5">
        <f t="shared" si="35"/>
        <v>-0.95278618152085026</v>
      </c>
    </row>
    <row r="57" spans="1:26" s="24" customFormat="1" hidden="1" outlineLevel="2" x14ac:dyDescent="0.25">
      <c r="A57" s="27"/>
      <c r="B57" s="12" t="str">
        <f>CONCATENATE("          ", "6234", " - ", "EXPENDABLE SUPPLIES &amp; EQUIPMEN")</f>
        <v xml:space="preserve">          6234 - EXPENDABLE SUPPLIES &amp; EQUIPMEN</v>
      </c>
      <c r="C57" s="12"/>
      <c r="D57" s="7"/>
      <c r="E57" s="3"/>
      <c r="F57" s="8">
        <f t="shared" si="28"/>
        <v>0</v>
      </c>
      <c r="G57" s="3"/>
      <c r="H57" s="7">
        <v>9584</v>
      </c>
      <c r="I57" s="3"/>
      <c r="J57" s="8">
        <f t="shared" si="29"/>
        <v>0</v>
      </c>
      <c r="K57" s="3"/>
      <c r="L57" s="7">
        <f t="shared" si="30"/>
        <v>-9584</v>
      </c>
      <c r="M57" s="3"/>
      <c r="N57" s="8">
        <f t="shared" si="31"/>
        <v>-1</v>
      </c>
      <c r="O57" s="12"/>
      <c r="P57" s="7"/>
      <c r="Q57" s="3"/>
      <c r="R57" s="8">
        <f t="shared" si="32"/>
        <v>0</v>
      </c>
      <c r="S57" s="3"/>
      <c r="T57" s="7">
        <v>9584</v>
      </c>
      <c r="U57" s="3"/>
      <c r="V57" s="8">
        <f t="shared" si="33"/>
        <v>0</v>
      </c>
      <c r="W57" s="3"/>
      <c r="X57" s="7">
        <f t="shared" si="34"/>
        <v>-9584</v>
      </c>
      <c r="Y57" s="3"/>
      <c r="Z57" s="8">
        <f t="shared" si="35"/>
        <v>-1</v>
      </c>
    </row>
    <row r="58" spans="1:26" s="24" customFormat="1" hidden="1" outlineLevel="2" x14ac:dyDescent="0.25">
      <c r="A58" s="27"/>
      <c r="B58" s="12" t="str">
        <f>CONCATENATE("          ", "6235", " - ", "COVID-19 EXPENSES")</f>
        <v xml:space="preserve">          6235 - COVID-19 EXPENSES</v>
      </c>
      <c r="C58" s="12"/>
      <c r="D58" s="7">
        <v>426.66</v>
      </c>
      <c r="E58" s="3"/>
      <c r="F58" s="8">
        <f t="shared" si="28"/>
        <v>0</v>
      </c>
      <c r="G58" s="3"/>
      <c r="H58" s="7"/>
      <c r="I58" s="3"/>
      <c r="J58" s="8">
        <f t="shared" si="29"/>
        <v>0</v>
      </c>
      <c r="K58" s="3"/>
      <c r="L58" s="7">
        <f t="shared" si="30"/>
        <v>426.66</v>
      </c>
      <c r="M58" s="3"/>
      <c r="N58" s="8">
        <f t="shared" si="31"/>
        <v>0</v>
      </c>
      <c r="O58" s="12"/>
      <c r="P58" s="7">
        <v>426.66</v>
      </c>
      <c r="Q58" s="3"/>
      <c r="R58" s="8">
        <f t="shared" si="32"/>
        <v>0</v>
      </c>
      <c r="S58" s="3"/>
      <c r="T58" s="7"/>
      <c r="U58" s="3"/>
      <c r="V58" s="8">
        <f t="shared" si="33"/>
        <v>0</v>
      </c>
      <c r="W58" s="3"/>
      <c r="X58" s="7">
        <f t="shared" si="34"/>
        <v>426.66</v>
      </c>
      <c r="Y58" s="3"/>
      <c r="Z58" s="8">
        <f t="shared" si="35"/>
        <v>0</v>
      </c>
    </row>
    <row r="59" spans="1:26" s="24" customFormat="1" hidden="1" outlineLevel="2" x14ac:dyDescent="0.25">
      <c r="A59" s="27"/>
      <c r="B59" s="12" t="str">
        <f>CONCATENATE("          ", "6241", " - ", "OFFICE EXPENSE")</f>
        <v xml:space="preserve">          6241 - OFFICE EXPENSE</v>
      </c>
      <c r="C59" s="12"/>
      <c r="D59" s="7">
        <v>35.28</v>
      </c>
      <c r="E59" s="3"/>
      <c r="F59" s="8">
        <f t="shared" si="28"/>
        <v>0</v>
      </c>
      <c r="G59" s="3"/>
      <c r="H59" s="7">
        <v>200</v>
      </c>
      <c r="I59" s="3"/>
      <c r="J59" s="8">
        <f t="shared" si="29"/>
        <v>0</v>
      </c>
      <c r="K59" s="3"/>
      <c r="L59" s="7">
        <f t="shared" si="30"/>
        <v>-164.72</v>
      </c>
      <c r="M59" s="3"/>
      <c r="N59" s="8">
        <f t="shared" si="31"/>
        <v>-0.8236</v>
      </c>
      <c r="O59" s="12"/>
      <c r="P59" s="7">
        <v>35.28</v>
      </c>
      <c r="Q59" s="3"/>
      <c r="R59" s="8">
        <f t="shared" si="32"/>
        <v>0</v>
      </c>
      <c r="S59" s="3"/>
      <c r="T59" s="7">
        <v>200</v>
      </c>
      <c r="U59" s="3"/>
      <c r="V59" s="8">
        <f t="shared" si="33"/>
        <v>0</v>
      </c>
      <c r="W59" s="3"/>
      <c r="X59" s="7">
        <f t="shared" si="34"/>
        <v>-164.72</v>
      </c>
      <c r="Y59" s="3"/>
      <c r="Z59" s="8">
        <f t="shared" si="35"/>
        <v>-0.8236</v>
      </c>
    </row>
    <row r="60" spans="1:26" s="29" customFormat="1" outlineLevel="1" collapsed="1" x14ac:dyDescent="0.25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SUM(OSRRefD22_10x_0)</f>
        <v>421.3</v>
      </c>
      <c r="E60" s="1"/>
      <c r="F60" s="5">
        <f t="shared" ref="F60:F65" si="36">IF(D$12=0,0,D60/D$12)</f>
        <v>0</v>
      </c>
      <c r="G60" s="1"/>
      <c r="H60" s="1">
        <f>SUM(OSRRefH22_10x_0)</f>
        <v>375</v>
      </c>
      <c r="I60" s="1"/>
      <c r="J60" s="5">
        <f t="shared" ref="J60:J65" si="37">IF(H$12=0,0,H60/H$12)</f>
        <v>0</v>
      </c>
      <c r="K60" s="1"/>
      <c r="L60" s="1">
        <f t="shared" ref="L60:L65" si="38">+D60-H60</f>
        <v>46.300000000000011</v>
      </c>
      <c r="M60" s="1"/>
      <c r="N60" s="5">
        <f t="shared" ref="N60:N65" si="39">IF(H60=0,0,L60/H60)</f>
        <v>0.1234666666666667</v>
      </c>
      <c r="O60" s="14"/>
      <c r="P60" s="1">
        <f>SUM(OSRRefP22_10x_0)</f>
        <v>421.3</v>
      </c>
      <c r="Q60" s="1"/>
      <c r="R60" s="5">
        <f t="shared" ref="R60:R65" si="40">IF(P$12=0,0,P60/P$12)</f>
        <v>0</v>
      </c>
      <c r="S60" s="1"/>
      <c r="T60" s="1">
        <f>SUM(OSRRefT22_10x_0)</f>
        <v>375</v>
      </c>
      <c r="U60" s="1"/>
      <c r="V60" s="5">
        <f t="shared" ref="V60:V65" si="41">IF(T$12=0,0,T60/T$12)</f>
        <v>0</v>
      </c>
      <c r="W60" s="1"/>
      <c r="X60" s="1">
        <f t="shared" ref="X60:X65" si="42">+P60-T60</f>
        <v>46.300000000000011</v>
      </c>
      <c r="Y60" s="1"/>
      <c r="Z60" s="5">
        <f t="shared" ref="Z60:Z65" si="43">IF(T60=0,0,X60/T60)</f>
        <v>0.1234666666666667</v>
      </c>
    </row>
    <row r="61" spans="1:26" s="24" customFormat="1" hidden="1" outlineLevel="2" x14ac:dyDescent="0.25">
      <c r="A61" s="27"/>
      <c r="B61" s="12" t="str">
        <f>CONCATENATE("          ", "6309", " - ", "TELEPHONE")</f>
        <v xml:space="preserve">          6309 - TELEPHONE</v>
      </c>
      <c r="C61" s="12"/>
      <c r="D61" s="7">
        <v>421.3</v>
      </c>
      <c r="E61" s="3"/>
      <c r="F61" s="8">
        <f t="shared" si="36"/>
        <v>0</v>
      </c>
      <c r="G61" s="3"/>
      <c r="H61" s="7">
        <v>375</v>
      </c>
      <c r="I61" s="3"/>
      <c r="J61" s="8">
        <f t="shared" si="37"/>
        <v>0</v>
      </c>
      <c r="K61" s="3"/>
      <c r="L61" s="7">
        <f t="shared" si="38"/>
        <v>46.300000000000011</v>
      </c>
      <c r="M61" s="3"/>
      <c r="N61" s="8">
        <f t="shared" si="39"/>
        <v>0.1234666666666667</v>
      </c>
      <c r="O61" s="12"/>
      <c r="P61" s="7">
        <v>421.3</v>
      </c>
      <c r="Q61" s="3"/>
      <c r="R61" s="8">
        <f t="shared" si="40"/>
        <v>0</v>
      </c>
      <c r="S61" s="3"/>
      <c r="T61" s="7">
        <v>375</v>
      </c>
      <c r="U61" s="3"/>
      <c r="V61" s="8">
        <f t="shared" si="41"/>
        <v>0</v>
      </c>
      <c r="W61" s="3"/>
      <c r="X61" s="7">
        <f t="shared" si="42"/>
        <v>46.300000000000011</v>
      </c>
      <c r="Y61" s="3"/>
      <c r="Z61" s="8">
        <f t="shared" si="43"/>
        <v>0.1234666666666667</v>
      </c>
    </row>
    <row r="62" spans="1:26" s="29" customFormat="1" outlineLevel="1" collapsed="1" x14ac:dyDescent="0.25">
      <c r="A62" s="28"/>
      <c r="B62" s="14" t="str">
        <f>CONCATENATE("     ","Training                                          ")</f>
        <v xml:space="preserve">     Training                                          </v>
      </c>
      <c r="C62" s="14"/>
      <c r="D62" s="1">
        <f>SUM(OSRRefD22_11x_0)</f>
        <v>0</v>
      </c>
      <c r="E62" s="1"/>
      <c r="F62" s="5">
        <f t="shared" si="36"/>
        <v>0</v>
      </c>
      <c r="G62" s="1"/>
      <c r="H62" s="1">
        <f>SUM(OSRRefH22_11x_0)</f>
        <v>250</v>
      </c>
      <c r="I62" s="1"/>
      <c r="J62" s="5">
        <f t="shared" si="37"/>
        <v>0</v>
      </c>
      <c r="K62" s="1"/>
      <c r="L62" s="1">
        <f t="shared" si="38"/>
        <v>-250</v>
      </c>
      <c r="M62" s="1"/>
      <c r="N62" s="5">
        <f t="shared" si="39"/>
        <v>-1</v>
      </c>
      <c r="O62" s="14"/>
      <c r="P62" s="1">
        <f>SUM(OSRRefP22_11x_0)</f>
        <v>0</v>
      </c>
      <c r="Q62" s="1"/>
      <c r="R62" s="5">
        <f t="shared" si="40"/>
        <v>0</v>
      </c>
      <c r="S62" s="1"/>
      <c r="T62" s="1">
        <f>SUM(OSRRefT22_11x_0)</f>
        <v>250</v>
      </c>
      <c r="U62" s="1"/>
      <c r="V62" s="5">
        <f t="shared" si="41"/>
        <v>0</v>
      </c>
      <c r="W62" s="1"/>
      <c r="X62" s="1">
        <f t="shared" si="42"/>
        <v>-250</v>
      </c>
      <c r="Y62" s="1"/>
      <c r="Z62" s="5">
        <f t="shared" si="43"/>
        <v>-1</v>
      </c>
    </row>
    <row r="63" spans="1:26" s="24" customFormat="1" hidden="1" outlineLevel="2" x14ac:dyDescent="0.25">
      <c r="A63" s="27"/>
      <c r="B63" s="12" t="str">
        <f>CONCATENATE("          ", "6376", " - ", "TRAINING")</f>
        <v xml:space="preserve">          6376 - TRAINING</v>
      </c>
      <c r="C63" s="12"/>
      <c r="D63" s="7"/>
      <c r="E63" s="3"/>
      <c r="F63" s="8">
        <f t="shared" si="36"/>
        <v>0</v>
      </c>
      <c r="G63" s="3"/>
      <c r="H63" s="7">
        <v>250</v>
      </c>
      <c r="I63" s="3"/>
      <c r="J63" s="8">
        <f t="shared" si="37"/>
        <v>0</v>
      </c>
      <c r="K63" s="3"/>
      <c r="L63" s="7">
        <f t="shared" si="38"/>
        <v>-250</v>
      </c>
      <c r="M63" s="3"/>
      <c r="N63" s="8">
        <f t="shared" si="39"/>
        <v>-1</v>
      </c>
      <c r="O63" s="12"/>
      <c r="P63" s="7"/>
      <c r="Q63" s="3"/>
      <c r="R63" s="8">
        <f t="shared" si="40"/>
        <v>0</v>
      </c>
      <c r="S63" s="3"/>
      <c r="T63" s="7">
        <v>250</v>
      </c>
      <c r="U63" s="3"/>
      <c r="V63" s="8">
        <f t="shared" si="41"/>
        <v>0</v>
      </c>
      <c r="W63" s="3"/>
      <c r="X63" s="7">
        <f t="shared" si="42"/>
        <v>-250</v>
      </c>
      <c r="Y63" s="3"/>
      <c r="Z63" s="8">
        <f t="shared" si="43"/>
        <v>-1</v>
      </c>
    </row>
    <row r="64" spans="1:26" s="29" customFormat="1" outlineLevel="1" collapsed="1" x14ac:dyDescent="0.25">
      <c r="A64" s="28"/>
      <c r="B64" s="14" t="str">
        <f>CONCATENATE("     ","Travel                                            ")</f>
        <v xml:space="preserve">     Travel                                            </v>
      </c>
      <c r="C64" s="14"/>
      <c r="D64" s="1">
        <f>SUM(OSRRefD22_12x_0)</f>
        <v>9.75</v>
      </c>
      <c r="E64" s="1"/>
      <c r="F64" s="5">
        <f t="shared" si="36"/>
        <v>0</v>
      </c>
      <c r="G64" s="1"/>
      <c r="H64" s="1">
        <f>SUM(OSRRefH22_12x_0)</f>
        <v>0</v>
      </c>
      <c r="I64" s="1"/>
      <c r="J64" s="5">
        <f t="shared" si="37"/>
        <v>0</v>
      </c>
      <c r="K64" s="1"/>
      <c r="L64" s="1">
        <f t="shared" si="38"/>
        <v>9.75</v>
      </c>
      <c r="M64" s="1"/>
      <c r="N64" s="5">
        <f t="shared" si="39"/>
        <v>0</v>
      </c>
      <c r="O64" s="14"/>
      <c r="P64" s="1">
        <f>SUM(OSRRefP22_12x_0)</f>
        <v>9.75</v>
      </c>
      <c r="Q64" s="1"/>
      <c r="R64" s="5">
        <f t="shared" si="40"/>
        <v>0</v>
      </c>
      <c r="S64" s="1"/>
      <c r="T64" s="1">
        <f>SUM(OSRRefT22_12x_0)</f>
        <v>0</v>
      </c>
      <c r="U64" s="1"/>
      <c r="V64" s="5">
        <f t="shared" si="41"/>
        <v>0</v>
      </c>
      <c r="W64" s="1"/>
      <c r="X64" s="1">
        <f t="shared" si="42"/>
        <v>9.75</v>
      </c>
      <c r="Y64" s="1"/>
      <c r="Z64" s="5">
        <f t="shared" si="43"/>
        <v>0</v>
      </c>
    </row>
    <row r="65" spans="1:26" s="24" customFormat="1" hidden="1" outlineLevel="2" x14ac:dyDescent="0.25">
      <c r="A65" s="27"/>
      <c r="B65" s="12" t="str">
        <f>CONCATENATE("          ", "6294", " - ", "TRAVEL OPERATIONAL")</f>
        <v xml:space="preserve">          6294 - TRAVEL OPERATIONAL</v>
      </c>
      <c r="C65" s="12"/>
      <c r="D65" s="7">
        <v>9.75</v>
      </c>
      <c r="E65" s="3"/>
      <c r="F65" s="8">
        <f t="shared" si="36"/>
        <v>0</v>
      </c>
      <c r="G65" s="3"/>
      <c r="H65" s="7"/>
      <c r="I65" s="3"/>
      <c r="J65" s="8">
        <f t="shared" si="37"/>
        <v>0</v>
      </c>
      <c r="K65" s="3"/>
      <c r="L65" s="7">
        <f t="shared" si="38"/>
        <v>9.75</v>
      </c>
      <c r="M65" s="3"/>
      <c r="N65" s="8">
        <f t="shared" si="39"/>
        <v>0</v>
      </c>
      <c r="O65" s="12"/>
      <c r="P65" s="7">
        <v>9.75</v>
      </c>
      <c r="Q65" s="3"/>
      <c r="R65" s="8">
        <f t="shared" si="40"/>
        <v>0</v>
      </c>
      <c r="S65" s="3"/>
      <c r="T65" s="7"/>
      <c r="U65" s="3"/>
      <c r="V65" s="8">
        <f t="shared" si="41"/>
        <v>0</v>
      </c>
      <c r="W65" s="3"/>
      <c r="X65" s="7">
        <f t="shared" si="42"/>
        <v>9.75</v>
      </c>
      <c r="Y65" s="3"/>
      <c r="Z65" s="8">
        <f t="shared" si="43"/>
        <v>0</v>
      </c>
    </row>
    <row r="66" spans="1:26" s="54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2" customFormat="1" collapsed="1" x14ac:dyDescent="0.25">
      <c r="A67" s="10"/>
      <c r="B67" s="26" t="s">
        <v>0</v>
      </c>
      <c r="C67" s="10"/>
      <c r="D67" s="4">
        <f>SUM(OSRRefD25x_0)</f>
        <v>0</v>
      </c>
      <c r="E67" s="4"/>
      <c r="F67" s="11">
        <f t="shared" ref="F67:F70" si="44">IF(D$12=0,0,D67/D$12)</f>
        <v>0</v>
      </c>
      <c r="G67" s="4"/>
      <c r="H67" s="4">
        <f>SUM(OSRRefH25x_0)</f>
        <v>0</v>
      </c>
      <c r="I67" s="4"/>
      <c r="J67" s="11">
        <f t="shared" ref="J67:J70" si="45">IF(H$12=0,0,H67/H$12)</f>
        <v>0</v>
      </c>
      <c r="K67" s="4"/>
      <c r="L67" s="4">
        <f t="shared" ref="L67:L70" si="46">+D67-H67</f>
        <v>0</v>
      </c>
      <c r="M67" s="4"/>
      <c r="N67" s="11">
        <f t="shared" ref="N67:N70" si="47">IF(H67=0,0,L67/H67)</f>
        <v>0</v>
      </c>
      <c r="O67" s="10"/>
      <c r="P67" s="4">
        <f>SUM(OSRRefP25x_0)</f>
        <v>0</v>
      </c>
      <c r="Q67" s="4"/>
      <c r="R67" s="11">
        <f t="shared" ref="R67:R70" si="48">IF(P$12=0,0,P67/P$12)</f>
        <v>0</v>
      </c>
      <c r="S67" s="4"/>
      <c r="T67" s="4">
        <f>SUM(OSRRefT25x_0)</f>
        <v>0</v>
      </c>
      <c r="U67" s="4"/>
      <c r="V67" s="11">
        <f t="shared" ref="V67:V70" si="49">IF(T$12=0,0,T67/T$12)</f>
        <v>0</v>
      </c>
      <c r="W67" s="4"/>
      <c r="X67" s="4">
        <f t="shared" ref="X67:X70" si="50">+P67-T67</f>
        <v>0</v>
      </c>
      <c r="Y67" s="4"/>
      <c r="Z67" s="11">
        <f t="shared" ref="Z67:Z70" si="51">IF(T67=0,0,X67/T67)</f>
        <v>0</v>
      </c>
    </row>
    <row r="68" spans="1:26" s="24" customFormat="1" hidden="1" outlineLevel="1" x14ac:dyDescent="0.25">
      <c r="A68" s="51"/>
      <c r="B68" s="12" t="str">
        <f>CONCATENATE("          ", "9150", " - ", "MISC. INCOME")</f>
        <v xml:space="preserve">          9150 - MISC. INCOME</v>
      </c>
      <c r="C68" s="12"/>
      <c r="D68" s="3">
        <f t="shared" ref="D68:D70" si="52">0</f>
        <v>0</v>
      </c>
      <c r="E68" s="3"/>
      <c r="F68" s="23">
        <f t="shared" si="44"/>
        <v>0</v>
      </c>
      <c r="G68" s="3"/>
      <c r="H68" s="3">
        <v>0</v>
      </c>
      <c r="I68" s="3"/>
      <c r="J68" s="23">
        <f t="shared" si="45"/>
        <v>0</v>
      </c>
      <c r="K68" s="3"/>
      <c r="L68" s="3">
        <f t="shared" si="46"/>
        <v>0</v>
      </c>
      <c r="M68" s="3"/>
      <c r="N68" s="23">
        <f t="shared" si="47"/>
        <v>0</v>
      </c>
      <c r="O68" s="12"/>
      <c r="P68" s="3">
        <f t="shared" ref="P68:P70" si="53">0</f>
        <v>0</v>
      </c>
      <c r="Q68" s="3"/>
      <c r="R68" s="23">
        <f t="shared" si="48"/>
        <v>0</v>
      </c>
      <c r="S68" s="3"/>
      <c r="T68" s="3">
        <v>0</v>
      </c>
      <c r="U68" s="3"/>
      <c r="V68" s="23">
        <f t="shared" si="49"/>
        <v>0</v>
      </c>
      <c r="W68" s="3"/>
      <c r="X68" s="3">
        <f t="shared" si="50"/>
        <v>0</v>
      </c>
      <c r="Y68" s="3"/>
      <c r="Z68" s="23">
        <f t="shared" si="51"/>
        <v>0</v>
      </c>
    </row>
    <row r="69" spans="1:26" s="24" customFormat="1" hidden="1" outlineLevel="1" x14ac:dyDescent="0.25">
      <c r="A69" s="51"/>
      <c r="B69" s="12" t="str">
        <f>CONCATENATE("          ", "9151", " - ", "MISC. INCOME")</f>
        <v xml:space="preserve">          9151 - MISC. INCOME</v>
      </c>
      <c r="C69" s="12"/>
      <c r="D69" s="3">
        <f t="shared" si="52"/>
        <v>0</v>
      </c>
      <c r="E69" s="3"/>
      <c r="F69" s="23">
        <f t="shared" si="44"/>
        <v>0</v>
      </c>
      <c r="G69" s="3"/>
      <c r="H69" s="3">
        <v>0</v>
      </c>
      <c r="I69" s="3"/>
      <c r="J69" s="23">
        <f t="shared" si="45"/>
        <v>0</v>
      </c>
      <c r="K69" s="3"/>
      <c r="L69" s="3">
        <f t="shared" si="46"/>
        <v>0</v>
      </c>
      <c r="M69" s="3"/>
      <c r="N69" s="23">
        <f t="shared" si="47"/>
        <v>0</v>
      </c>
      <c r="O69" s="12"/>
      <c r="P69" s="3">
        <f t="shared" si="53"/>
        <v>0</v>
      </c>
      <c r="Q69" s="3"/>
      <c r="R69" s="23">
        <f t="shared" si="48"/>
        <v>0</v>
      </c>
      <c r="S69" s="3"/>
      <c r="T69" s="3">
        <v>0</v>
      </c>
      <c r="U69" s="3"/>
      <c r="V69" s="23">
        <f t="shared" si="49"/>
        <v>0</v>
      </c>
      <c r="W69" s="3"/>
      <c r="X69" s="3">
        <f t="shared" si="50"/>
        <v>0</v>
      </c>
      <c r="Y69" s="3"/>
      <c r="Z69" s="23">
        <f t="shared" si="51"/>
        <v>0</v>
      </c>
    </row>
    <row r="70" spans="1:26" s="24" customFormat="1" hidden="1" outlineLevel="1" x14ac:dyDescent="0.25">
      <c r="A70" s="51"/>
      <c r="B70" s="12" t="str">
        <f>CONCATENATE("          ", "9160", " - ", "MISC. INCOME")</f>
        <v xml:space="preserve">          9160 - MISC. INCOME</v>
      </c>
      <c r="C70" s="12"/>
      <c r="D70" s="3">
        <f t="shared" si="52"/>
        <v>0</v>
      </c>
      <c r="E70" s="3"/>
      <c r="F70" s="23">
        <f t="shared" si="44"/>
        <v>0</v>
      </c>
      <c r="G70" s="3"/>
      <c r="H70" s="3">
        <v>0</v>
      </c>
      <c r="I70" s="3"/>
      <c r="J70" s="23">
        <f t="shared" si="45"/>
        <v>0</v>
      </c>
      <c r="K70" s="3"/>
      <c r="L70" s="3">
        <f t="shared" si="46"/>
        <v>0</v>
      </c>
      <c r="M70" s="3"/>
      <c r="N70" s="23">
        <f t="shared" si="47"/>
        <v>0</v>
      </c>
      <c r="O70" s="12"/>
      <c r="P70" s="3">
        <f t="shared" si="53"/>
        <v>0</v>
      </c>
      <c r="Q70" s="3"/>
      <c r="R70" s="23">
        <f t="shared" si="48"/>
        <v>0</v>
      </c>
      <c r="S70" s="3"/>
      <c r="T70" s="3">
        <v>0</v>
      </c>
      <c r="U70" s="3"/>
      <c r="V70" s="23">
        <f t="shared" si="49"/>
        <v>0</v>
      </c>
      <c r="W70" s="3"/>
      <c r="X70" s="3">
        <f t="shared" si="50"/>
        <v>0</v>
      </c>
      <c r="Y70" s="3"/>
      <c r="Z70" s="23">
        <f t="shared" si="51"/>
        <v>0</v>
      </c>
    </row>
    <row r="71" spans="1:26" x14ac:dyDescent="0.25">
      <c r="A71" s="9"/>
      <c r="B71" s="10"/>
      <c r="C71" s="10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10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2" customFormat="1" x14ac:dyDescent="0.25">
      <c r="A72" s="10"/>
      <c r="B72" s="25" t="s">
        <v>3</v>
      </c>
      <c r="C72" s="25"/>
      <c r="D72" s="21">
        <f>+D17-D19+D67</f>
        <v>-39398.04</v>
      </c>
      <c r="E72" s="13"/>
      <c r="F72" s="20">
        <f>IF(D$12=0,0,D72/D$12)</f>
        <v>0</v>
      </c>
      <c r="G72" s="13"/>
      <c r="H72" s="21">
        <f>+H17-H19+H67</f>
        <v>-49708.56951923079</v>
      </c>
      <c r="I72" s="13"/>
      <c r="J72" s="20">
        <f>IF(H$12=0,0,H72/H$12)</f>
        <v>0</v>
      </c>
      <c r="K72" s="15"/>
      <c r="L72" s="21">
        <f>+D72-H72</f>
        <v>10310.529519230789</v>
      </c>
      <c r="M72" s="15"/>
      <c r="N72" s="20">
        <f>IF(H72=0,0,L72/H72)</f>
        <v>-0.20741955801488005</v>
      </c>
      <c r="O72" s="26"/>
      <c r="P72" s="21">
        <f>+P17-P19+P67</f>
        <v>-39398.04</v>
      </c>
      <c r="Q72" s="13"/>
      <c r="R72" s="20">
        <f>IF(P$12=0,0,P72/P$12)</f>
        <v>0</v>
      </c>
      <c r="S72" s="13"/>
      <c r="T72" s="21">
        <f>+T17-T19+T67</f>
        <v>-49708.56951923079</v>
      </c>
      <c r="U72" s="13"/>
      <c r="V72" s="20">
        <f>IF(T$12=0,0,T72/T$12)</f>
        <v>0</v>
      </c>
      <c r="W72" s="15"/>
      <c r="X72" s="21">
        <f>+P72-T72</f>
        <v>10310.529519230789</v>
      </c>
      <c r="Y72" s="15"/>
      <c r="Z72" s="20">
        <f>IF(T72=0,0,X72/T72)</f>
        <v>-0.20741955801488005</v>
      </c>
    </row>
    <row r="73" spans="1:26" x14ac:dyDescent="0.25">
      <c r="A73" s="9"/>
      <c r="B73" s="10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2" customFormat="1" x14ac:dyDescent="0.25">
      <c r="A74" s="52"/>
      <c r="B74" s="10" t="s">
        <v>14</v>
      </c>
      <c r="C74" s="10"/>
      <c r="D74" s="4"/>
      <c r="E74" s="4"/>
      <c r="F74" s="11">
        <f>IF(D$12=0,0,D74/D$12)</f>
        <v>0</v>
      </c>
      <c r="G74" s="4"/>
      <c r="H74" s="4"/>
      <c r="I74" s="4"/>
      <c r="J74" s="11">
        <f>IF(H$12=0,0,H74/H$12)</f>
        <v>0</v>
      </c>
      <c r="K74" s="4"/>
      <c r="L74" s="4">
        <f>+D74-H74</f>
        <v>0</v>
      </c>
      <c r="M74" s="4"/>
      <c r="N74" s="11">
        <f>IF(H74=0,0,L74/H74)</f>
        <v>0</v>
      </c>
      <c r="O74" s="10"/>
      <c r="P74" s="4"/>
      <c r="Q74" s="4"/>
      <c r="R74" s="11">
        <f>IF(P$12=0,0,P74/P$12)</f>
        <v>0</v>
      </c>
      <c r="S74" s="4"/>
      <c r="T74" s="4"/>
      <c r="U74" s="4"/>
      <c r="V74" s="11">
        <f>IF(T$12=0,0,T74/T$12)</f>
        <v>0</v>
      </c>
      <c r="W74" s="4"/>
      <c r="X74" s="4">
        <f>+P74-T74</f>
        <v>0</v>
      </c>
      <c r="Y74" s="4"/>
      <c r="Z74" s="11">
        <f>IF(T74=0,0,X74/T74)</f>
        <v>0</v>
      </c>
    </row>
    <row r="75" spans="1:26" x14ac:dyDescent="0.25">
      <c r="A75" s="9"/>
      <c r="B75" s="10"/>
      <c r="C75" s="10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10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2" customFormat="1" ht="15.75" thickBot="1" x14ac:dyDescent="0.3">
      <c r="A76" s="10"/>
      <c r="B76" s="25" t="s">
        <v>4</v>
      </c>
      <c r="C76" s="25"/>
      <c r="D76" s="34">
        <f>+D72-D74</f>
        <v>-39398.04</v>
      </c>
      <c r="E76" s="13"/>
      <c r="F76" s="30">
        <f>IF(D$12=0,0,D76/D$12)</f>
        <v>0</v>
      </c>
      <c r="G76" s="13"/>
      <c r="H76" s="34">
        <f>+H72-H74</f>
        <v>-49708.56951923079</v>
      </c>
      <c r="I76" s="13"/>
      <c r="J76" s="30">
        <f>IF(H$12=0,0,H76/H$12)</f>
        <v>0</v>
      </c>
      <c r="K76" s="15"/>
      <c r="L76" s="34">
        <f>D76-H76</f>
        <v>10310.529519230789</v>
      </c>
      <c r="M76" s="15"/>
      <c r="N76" s="30">
        <f>IF(H76=0,0,L76/H76)</f>
        <v>-0.20741955801488005</v>
      </c>
      <c r="O76" s="26"/>
      <c r="P76" s="34">
        <f>+P72-P74</f>
        <v>-39398.04</v>
      </c>
      <c r="Q76" s="13"/>
      <c r="R76" s="30">
        <f>IF(P$12=0,0,P76/P$12)</f>
        <v>0</v>
      </c>
      <c r="S76" s="13"/>
      <c r="T76" s="34">
        <f>+T72-T74</f>
        <v>-49708.56951923079</v>
      </c>
      <c r="U76" s="13"/>
      <c r="V76" s="30">
        <f>IF(T$12=0,0,T76/T$12)</f>
        <v>0</v>
      </c>
      <c r="W76" s="15"/>
      <c r="X76" s="34">
        <f>P76-T76</f>
        <v>10310.529519230789</v>
      </c>
      <c r="Y76" s="15"/>
      <c r="Z76" s="30">
        <f>IF(T76=0,0,X76/T76)</f>
        <v>-0.20741955801488005</v>
      </c>
    </row>
    <row r="77" spans="1:26" ht="15.75" thickTop="1" x14ac:dyDescent="0.25">
      <c r="A77" s="9"/>
      <c r="B77" s="9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x14ac:dyDescent="0.25">
      <c r="A78" s="9"/>
      <c r="B78" s="9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2" customFormat="1" ht="15.75" thickBot="1" x14ac:dyDescent="0.3">
      <c r="A79" s="10"/>
      <c r="B79" s="25" t="s">
        <v>5</v>
      </c>
      <c r="C79" s="25"/>
      <c r="D79" s="32">
        <f>SUM(D76:D78)</f>
        <v>-39398.04</v>
      </c>
      <c r="E79" s="13"/>
      <c r="F79" s="33">
        <f>IF(D$12=0,0,D79/D$12)</f>
        <v>0</v>
      </c>
      <c r="G79" s="13"/>
      <c r="H79" s="32">
        <f>SUM(H76:H78)</f>
        <v>-49708.56951923079</v>
      </c>
      <c r="I79" s="13"/>
      <c r="J79" s="33">
        <f>IF(H$12=0,0,H79/H$12)</f>
        <v>0</v>
      </c>
      <c r="K79" s="15"/>
      <c r="L79" s="32">
        <f>+D79-H79</f>
        <v>10310.529519230789</v>
      </c>
      <c r="M79" s="15"/>
      <c r="N79" s="33">
        <f>IF(H79=0,0,L79/H79)</f>
        <v>-0.20741955801488005</v>
      </c>
      <c r="O79" s="26"/>
      <c r="P79" s="32">
        <f>SUM(P76:P78)</f>
        <v>-39398.04</v>
      </c>
      <c r="Q79" s="13"/>
      <c r="R79" s="33">
        <f>IF(P$12=0,0,P79/P$12)</f>
        <v>0</v>
      </c>
      <c r="S79" s="13"/>
      <c r="T79" s="32">
        <f>SUM(T76:T78)</f>
        <v>-49708.56951923079</v>
      </c>
      <c r="U79" s="13"/>
      <c r="V79" s="33">
        <f>IF(T$12=0,0,T79/T$12)</f>
        <v>0</v>
      </c>
      <c r="W79" s="15"/>
      <c r="X79" s="32">
        <f>+P79-T79</f>
        <v>10310.529519230789</v>
      </c>
      <c r="Y79" s="15"/>
      <c r="Z79" s="33">
        <f>IF(T79=0,0,X79/T79)</f>
        <v>-0.20741955801488005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8">
        <v>44104.685731168982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6" t="s">
        <v>314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62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","203", " - ", "Human Resources")</f>
        <v>Department 203 - Human Resources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51043.509999999995</v>
      </c>
      <c r="E18" s="19"/>
      <c r="F18" s="31">
        <f t="shared" ref="F18:F29" si="0">IF(D$12=0,0,D18/D$12)</f>
        <v>0</v>
      </c>
      <c r="G18" s="19"/>
      <c r="H18" s="19">
        <f>SUM(OSRRefH22x_0)</f>
        <v>59113.15723076927</v>
      </c>
      <c r="I18" s="19"/>
      <c r="J18" s="31">
        <f t="shared" ref="J18:J29" si="1">IF(H$12=0,0,H18/H$12)</f>
        <v>0</v>
      </c>
      <c r="K18" s="4"/>
      <c r="L18" s="19">
        <f t="shared" ref="L18:L29" si="2">+D18-H18</f>
        <v>-8069.6472307692748</v>
      </c>
      <c r="M18" s="4"/>
      <c r="N18" s="31">
        <f t="shared" ref="N18:N29" si="3">IF(H18=0,0,L18/H18)</f>
        <v>-0.13651186315876399</v>
      </c>
      <c r="O18" s="10"/>
      <c r="P18" s="19">
        <f>SUM(OSRRefP22x_0)</f>
        <v>51043.509999999995</v>
      </c>
      <c r="Q18" s="19"/>
      <c r="R18" s="31">
        <f t="shared" ref="R18:R29" si="4">IF(P$12=0,0,P18/P$12)</f>
        <v>0</v>
      </c>
      <c r="S18" s="19"/>
      <c r="T18" s="19">
        <f>SUM(OSRRefT22x_0)</f>
        <v>59113.15723076927</v>
      </c>
      <c r="U18" s="19"/>
      <c r="V18" s="31">
        <f t="shared" ref="V18:V29" si="5">IF(T$12=0,0,T18/T$12)</f>
        <v>0</v>
      </c>
      <c r="W18" s="4"/>
      <c r="X18" s="19">
        <f t="shared" ref="X18:X29" si="6">+P18-T18</f>
        <v>-8069.6472307692748</v>
      </c>
      <c r="Y18" s="4"/>
      <c r="Z18" s="31">
        <f t="shared" ref="Z18:Z29" si="7">IF(T18=0,0,X18/T18)</f>
        <v>-0.13651186315876399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12511.789999999999</v>
      </c>
      <c r="E19" s="1"/>
      <c r="F19" s="5">
        <f t="shared" si="0"/>
        <v>0</v>
      </c>
      <c r="G19" s="1"/>
      <c r="H19" s="1">
        <f>SUM(OSRRefH22_0x_0)</f>
        <v>12518.618769230772</v>
      </c>
      <c r="I19" s="1"/>
      <c r="J19" s="5">
        <f t="shared" si="1"/>
        <v>0</v>
      </c>
      <c r="K19" s="1"/>
      <c r="L19" s="1">
        <f t="shared" si="2"/>
        <v>-6.8287692307731049</v>
      </c>
      <c r="M19" s="1"/>
      <c r="N19" s="5">
        <f t="shared" si="3"/>
        <v>-5.4548903170990252E-4</v>
      </c>
      <c r="O19" s="14"/>
      <c r="P19" s="1">
        <f>SUM(OSRRefP22_0x_0)</f>
        <v>12511.789999999999</v>
      </c>
      <c r="Q19" s="1"/>
      <c r="R19" s="5">
        <f t="shared" si="4"/>
        <v>0</v>
      </c>
      <c r="S19" s="1"/>
      <c r="T19" s="1">
        <f>SUM(OSRRefT22_0x_0)</f>
        <v>12518.618769230772</v>
      </c>
      <c r="U19" s="1"/>
      <c r="V19" s="5">
        <f t="shared" si="5"/>
        <v>0</v>
      </c>
      <c r="W19" s="1"/>
      <c r="X19" s="1">
        <f t="shared" si="6"/>
        <v>-6.8287692307731049</v>
      </c>
      <c r="Y19" s="1"/>
      <c r="Z19" s="5">
        <f t="shared" si="7"/>
        <v>-5.4548903170990252E-4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1951.71</v>
      </c>
      <c r="E20" s="3"/>
      <c r="F20" s="8">
        <f t="shared" si="0"/>
        <v>0</v>
      </c>
      <c r="G20" s="3"/>
      <c r="H20" s="7">
        <v>1898.23834615385</v>
      </c>
      <c r="I20" s="3"/>
      <c r="J20" s="8">
        <f t="shared" si="1"/>
        <v>0</v>
      </c>
      <c r="K20" s="3"/>
      <c r="L20" s="7">
        <f t="shared" si="2"/>
        <v>53.471653846150048</v>
      </c>
      <c r="M20" s="3"/>
      <c r="N20" s="8">
        <f t="shared" si="3"/>
        <v>2.816909370443001E-2</v>
      </c>
      <c r="O20" s="12"/>
      <c r="P20" s="7">
        <v>1951.71</v>
      </c>
      <c r="Q20" s="3"/>
      <c r="R20" s="8">
        <f t="shared" si="4"/>
        <v>0</v>
      </c>
      <c r="S20" s="3"/>
      <c r="T20" s="7">
        <v>1898.23834615385</v>
      </c>
      <c r="U20" s="3"/>
      <c r="V20" s="8">
        <f t="shared" si="5"/>
        <v>0</v>
      </c>
      <c r="W20" s="3"/>
      <c r="X20" s="7">
        <f t="shared" si="6"/>
        <v>53.471653846150048</v>
      </c>
      <c r="Y20" s="3"/>
      <c r="Z20" s="8">
        <f t="shared" si="7"/>
        <v>2.816909370443001E-2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83.99</v>
      </c>
      <c r="E21" s="3"/>
      <c r="F21" s="8">
        <f t="shared" si="0"/>
        <v>0</v>
      </c>
      <c r="G21" s="3"/>
      <c r="H21" s="7">
        <v>113.91219230769201</v>
      </c>
      <c r="I21" s="3"/>
      <c r="J21" s="8">
        <f t="shared" si="1"/>
        <v>0</v>
      </c>
      <c r="K21" s="3"/>
      <c r="L21" s="7">
        <f t="shared" si="2"/>
        <v>-29.922192307692015</v>
      </c>
      <c r="M21" s="3"/>
      <c r="N21" s="8">
        <f t="shared" si="3"/>
        <v>-0.26267769675495478</v>
      </c>
      <c r="O21" s="12"/>
      <c r="P21" s="7">
        <v>83.99</v>
      </c>
      <c r="Q21" s="3"/>
      <c r="R21" s="8">
        <f t="shared" si="4"/>
        <v>0</v>
      </c>
      <c r="S21" s="3"/>
      <c r="T21" s="7">
        <v>113.91219230769201</v>
      </c>
      <c r="U21" s="3"/>
      <c r="V21" s="8">
        <f t="shared" si="5"/>
        <v>0</v>
      </c>
      <c r="W21" s="3"/>
      <c r="X21" s="7">
        <f t="shared" si="6"/>
        <v>-29.922192307692015</v>
      </c>
      <c r="Y21" s="3"/>
      <c r="Z21" s="8">
        <f t="shared" si="7"/>
        <v>-0.26267769675495478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6091.67</v>
      </c>
      <c r="E22" s="3"/>
      <c r="F22" s="8">
        <f t="shared" si="0"/>
        <v>0</v>
      </c>
      <c r="G22" s="3"/>
      <c r="H22" s="7">
        <v>6549.2307692307704</v>
      </c>
      <c r="I22" s="3"/>
      <c r="J22" s="8">
        <f t="shared" si="1"/>
        <v>0</v>
      </c>
      <c r="K22" s="3"/>
      <c r="L22" s="7">
        <f t="shared" si="2"/>
        <v>-457.56076923077035</v>
      </c>
      <c r="M22" s="3"/>
      <c r="N22" s="8">
        <f t="shared" si="3"/>
        <v>-6.9864810899694776E-2</v>
      </c>
      <c r="O22" s="12"/>
      <c r="P22" s="7">
        <v>6091.67</v>
      </c>
      <c r="Q22" s="3"/>
      <c r="R22" s="8">
        <f t="shared" si="4"/>
        <v>0</v>
      </c>
      <c r="S22" s="3"/>
      <c r="T22" s="7">
        <v>6549.2307692307704</v>
      </c>
      <c r="U22" s="3"/>
      <c r="V22" s="8">
        <f t="shared" si="5"/>
        <v>0</v>
      </c>
      <c r="W22" s="3"/>
      <c r="X22" s="7">
        <f t="shared" si="6"/>
        <v>-457.56076923077035</v>
      </c>
      <c r="Y22" s="3"/>
      <c r="Z22" s="8">
        <f t="shared" si="7"/>
        <v>-6.9864810899694776E-2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66.17</v>
      </c>
      <c r="E23" s="3"/>
      <c r="F23" s="8">
        <f t="shared" si="0"/>
        <v>0</v>
      </c>
      <c r="G23" s="3"/>
      <c r="H23" s="7">
        <v>89.748999999999995</v>
      </c>
      <c r="I23" s="3"/>
      <c r="J23" s="8">
        <f t="shared" si="1"/>
        <v>0</v>
      </c>
      <c r="K23" s="3"/>
      <c r="L23" s="7">
        <f t="shared" si="2"/>
        <v>-23.578999999999994</v>
      </c>
      <c r="M23" s="3"/>
      <c r="N23" s="8">
        <f t="shared" si="3"/>
        <v>-0.26272159021270425</v>
      </c>
      <c r="O23" s="12"/>
      <c r="P23" s="7">
        <v>66.17</v>
      </c>
      <c r="Q23" s="3"/>
      <c r="R23" s="8">
        <f t="shared" si="4"/>
        <v>0</v>
      </c>
      <c r="S23" s="3"/>
      <c r="T23" s="7">
        <v>89.748999999999995</v>
      </c>
      <c r="U23" s="3"/>
      <c r="V23" s="8">
        <f t="shared" si="5"/>
        <v>0</v>
      </c>
      <c r="W23" s="3"/>
      <c r="X23" s="7">
        <f t="shared" si="6"/>
        <v>-23.578999999999994</v>
      </c>
      <c r="Y23" s="3"/>
      <c r="Z23" s="8">
        <f t="shared" si="7"/>
        <v>-0.26272159021270425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1637.22</v>
      </c>
      <c r="E24" s="3"/>
      <c r="F24" s="8">
        <f t="shared" si="0"/>
        <v>0</v>
      </c>
      <c r="G24" s="3"/>
      <c r="H24" s="7">
        <v>1066.73076923077</v>
      </c>
      <c r="I24" s="3"/>
      <c r="J24" s="8">
        <f t="shared" si="1"/>
        <v>0</v>
      </c>
      <c r="K24" s="3"/>
      <c r="L24" s="7">
        <f t="shared" si="2"/>
        <v>570.48923076923006</v>
      </c>
      <c r="M24" s="3"/>
      <c r="N24" s="8">
        <f t="shared" si="3"/>
        <v>0.53480151433207035</v>
      </c>
      <c r="O24" s="12"/>
      <c r="P24" s="7">
        <v>1637.22</v>
      </c>
      <c r="Q24" s="3"/>
      <c r="R24" s="8">
        <f t="shared" si="4"/>
        <v>0</v>
      </c>
      <c r="S24" s="3"/>
      <c r="T24" s="7">
        <v>1066.73076923077</v>
      </c>
      <c r="U24" s="3"/>
      <c r="V24" s="8">
        <f t="shared" si="5"/>
        <v>0</v>
      </c>
      <c r="W24" s="3"/>
      <c r="X24" s="7">
        <f t="shared" si="6"/>
        <v>570.48923076923006</v>
      </c>
      <c r="Y24" s="3"/>
      <c r="Z24" s="8">
        <f t="shared" si="7"/>
        <v>0.53480151433207035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"6117", " - ", "RETIREMENT STAFF HOURLY")</f>
        <v xml:space="preserve">          6117 - RETIREMENT STAFF HOURLY</v>
      </c>
      <c r="C26" s="12"/>
      <c r="D26" s="7">
        <v>829.22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829.22</v>
      </c>
      <c r="M26" s="3"/>
      <c r="N26" s="8">
        <f t="shared" si="3"/>
        <v>0</v>
      </c>
      <c r="O26" s="12"/>
      <c r="P26" s="7">
        <v>829.22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829.22</v>
      </c>
      <c r="Y26" s="3"/>
      <c r="Z26" s="8">
        <f t="shared" si="7"/>
        <v>0</v>
      </c>
    </row>
    <row r="27" spans="1:26" s="24" customFormat="1" hidden="1" outlineLevel="2" x14ac:dyDescent="0.25">
      <c r="A27" s="27"/>
      <c r="B27" s="12" t="str">
        <f>CONCATENATE("          ", "6118", " - ", "VACATION")</f>
        <v xml:space="preserve">          6118 - VACATION</v>
      </c>
      <c r="C27" s="12"/>
      <c r="D27" s="7">
        <v>935.69</v>
      </c>
      <c r="E27" s="3"/>
      <c r="F27" s="8">
        <f t="shared" si="0"/>
        <v>0</v>
      </c>
      <c r="G27" s="3"/>
      <c r="H27" s="7">
        <v>1240.1923076923101</v>
      </c>
      <c r="I27" s="3"/>
      <c r="J27" s="8">
        <f t="shared" si="1"/>
        <v>0</v>
      </c>
      <c r="K27" s="3"/>
      <c r="L27" s="7">
        <f t="shared" si="2"/>
        <v>-304.50230769231007</v>
      </c>
      <c r="M27" s="3"/>
      <c r="N27" s="8">
        <f t="shared" si="3"/>
        <v>-0.24552829896108067</v>
      </c>
      <c r="O27" s="12"/>
      <c r="P27" s="7">
        <v>935.69</v>
      </c>
      <c r="Q27" s="3"/>
      <c r="R27" s="8">
        <f t="shared" si="4"/>
        <v>0</v>
      </c>
      <c r="S27" s="3"/>
      <c r="T27" s="7">
        <v>1240.1923076923101</v>
      </c>
      <c r="U27" s="3"/>
      <c r="V27" s="8">
        <f t="shared" si="5"/>
        <v>0</v>
      </c>
      <c r="W27" s="3"/>
      <c r="X27" s="7">
        <f t="shared" si="6"/>
        <v>-304.50230769231007</v>
      </c>
      <c r="Y27" s="3"/>
      <c r="Z27" s="8">
        <f t="shared" si="7"/>
        <v>-0.24552829896108067</v>
      </c>
    </row>
    <row r="28" spans="1:26" s="24" customFormat="1" hidden="1" outlineLevel="2" x14ac:dyDescent="0.25">
      <c r="A28" s="27"/>
      <c r="B28" s="12" t="str">
        <f>CONCATENATE("          ", "6119", " - ", "SICK LEAVE")</f>
        <v xml:space="preserve">          6119 - SICK LEAVE</v>
      </c>
      <c r="C28" s="12"/>
      <c r="D28" s="7">
        <v>908.12</v>
      </c>
      <c r="E28" s="3"/>
      <c r="F28" s="8">
        <f t="shared" si="0"/>
        <v>0</v>
      </c>
      <c r="G28" s="3"/>
      <c r="H28" s="7">
        <v>1035.56538461538</v>
      </c>
      <c r="I28" s="3"/>
      <c r="J28" s="8">
        <f t="shared" si="1"/>
        <v>0</v>
      </c>
      <c r="K28" s="3"/>
      <c r="L28" s="7">
        <f t="shared" si="2"/>
        <v>-127.44538461538002</v>
      </c>
      <c r="M28" s="3"/>
      <c r="N28" s="8">
        <f t="shared" si="3"/>
        <v>-0.12306840930446375</v>
      </c>
      <c r="O28" s="12"/>
      <c r="P28" s="7">
        <v>908.12</v>
      </c>
      <c r="Q28" s="3"/>
      <c r="R28" s="8">
        <f t="shared" si="4"/>
        <v>0</v>
      </c>
      <c r="S28" s="3"/>
      <c r="T28" s="7">
        <v>1035.56538461538</v>
      </c>
      <c r="U28" s="3"/>
      <c r="V28" s="8">
        <f t="shared" si="5"/>
        <v>0</v>
      </c>
      <c r="W28" s="3"/>
      <c r="X28" s="7">
        <f t="shared" si="6"/>
        <v>-127.44538461538002</v>
      </c>
      <c r="Y28" s="3"/>
      <c r="Z28" s="8">
        <f t="shared" si="7"/>
        <v>-0.12306840930446375</v>
      </c>
    </row>
    <row r="29" spans="1:26" s="24" customFormat="1" hidden="1" outlineLevel="2" x14ac:dyDescent="0.25">
      <c r="A29" s="27"/>
      <c r="B29" s="12" t="str">
        <f>CONCATENATE("          ", "6156", " - ", "EMPLOYEE MEALS")</f>
        <v xml:space="preserve">          6156 - EMPLOYEE MEALS</v>
      </c>
      <c r="C29" s="12"/>
      <c r="D29" s="7">
        <v>8</v>
      </c>
      <c r="E29" s="3"/>
      <c r="F29" s="8">
        <f t="shared" si="0"/>
        <v>0</v>
      </c>
      <c r="G29" s="3"/>
      <c r="H29" s="7">
        <v>525</v>
      </c>
      <c r="I29" s="3"/>
      <c r="J29" s="8">
        <f t="shared" si="1"/>
        <v>0</v>
      </c>
      <c r="K29" s="3"/>
      <c r="L29" s="7">
        <f t="shared" si="2"/>
        <v>-517</v>
      </c>
      <c r="M29" s="3"/>
      <c r="N29" s="8">
        <f t="shared" si="3"/>
        <v>-0.98476190476190473</v>
      </c>
      <c r="O29" s="12"/>
      <c r="P29" s="7">
        <v>8</v>
      </c>
      <c r="Q29" s="3"/>
      <c r="R29" s="8">
        <f t="shared" si="4"/>
        <v>0</v>
      </c>
      <c r="S29" s="3"/>
      <c r="T29" s="7">
        <v>525</v>
      </c>
      <c r="U29" s="3"/>
      <c r="V29" s="8">
        <f t="shared" si="5"/>
        <v>0</v>
      </c>
      <c r="W29" s="3"/>
      <c r="X29" s="7">
        <f t="shared" si="6"/>
        <v>-517</v>
      </c>
      <c r="Y29" s="3"/>
      <c r="Z29" s="8">
        <f t="shared" si="7"/>
        <v>-0.98476190476190473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31451</v>
      </c>
      <c r="E30" s="1"/>
      <c r="F30" s="5">
        <f t="shared" ref="F30:F40" si="8">IF(D$12=0,0,D30/D$12)</f>
        <v>0</v>
      </c>
      <c r="G30" s="1"/>
      <c r="H30" s="1">
        <f>SUM(OSRRefH22_1x_0)</f>
        <v>32534.538461538501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-1083.538461538501</v>
      </c>
      <c r="M30" s="1"/>
      <c r="N30" s="5">
        <f t="shared" ref="N30:N40" si="11">IF(H30=0,0,L30/H30)</f>
        <v>-3.3304251812867502E-2</v>
      </c>
      <c r="O30" s="14"/>
      <c r="P30" s="1">
        <f>SUM(OSRRefP22_1x_0)</f>
        <v>31451</v>
      </c>
      <c r="Q30" s="1"/>
      <c r="R30" s="5">
        <f t="shared" ref="R30:R40" si="12">IF(P$12=0,0,P30/P$12)</f>
        <v>0</v>
      </c>
      <c r="S30" s="1"/>
      <c r="T30" s="1">
        <f>SUM(OSRRefT22_1x_0)</f>
        <v>32534.538461538501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-1083.538461538501</v>
      </c>
      <c r="Y30" s="1"/>
      <c r="Z30" s="5">
        <f t="shared" ref="Z30:Z40" si="15">IF(T30=0,0,X30/T30)</f>
        <v>-3.3304251812867502E-2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>
        <v>11873.95</v>
      </c>
      <c r="E31" s="3"/>
      <c r="F31" s="8">
        <f t="shared" si="8"/>
        <v>0</v>
      </c>
      <c r="G31" s="3"/>
      <c r="H31" s="7">
        <v>11411.538461538501</v>
      </c>
      <c r="I31" s="3"/>
      <c r="J31" s="8">
        <f t="shared" si="9"/>
        <v>0</v>
      </c>
      <c r="K31" s="3"/>
      <c r="L31" s="7">
        <f t="shared" si="10"/>
        <v>462.41153846149973</v>
      </c>
      <c r="M31" s="3"/>
      <c r="N31" s="8">
        <f t="shared" si="11"/>
        <v>4.0521402089649314E-2</v>
      </c>
      <c r="O31" s="12"/>
      <c r="P31" s="7">
        <v>11873.95</v>
      </c>
      <c r="Q31" s="3"/>
      <c r="R31" s="8">
        <f t="shared" si="12"/>
        <v>0</v>
      </c>
      <c r="S31" s="3"/>
      <c r="T31" s="7">
        <v>11411.538461538501</v>
      </c>
      <c r="U31" s="3"/>
      <c r="V31" s="8">
        <f t="shared" si="13"/>
        <v>0</v>
      </c>
      <c r="W31" s="3"/>
      <c r="X31" s="7">
        <f t="shared" si="14"/>
        <v>462.41153846149973</v>
      </c>
      <c r="Y31" s="3"/>
      <c r="Z31" s="8">
        <f t="shared" si="15"/>
        <v>4.0521402089649314E-2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>
        <v>9753.7099999999991</v>
      </c>
      <c r="E34" s="3"/>
      <c r="F34" s="8">
        <f t="shared" si="8"/>
        <v>0</v>
      </c>
      <c r="G34" s="3"/>
      <c r="H34" s="7">
        <v>11408</v>
      </c>
      <c r="I34" s="3"/>
      <c r="J34" s="8">
        <f t="shared" si="9"/>
        <v>0</v>
      </c>
      <c r="K34" s="3"/>
      <c r="L34" s="7">
        <f t="shared" si="10"/>
        <v>-1654.2900000000009</v>
      </c>
      <c r="M34" s="3"/>
      <c r="N34" s="8">
        <f t="shared" si="11"/>
        <v>-0.14501139551192155</v>
      </c>
      <c r="O34" s="12"/>
      <c r="P34" s="7">
        <v>9753.7099999999991</v>
      </c>
      <c r="Q34" s="3"/>
      <c r="R34" s="8">
        <f t="shared" si="12"/>
        <v>0</v>
      </c>
      <c r="S34" s="3"/>
      <c r="T34" s="7">
        <v>11408</v>
      </c>
      <c r="U34" s="3"/>
      <c r="V34" s="8">
        <f t="shared" si="13"/>
        <v>0</v>
      </c>
      <c r="W34" s="3"/>
      <c r="X34" s="7">
        <f t="shared" si="14"/>
        <v>-1654.2900000000009</v>
      </c>
      <c r="Y34" s="3"/>
      <c r="Z34" s="8">
        <f t="shared" si="15"/>
        <v>-0.14501139551192155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>
        <v>5883.34</v>
      </c>
      <c r="E35" s="3"/>
      <c r="F35" s="8">
        <f t="shared" si="8"/>
        <v>0</v>
      </c>
      <c r="G35" s="3"/>
      <c r="H35" s="7">
        <v>9715</v>
      </c>
      <c r="I35" s="3"/>
      <c r="J35" s="8">
        <f t="shared" si="9"/>
        <v>0</v>
      </c>
      <c r="K35" s="3"/>
      <c r="L35" s="7">
        <f t="shared" si="10"/>
        <v>-3831.66</v>
      </c>
      <c r="M35" s="3"/>
      <c r="N35" s="8">
        <f t="shared" si="11"/>
        <v>-0.39440658775090065</v>
      </c>
      <c r="O35" s="12"/>
      <c r="P35" s="7">
        <v>5883.34</v>
      </c>
      <c r="Q35" s="3"/>
      <c r="R35" s="8">
        <f t="shared" si="12"/>
        <v>0</v>
      </c>
      <c r="S35" s="3"/>
      <c r="T35" s="7">
        <v>9715</v>
      </c>
      <c r="U35" s="3"/>
      <c r="V35" s="8">
        <f t="shared" si="13"/>
        <v>0</v>
      </c>
      <c r="W35" s="3"/>
      <c r="X35" s="7">
        <f t="shared" si="14"/>
        <v>-3831.66</v>
      </c>
      <c r="Y35" s="3"/>
      <c r="Z35" s="8">
        <f t="shared" si="15"/>
        <v>-0.39440658775090065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>
        <v>3940</v>
      </c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3940</v>
      </c>
      <c r="M37" s="3"/>
      <c r="N37" s="8">
        <f t="shared" si="11"/>
        <v>0</v>
      </c>
      <c r="O37" s="12"/>
      <c r="P37" s="7">
        <v>3940</v>
      </c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3940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8"/>
        <v>0</v>
      </c>
      <c r="G40" s="3"/>
      <c r="H40" s="7">
        <v>0</v>
      </c>
      <c r="I40" s="3"/>
      <c r="J40" s="8">
        <f t="shared" si="9"/>
        <v>0</v>
      </c>
      <c r="K40" s="3"/>
      <c r="L40" s="7">
        <f t="shared" si="10"/>
        <v>0</v>
      </c>
      <c r="M40" s="3"/>
      <c r="N40" s="8">
        <f t="shared" si="11"/>
        <v>0</v>
      </c>
      <c r="O40" s="12"/>
      <c r="P40" s="7"/>
      <c r="Q40" s="3"/>
      <c r="R40" s="8">
        <f t="shared" si="12"/>
        <v>0</v>
      </c>
      <c r="S40" s="3"/>
      <c r="T40" s="7">
        <v>0</v>
      </c>
      <c r="U40" s="3"/>
      <c r="V40" s="8">
        <f t="shared" si="13"/>
        <v>0</v>
      </c>
      <c r="W40" s="3"/>
      <c r="X40" s="7">
        <f t="shared" si="14"/>
        <v>0</v>
      </c>
      <c r="Y40" s="3"/>
      <c r="Z40" s="8">
        <f t="shared" si="15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1" si="16">IF(D$12=0,0,D41/D$12)</f>
        <v>0</v>
      </c>
      <c r="G41" s="1"/>
      <c r="H41" s="1">
        <f>SUM(OSRRefH22_2x_0)</f>
        <v>250</v>
      </c>
      <c r="I41" s="1"/>
      <c r="J41" s="5">
        <f t="shared" ref="J41:J51" si="17">IF(H$12=0,0,H41/H$12)</f>
        <v>0</v>
      </c>
      <c r="K41" s="1"/>
      <c r="L41" s="1">
        <f t="shared" ref="L41:L51" si="18">+D41-H41</f>
        <v>-250</v>
      </c>
      <c r="M41" s="1"/>
      <c r="N41" s="5">
        <f t="shared" ref="N41:N51" si="19">IF(H41=0,0,L41/H41)</f>
        <v>-1</v>
      </c>
      <c r="O41" s="14"/>
      <c r="P41" s="1">
        <f>SUM(OSRRefP22_2x_0)</f>
        <v>0</v>
      </c>
      <c r="Q41" s="1"/>
      <c r="R41" s="5">
        <f t="shared" ref="R41:R51" si="20">IF(P$12=0,0,P41/P$12)</f>
        <v>0</v>
      </c>
      <c r="S41" s="1"/>
      <c r="T41" s="1">
        <f>SUM(OSRRefT22_2x_0)</f>
        <v>250</v>
      </c>
      <c r="U41" s="1"/>
      <c r="V41" s="5">
        <f t="shared" ref="V41:V51" si="21">IF(T$12=0,0,T41/T$12)</f>
        <v>0</v>
      </c>
      <c r="W41" s="1"/>
      <c r="X41" s="1">
        <f t="shared" ref="X41:X51" si="22">+P41-T41</f>
        <v>-250</v>
      </c>
      <c r="Y41" s="1"/>
      <c r="Z41" s="5">
        <f t="shared" ref="Z41:Z51" si="23">IF(T41=0,0,X41/T41)</f>
        <v>-1</v>
      </c>
    </row>
    <row r="42" spans="1:26" s="24" customFormat="1" hidden="1" outlineLevel="2" x14ac:dyDescent="0.25">
      <c r="A42" s="27"/>
      <c r="B42" s="12" t="str">
        <f>CONCATENATE("          ", "6362", " - ", "ADVERTISING EXPENSE")</f>
        <v xml:space="preserve">          6362 - ADVERTISING EXPENSE</v>
      </c>
      <c r="C42" s="12"/>
      <c r="D42" s="7"/>
      <c r="E42" s="3"/>
      <c r="F42" s="8">
        <f t="shared" si="16"/>
        <v>0</v>
      </c>
      <c r="G42" s="3"/>
      <c r="H42" s="7">
        <v>250</v>
      </c>
      <c r="I42" s="3"/>
      <c r="J42" s="8">
        <f t="shared" si="17"/>
        <v>0</v>
      </c>
      <c r="K42" s="3"/>
      <c r="L42" s="7">
        <f t="shared" si="18"/>
        <v>-250</v>
      </c>
      <c r="M42" s="3"/>
      <c r="N42" s="8">
        <f t="shared" si="19"/>
        <v>-1</v>
      </c>
      <c r="O42" s="12"/>
      <c r="P42" s="7"/>
      <c r="Q42" s="3"/>
      <c r="R42" s="8">
        <f t="shared" si="20"/>
        <v>0</v>
      </c>
      <c r="S42" s="3"/>
      <c r="T42" s="7">
        <v>250</v>
      </c>
      <c r="U42" s="3"/>
      <c r="V42" s="8">
        <f t="shared" si="21"/>
        <v>0</v>
      </c>
      <c r="W42" s="3"/>
      <c r="X42" s="7">
        <f t="shared" si="22"/>
        <v>-250</v>
      </c>
      <c r="Y42" s="3"/>
      <c r="Z42" s="8">
        <f t="shared" si="23"/>
        <v>-1</v>
      </c>
    </row>
    <row r="43" spans="1:26" s="29" customFormat="1" outlineLevel="1" collapsed="1" x14ac:dyDescent="0.25">
      <c r="A43" s="28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0</v>
      </c>
      <c r="U43" s="1"/>
      <c r="V43" s="5">
        <f t="shared" si="21"/>
        <v>0</v>
      </c>
      <c r="W43" s="1"/>
      <c r="X43" s="1">
        <f t="shared" si="22"/>
        <v>0</v>
      </c>
      <c r="Y43" s="1"/>
      <c r="Z43" s="5">
        <f t="shared" si="23"/>
        <v>0</v>
      </c>
    </row>
    <row r="44" spans="1:26" s="24" customFormat="1" hidden="1" outlineLevel="2" x14ac:dyDescent="0.25">
      <c r="A44" s="27"/>
      <c r="B44" s="12" t="str">
        <f>CONCATENATE("          ", "6277", " - ", "EMPLOYEE APPRECIATION")</f>
        <v xml:space="preserve">          6277 - EMPLOYEE APPRECIATION</v>
      </c>
      <c r="C44" s="12"/>
      <c r="D44" s="7"/>
      <c r="E44" s="3"/>
      <c r="F44" s="8">
        <f t="shared" si="16"/>
        <v>0</v>
      </c>
      <c r="G44" s="3"/>
      <c r="H44" s="7">
        <v>0</v>
      </c>
      <c r="I44" s="3"/>
      <c r="J44" s="8">
        <f t="shared" si="17"/>
        <v>0</v>
      </c>
      <c r="K44" s="3"/>
      <c r="L44" s="7">
        <f t="shared" si="18"/>
        <v>0</v>
      </c>
      <c r="M44" s="3"/>
      <c r="N44" s="8">
        <f t="shared" si="19"/>
        <v>0</v>
      </c>
      <c r="O44" s="12"/>
      <c r="P44" s="7"/>
      <c r="Q44" s="3"/>
      <c r="R44" s="8">
        <f t="shared" si="20"/>
        <v>0</v>
      </c>
      <c r="S44" s="3"/>
      <c r="T44" s="7">
        <v>0</v>
      </c>
      <c r="U44" s="3"/>
      <c r="V44" s="8">
        <f t="shared" si="21"/>
        <v>0</v>
      </c>
      <c r="W44" s="3"/>
      <c r="X44" s="7">
        <f t="shared" si="22"/>
        <v>0</v>
      </c>
      <c r="Y44" s="3"/>
      <c r="Z44" s="8">
        <f t="shared" si="23"/>
        <v>0</v>
      </c>
    </row>
    <row r="45" spans="1:26" s="29" customFormat="1" outlineLevel="1" collapsed="1" x14ac:dyDescent="0.25">
      <c r="A45" s="28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SUM(OSRRefD22_4x_0)</f>
        <v>3.5</v>
      </c>
      <c r="E45" s="1"/>
      <c r="F45" s="5">
        <f t="shared" si="16"/>
        <v>0</v>
      </c>
      <c r="G45" s="1"/>
      <c r="H45" s="1">
        <f>SUM(OSRRefH22_4x_0)</f>
        <v>83</v>
      </c>
      <c r="I45" s="1"/>
      <c r="J45" s="5">
        <f t="shared" si="17"/>
        <v>0</v>
      </c>
      <c r="K45" s="1"/>
      <c r="L45" s="1">
        <f t="shared" si="18"/>
        <v>-79.5</v>
      </c>
      <c r="M45" s="1"/>
      <c r="N45" s="5">
        <f t="shared" si="19"/>
        <v>-0.95783132530120485</v>
      </c>
      <c r="O45" s="14"/>
      <c r="P45" s="1">
        <f>SUM(OSRRefP22_4x_0)</f>
        <v>3.5</v>
      </c>
      <c r="Q45" s="1"/>
      <c r="R45" s="5">
        <f t="shared" si="20"/>
        <v>0</v>
      </c>
      <c r="S45" s="1"/>
      <c r="T45" s="1">
        <f>SUM(OSRRefT22_4x_0)</f>
        <v>83</v>
      </c>
      <c r="U45" s="1"/>
      <c r="V45" s="5">
        <f t="shared" si="21"/>
        <v>0</v>
      </c>
      <c r="W45" s="1"/>
      <c r="X45" s="1">
        <f t="shared" si="22"/>
        <v>-79.5</v>
      </c>
      <c r="Y45" s="1"/>
      <c r="Z45" s="5">
        <f t="shared" si="23"/>
        <v>-0.95783132530120485</v>
      </c>
    </row>
    <row r="46" spans="1:26" s="24" customFormat="1" hidden="1" outlineLevel="2" x14ac:dyDescent="0.25">
      <c r="A46" s="27"/>
      <c r="B46" s="12" t="str">
        <f>CONCATENATE("          ", "6307", " - ", "POSTAGE")</f>
        <v xml:space="preserve">          6307 - POSTAGE</v>
      </c>
      <c r="C46" s="12"/>
      <c r="D46" s="7">
        <v>3.5</v>
      </c>
      <c r="E46" s="3"/>
      <c r="F46" s="8">
        <f t="shared" si="16"/>
        <v>0</v>
      </c>
      <c r="G46" s="3"/>
      <c r="H46" s="7">
        <v>83</v>
      </c>
      <c r="I46" s="3"/>
      <c r="J46" s="8">
        <f t="shared" si="17"/>
        <v>0</v>
      </c>
      <c r="K46" s="3"/>
      <c r="L46" s="7">
        <f t="shared" si="18"/>
        <v>-79.5</v>
      </c>
      <c r="M46" s="3"/>
      <c r="N46" s="8">
        <f t="shared" si="19"/>
        <v>-0.95783132530120485</v>
      </c>
      <c r="O46" s="12"/>
      <c r="P46" s="7">
        <v>3.5</v>
      </c>
      <c r="Q46" s="3"/>
      <c r="R46" s="8">
        <f t="shared" si="20"/>
        <v>0</v>
      </c>
      <c r="S46" s="3"/>
      <c r="T46" s="7">
        <v>83</v>
      </c>
      <c r="U46" s="3"/>
      <c r="V46" s="8">
        <f t="shared" si="21"/>
        <v>0</v>
      </c>
      <c r="W46" s="3"/>
      <c r="X46" s="7">
        <f t="shared" si="22"/>
        <v>-79.5</v>
      </c>
      <c r="Y46" s="3"/>
      <c r="Z46" s="8">
        <f t="shared" si="23"/>
        <v>-0.95783132530120485</v>
      </c>
    </row>
    <row r="47" spans="1:26" s="29" customFormat="1" outlineLevel="1" collapsed="1" x14ac:dyDescent="0.25">
      <c r="A47" s="28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333</v>
      </c>
      <c r="I47" s="1"/>
      <c r="J47" s="5">
        <f t="shared" si="17"/>
        <v>0</v>
      </c>
      <c r="K47" s="1"/>
      <c r="L47" s="1">
        <f t="shared" si="18"/>
        <v>-333</v>
      </c>
      <c r="M47" s="1"/>
      <c r="N47" s="5">
        <f t="shared" si="19"/>
        <v>-1</v>
      </c>
      <c r="O47" s="14"/>
      <c r="P47" s="1">
        <f>SUM(OSRRefP22_5x_0)</f>
        <v>0</v>
      </c>
      <c r="Q47" s="1"/>
      <c r="R47" s="5">
        <f t="shared" si="20"/>
        <v>0</v>
      </c>
      <c r="S47" s="1"/>
      <c r="T47" s="1">
        <f>SUM(OSRRefT22_5x_0)</f>
        <v>333</v>
      </c>
      <c r="U47" s="1"/>
      <c r="V47" s="5">
        <f t="shared" si="21"/>
        <v>0</v>
      </c>
      <c r="W47" s="1"/>
      <c r="X47" s="1">
        <f t="shared" si="22"/>
        <v>-333</v>
      </c>
      <c r="Y47" s="1"/>
      <c r="Z47" s="5">
        <f t="shared" si="23"/>
        <v>-1</v>
      </c>
    </row>
    <row r="48" spans="1:26" s="24" customFormat="1" hidden="1" outlineLevel="2" x14ac:dyDescent="0.25">
      <c r="A48" s="27"/>
      <c r="B48" s="12" t="str">
        <f>CONCATENATE("          ", "6279", " - ", "GENERAL EXPENSE")</f>
        <v xml:space="preserve">          6279 - GENERAL EXPENSE</v>
      </c>
      <c r="C48" s="12"/>
      <c r="D48" s="7"/>
      <c r="E48" s="3"/>
      <c r="F48" s="8">
        <f t="shared" si="16"/>
        <v>0</v>
      </c>
      <c r="G48" s="3"/>
      <c r="H48" s="7">
        <v>333</v>
      </c>
      <c r="I48" s="3"/>
      <c r="J48" s="8">
        <f t="shared" si="17"/>
        <v>0</v>
      </c>
      <c r="K48" s="3"/>
      <c r="L48" s="7">
        <f t="shared" si="18"/>
        <v>-333</v>
      </c>
      <c r="M48" s="3"/>
      <c r="N48" s="8">
        <f t="shared" si="19"/>
        <v>-1</v>
      </c>
      <c r="O48" s="12"/>
      <c r="P48" s="7"/>
      <c r="Q48" s="3"/>
      <c r="R48" s="8">
        <f t="shared" si="20"/>
        <v>0</v>
      </c>
      <c r="S48" s="3"/>
      <c r="T48" s="7">
        <v>333</v>
      </c>
      <c r="U48" s="3"/>
      <c r="V48" s="8">
        <f t="shared" si="21"/>
        <v>0</v>
      </c>
      <c r="W48" s="3"/>
      <c r="X48" s="7">
        <f t="shared" si="22"/>
        <v>-333</v>
      </c>
      <c r="Y48" s="3"/>
      <c r="Z48" s="8">
        <f t="shared" si="23"/>
        <v>-1</v>
      </c>
    </row>
    <row r="49" spans="1:26" s="29" customFormat="1" outlineLevel="1" collapsed="1" x14ac:dyDescent="0.25">
      <c r="A49" s="28"/>
      <c r="B49" s="14" t="str">
        <f>CONCATENATE("     ","Insurance                                         ")</f>
        <v xml:space="preserve">     Insurance                                         </v>
      </c>
      <c r="C49" s="14"/>
      <c r="D49" s="1">
        <f>SUM(OSRRefD22_6x_0)</f>
        <v>65.47</v>
      </c>
      <c r="E49" s="1"/>
      <c r="F49" s="5">
        <f t="shared" si="16"/>
        <v>0</v>
      </c>
      <c r="G49" s="1"/>
      <c r="H49" s="1">
        <f>SUM(OSRRefH22_6x_0)</f>
        <v>853</v>
      </c>
      <c r="I49" s="1"/>
      <c r="J49" s="5">
        <f t="shared" si="17"/>
        <v>0</v>
      </c>
      <c r="K49" s="1"/>
      <c r="L49" s="1">
        <f t="shared" si="18"/>
        <v>-787.53</v>
      </c>
      <c r="M49" s="1"/>
      <c r="N49" s="5">
        <f t="shared" si="19"/>
        <v>-0.92324736225087922</v>
      </c>
      <c r="O49" s="14"/>
      <c r="P49" s="1">
        <f>SUM(OSRRefP22_6x_0)</f>
        <v>65.47</v>
      </c>
      <c r="Q49" s="1"/>
      <c r="R49" s="5">
        <f t="shared" si="20"/>
        <v>0</v>
      </c>
      <c r="S49" s="1"/>
      <c r="T49" s="1">
        <f>SUM(OSRRefT22_6x_0)</f>
        <v>853</v>
      </c>
      <c r="U49" s="1"/>
      <c r="V49" s="5">
        <f t="shared" si="21"/>
        <v>0</v>
      </c>
      <c r="W49" s="1"/>
      <c r="X49" s="1">
        <f t="shared" si="22"/>
        <v>-787.53</v>
      </c>
      <c r="Y49" s="1"/>
      <c r="Z49" s="5">
        <f t="shared" si="23"/>
        <v>-0.92324736225087922</v>
      </c>
    </row>
    <row r="50" spans="1:26" s="24" customFormat="1" hidden="1" outlineLevel="2" x14ac:dyDescent="0.25">
      <c r="A50" s="27"/>
      <c r="B50" s="12" t="str">
        <f>CONCATENATE("          ", "6312", " - ", "FIRE &amp; THEFT INSURANCE")</f>
        <v xml:space="preserve">          6312 - FIRE &amp; THEFT INSURANCE</v>
      </c>
      <c r="C50" s="12"/>
      <c r="D50" s="7"/>
      <c r="E50" s="3"/>
      <c r="F50" s="8">
        <f t="shared" si="16"/>
        <v>0</v>
      </c>
      <c r="G50" s="3"/>
      <c r="H50" s="7">
        <v>780</v>
      </c>
      <c r="I50" s="3"/>
      <c r="J50" s="8">
        <f t="shared" si="17"/>
        <v>0</v>
      </c>
      <c r="K50" s="3"/>
      <c r="L50" s="7">
        <f t="shared" si="18"/>
        <v>-780</v>
      </c>
      <c r="M50" s="3"/>
      <c r="N50" s="8">
        <f t="shared" si="19"/>
        <v>-1</v>
      </c>
      <c r="O50" s="12"/>
      <c r="P50" s="7"/>
      <c r="Q50" s="3"/>
      <c r="R50" s="8">
        <f t="shared" si="20"/>
        <v>0</v>
      </c>
      <c r="S50" s="3"/>
      <c r="T50" s="7">
        <v>780</v>
      </c>
      <c r="U50" s="3"/>
      <c r="V50" s="8">
        <f t="shared" si="21"/>
        <v>0</v>
      </c>
      <c r="W50" s="3"/>
      <c r="X50" s="7">
        <f t="shared" si="22"/>
        <v>-780</v>
      </c>
      <c r="Y50" s="3"/>
      <c r="Z50" s="8">
        <f t="shared" si="23"/>
        <v>-1</v>
      </c>
    </row>
    <row r="51" spans="1:26" s="24" customFormat="1" hidden="1" outlineLevel="2" x14ac:dyDescent="0.25">
      <c r="A51" s="27"/>
      <c r="B51" s="12" t="str">
        <f>CONCATENATE("          ", "6314", " - ", "LIABILITY INSURANCE")</f>
        <v xml:space="preserve">          6314 - LIABILITY INSURANCE</v>
      </c>
      <c r="C51" s="12"/>
      <c r="D51" s="7">
        <v>65.47</v>
      </c>
      <c r="E51" s="3"/>
      <c r="F51" s="8">
        <f t="shared" si="16"/>
        <v>0</v>
      </c>
      <c r="G51" s="3"/>
      <c r="H51" s="7">
        <v>73</v>
      </c>
      <c r="I51" s="3"/>
      <c r="J51" s="8">
        <f t="shared" si="17"/>
        <v>0</v>
      </c>
      <c r="K51" s="3"/>
      <c r="L51" s="7">
        <f t="shared" si="18"/>
        <v>-7.5300000000000011</v>
      </c>
      <c r="M51" s="3"/>
      <c r="N51" s="8">
        <f t="shared" si="19"/>
        <v>-0.10315068493150686</v>
      </c>
      <c r="O51" s="12"/>
      <c r="P51" s="7">
        <v>65.47</v>
      </c>
      <c r="Q51" s="3"/>
      <c r="R51" s="8">
        <f t="shared" si="20"/>
        <v>0</v>
      </c>
      <c r="S51" s="3"/>
      <c r="T51" s="7">
        <v>73</v>
      </c>
      <c r="U51" s="3"/>
      <c r="V51" s="8">
        <f t="shared" si="21"/>
        <v>0</v>
      </c>
      <c r="W51" s="3"/>
      <c r="X51" s="7">
        <f t="shared" si="22"/>
        <v>-7.5300000000000011</v>
      </c>
      <c r="Y51" s="3"/>
      <c r="Z51" s="8">
        <f t="shared" si="23"/>
        <v>-0.10315068493150686</v>
      </c>
    </row>
    <row r="52" spans="1:26" s="29" customFormat="1" outlineLevel="1" collapsed="1" x14ac:dyDescent="0.25">
      <c r="A52" s="28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SUM(OSRRefD22_7x_0)</f>
        <v>1655</v>
      </c>
      <c r="E52" s="1"/>
      <c r="F52" s="5">
        <f t="shared" ref="F52:F55" si="24">IF(D$12=0,0,D52/D$12)</f>
        <v>0</v>
      </c>
      <c r="G52" s="1"/>
      <c r="H52" s="1">
        <f>SUM(OSRRefH22_7x_0)</f>
        <v>2083</v>
      </c>
      <c r="I52" s="1"/>
      <c r="J52" s="5">
        <f t="shared" ref="J52:J55" si="25">IF(H$12=0,0,H52/H$12)</f>
        <v>0</v>
      </c>
      <c r="K52" s="1"/>
      <c r="L52" s="1">
        <f t="shared" ref="L52:L55" si="26">+D52-H52</f>
        <v>-428</v>
      </c>
      <c r="M52" s="1"/>
      <c r="N52" s="5">
        <f t="shared" ref="N52:N55" si="27">IF(H52=0,0,L52/H52)</f>
        <v>-0.20547287566010561</v>
      </c>
      <c r="O52" s="14"/>
      <c r="P52" s="1">
        <f>SUM(OSRRefP22_7x_0)</f>
        <v>1655</v>
      </c>
      <c r="Q52" s="1"/>
      <c r="R52" s="5">
        <f t="shared" ref="R52:R55" si="28">IF(P$12=0,0,P52/P$12)</f>
        <v>0</v>
      </c>
      <c r="S52" s="1"/>
      <c r="T52" s="1">
        <f>SUM(OSRRefT22_7x_0)</f>
        <v>2083</v>
      </c>
      <c r="U52" s="1"/>
      <c r="V52" s="5">
        <f t="shared" ref="V52:V55" si="29">IF(T$12=0,0,T52/T$12)</f>
        <v>0</v>
      </c>
      <c r="W52" s="1"/>
      <c r="X52" s="1">
        <f t="shared" ref="X52:X55" si="30">+P52-T52</f>
        <v>-428</v>
      </c>
      <c r="Y52" s="1"/>
      <c r="Z52" s="5">
        <f t="shared" ref="Z52:Z55" si="31">IF(T52=0,0,X52/T52)</f>
        <v>-0.20547287566010561</v>
      </c>
    </row>
    <row r="53" spans="1:26" s="24" customFormat="1" hidden="1" outlineLevel="2" x14ac:dyDescent="0.25">
      <c r="A53" s="27"/>
      <c r="B53" s="12" t="str">
        <f>CONCATENATE("          ", "6332", " - ", "CONSULTANT FEES")</f>
        <v xml:space="preserve">          6332 - CONSULTANT FEES</v>
      </c>
      <c r="C53" s="12"/>
      <c r="D53" s="7"/>
      <c r="E53" s="3"/>
      <c r="F53" s="8">
        <f t="shared" si="24"/>
        <v>0</v>
      </c>
      <c r="G53" s="3"/>
      <c r="H53" s="7">
        <v>0</v>
      </c>
      <c r="I53" s="3"/>
      <c r="J53" s="8">
        <f t="shared" si="25"/>
        <v>0</v>
      </c>
      <c r="K53" s="3"/>
      <c r="L53" s="7">
        <f t="shared" si="26"/>
        <v>0</v>
      </c>
      <c r="M53" s="3"/>
      <c r="N53" s="8">
        <f t="shared" si="27"/>
        <v>0</v>
      </c>
      <c r="O53" s="12"/>
      <c r="P53" s="7"/>
      <c r="Q53" s="3"/>
      <c r="R53" s="8">
        <f t="shared" si="28"/>
        <v>0</v>
      </c>
      <c r="S53" s="3"/>
      <c r="T53" s="7">
        <v>0</v>
      </c>
      <c r="U53" s="3"/>
      <c r="V53" s="8">
        <f t="shared" si="29"/>
        <v>0</v>
      </c>
      <c r="W53" s="3"/>
      <c r="X53" s="7">
        <f t="shared" si="30"/>
        <v>0</v>
      </c>
      <c r="Y53" s="3"/>
      <c r="Z53" s="8">
        <f t="shared" si="31"/>
        <v>0</v>
      </c>
    </row>
    <row r="54" spans="1:26" s="24" customFormat="1" hidden="1" outlineLevel="2" x14ac:dyDescent="0.25">
      <c r="A54" s="27"/>
      <c r="B54" s="12" t="str">
        <f>CONCATENATE("          ", "6334", " - ", "LEGAL COUNCIL EXPENSE")</f>
        <v xml:space="preserve">          6334 - LEGAL COUNCIL EXPENSE</v>
      </c>
      <c r="C54" s="12"/>
      <c r="D54" s="7"/>
      <c r="E54" s="3"/>
      <c r="F54" s="8">
        <f t="shared" si="24"/>
        <v>0</v>
      </c>
      <c r="G54" s="3"/>
      <c r="H54" s="7">
        <v>833</v>
      </c>
      <c r="I54" s="3"/>
      <c r="J54" s="8">
        <f t="shared" si="25"/>
        <v>0</v>
      </c>
      <c r="K54" s="3"/>
      <c r="L54" s="7">
        <f t="shared" si="26"/>
        <v>-833</v>
      </c>
      <c r="M54" s="3"/>
      <c r="N54" s="8">
        <f t="shared" si="27"/>
        <v>-1</v>
      </c>
      <c r="O54" s="12"/>
      <c r="P54" s="7"/>
      <c r="Q54" s="3"/>
      <c r="R54" s="8">
        <f t="shared" si="28"/>
        <v>0</v>
      </c>
      <c r="S54" s="3"/>
      <c r="T54" s="7">
        <v>833</v>
      </c>
      <c r="U54" s="3"/>
      <c r="V54" s="8">
        <f t="shared" si="29"/>
        <v>0</v>
      </c>
      <c r="W54" s="3"/>
      <c r="X54" s="7">
        <f t="shared" si="30"/>
        <v>-833</v>
      </c>
      <c r="Y54" s="3"/>
      <c r="Z54" s="8">
        <f t="shared" si="31"/>
        <v>-1</v>
      </c>
    </row>
    <row r="55" spans="1:26" s="24" customFormat="1" hidden="1" outlineLevel="2" x14ac:dyDescent="0.25">
      <c r="A55" s="27"/>
      <c r="B55" s="12" t="str">
        <f>CONCATENATE("          ", "6336", " - ", "PROFESSIONAL SERVICES")</f>
        <v xml:space="preserve">          6336 - PROFESSIONAL SERVICES</v>
      </c>
      <c r="C55" s="12"/>
      <c r="D55" s="7">
        <v>1655</v>
      </c>
      <c r="E55" s="3"/>
      <c r="F55" s="8">
        <f t="shared" si="24"/>
        <v>0</v>
      </c>
      <c r="G55" s="3"/>
      <c r="H55" s="7">
        <v>1250</v>
      </c>
      <c r="I55" s="3"/>
      <c r="J55" s="8">
        <f t="shared" si="25"/>
        <v>0</v>
      </c>
      <c r="K55" s="3"/>
      <c r="L55" s="7">
        <f t="shared" si="26"/>
        <v>405</v>
      </c>
      <c r="M55" s="3"/>
      <c r="N55" s="8">
        <f t="shared" si="27"/>
        <v>0.32400000000000001</v>
      </c>
      <c r="O55" s="12"/>
      <c r="P55" s="7">
        <v>1655</v>
      </c>
      <c r="Q55" s="3"/>
      <c r="R55" s="8">
        <f t="shared" si="28"/>
        <v>0</v>
      </c>
      <c r="S55" s="3"/>
      <c r="T55" s="7">
        <v>1250</v>
      </c>
      <c r="U55" s="3"/>
      <c r="V55" s="8">
        <f t="shared" si="29"/>
        <v>0</v>
      </c>
      <c r="W55" s="3"/>
      <c r="X55" s="7">
        <f t="shared" si="30"/>
        <v>405</v>
      </c>
      <c r="Y55" s="3"/>
      <c r="Z55" s="8">
        <f t="shared" si="31"/>
        <v>0.32400000000000001</v>
      </c>
    </row>
    <row r="56" spans="1:26" s="29" customFormat="1" outlineLevel="1" collapsed="1" x14ac:dyDescent="0.25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SUM(OSRRefD22_8x_0)</f>
        <v>4472.25</v>
      </c>
      <c r="E56" s="1"/>
      <c r="F56" s="5">
        <f t="shared" ref="F56:F63" si="32">IF(D$12=0,0,D56/D$12)</f>
        <v>0</v>
      </c>
      <c r="G56" s="1"/>
      <c r="H56" s="1">
        <f>SUM(OSRRefH22_8x_0)</f>
        <v>7083</v>
      </c>
      <c r="I56" s="1"/>
      <c r="J56" s="5">
        <f t="shared" ref="J56:J63" si="33">IF(H$12=0,0,H56/H$12)</f>
        <v>0</v>
      </c>
      <c r="K56" s="1"/>
      <c r="L56" s="1">
        <f t="shared" ref="L56:L63" si="34">+D56-H56</f>
        <v>-2610.75</v>
      </c>
      <c r="M56" s="1"/>
      <c r="N56" s="5">
        <f t="shared" ref="N56:N63" si="35">IF(H56=0,0,L56/H56)</f>
        <v>-0.36859381617958492</v>
      </c>
      <c r="O56" s="14"/>
      <c r="P56" s="1">
        <f>SUM(OSRRefP22_8x_0)</f>
        <v>4472.25</v>
      </c>
      <c r="Q56" s="1"/>
      <c r="R56" s="5">
        <f t="shared" ref="R56:R63" si="36">IF(P$12=0,0,P56/P$12)</f>
        <v>0</v>
      </c>
      <c r="S56" s="1"/>
      <c r="T56" s="1">
        <f>SUM(OSRRefT22_8x_0)</f>
        <v>7083</v>
      </c>
      <c r="U56" s="1"/>
      <c r="V56" s="5">
        <f t="shared" ref="V56:V63" si="37">IF(T$12=0,0,T56/T$12)</f>
        <v>0</v>
      </c>
      <c r="W56" s="1"/>
      <c r="X56" s="1">
        <f t="shared" ref="X56:X63" si="38">+P56-T56</f>
        <v>-2610.75</v>
      </c>
      <c r="Y56" s="1"/>
      <c r="Z56" s="5">
        <f t="shared" ref="Z56:Z63" si="39">IF(T56=0,0,X56/T56)</f>
        <v>-0.36859381617958492</v>
      </c>
    </row>
    <row r="57" spans="1:26" s="24" customFormat="1" hidden="1" outlineLevel="2" x14ac:dyDescent="0.25">
      <c r="A57" s="27"/>
      <c r="B57" s="12" t="str">
        <f>CONCATENATE("          ", "6371", " - ", "COMPUTER SOFTWARE MAINTENANCE")</f>
        <v xml:space="preserve">          6371 - COMPUTER SOFTWARE MAINTENANCE</v>
      </c>
      <c r="C57" s="12"/>
      <c r="D57" s="7">
        <v>4472.25</v>
      </c>
      <c r="E57" s="3"/>
      <c r="F57" s="8">
        <f t="shared" si="32"/>
        <v>0</v>
      </c>
      <c r="G57" s="3"/>
      <c r="H57" s="7">
        <v>7083</v>
      </c>
      <c r="I57" s="3"/>
      <c r="J57" s="8">
        <f t="shared" si="33"/>
        <v>0</v>
      </c>
      <c r="K57" s="3"/>
      <c r="L57" s="7">
        <f t="shared" si="34"/>
        <v>-2610.75</v>
      </c>
      <c r="M57" s="3"/>
      <c r="N57" s="8">
        <f t="shared" si="35"/>
        <v>-0.36859381617958492</v>
      </c>
      <c r="O57" s="12"/>
      <c r="P57" s="7">
        <v>4472.25</v>
      </c>
      <c r="Q57" s="3"/>
      <c r="R57" s="8">
        <f t="shared" si="36"/>
        <v>0</v>
      </c>
      <c r="S57" s="3"/>
      <c r="T57" s="7">
        <v>7083</v>
      </c>
      <c r="U57" s="3"/>
      <c r="V57" s="8">
        <f t="shared" si="37"/>
        <v>0</v>
      </c>
      <c r="W57" s="3"/>
      <c r="X57" s="7">
        <f t="shared" si="38"/>
        <v>-2610.75</v>
      </c>
      <c r="Y57" s="3"/>
      <c r="Z57" s="8">
        <f t="shared" si="39"/>
        <v>-0.36859381617958492</v>
      </c>
    </row>
    <row r="58" spans="1:26" s="29" customFormat="1" outlineLevel="1" collapsed="1" x14ac:dyDescent="0.25">
      <c r="A58" s="28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SUM(OSRRefD22_9x_0)</f>
        <v>0</v>
      </c>
      <c r="E58" s="1"/>
      <c r="F58" s="5">
        <f t="shared" si="32"/>
        <v>0</v>
      </c>
      <c r="G58" s="1"/>
      <c r="H58" s="1">
        <f>SUM(OSRRefH22_9x_0)</f>
        <v>55</v>
      </c>
      <c r="I58" s="1"/>
      <c r="J58" s="5">
        <f t="shared" si="33"/>
        <v>0</v>
      </c>
      <c r="K58" s="1"/>
      <c r="L58" s="1">
        <f t="shared" si="34"/>
        <v>-55</v>
      </c>
      <c r="M58" s="1"/>
      <c r="N58" s="5">
        <f t="shared" si="35"/>
        <v>-1</v>
      </c>
      <c r="O58" s="14"/>
      <c r="P58" s="1">
        <f>SUM(OSRRefP22_9x_0)</f>
        <v>0</v>
      </c>
      <c r="Q58" s="1"/>
      <c r="R58" s="5">
        <f t="shared" si="36"/>
        <v>0</v>
      </c>
      <c r="S58" s="1"/>
      <c r="T58" s="1">
        <f>SUM(OSRRefT22_9x_0)</f>
        <v>55</v>
      </c>
      <c r="U58" s="1"/>
      <c r="V58" s="5">
        <f t="shared" si="37"/>
        <v>0</v>
      </c>
      <c r="W58" s="1"/>
      <c r="X58" s="1">
        <f t="shared" si="38"/>
        <v>-55</v>
      </c>
      <c r="Y58" s="1"/>
      <c r="Z58" s="5">
        <f t="shared" si="39"/>
        <v>-1</v>
      </c>
    </row>
    <row r="59" spans="1:26" s="24" customFormat="1" hidden="1" outlineLevel="2" x14ac:dyDescent="0.25">
      <c r="A59" s="27"/>
      <c r="B59" s="12" t="str">
        <f>CONCATENATE("          ", "6258", " - ", "MEMBERSHIP DUES")</f>
        <v xml:space="preserve">          6258 - MEMBERSHIP DUES</v>
      </c>
      <c r="C59" s="12"/>
      <c r="D59" s="7"/>
      <c r="E59" s="3"/>
      <c r="F59" s="8">
        <f t="shared" si="32"/>
        <v>0</v>
      </c>
      <c r="G59" s="3"/>
      <c r="H59" s="7">
        <v>55</v>
      </c>
      <c r="I59" s="3"/>
      <c r="J59" s="8">
        <f t="shared" si="33"/>
        <v>0</v>
      </c>
      <c r="K59" s="3"/>
      <c r="L59" s="7">
        <f t="shared" si="34"/>
        <v>-55</v>
      </c>
      <c r="M59" s="3"/>
      <c r="N59" s="8">
        <f t="shared" si="35"/>
        <v>-1</v>
      </c>
      <c r="O59" s="12"/>
      <c r="P59" s="7"/>
      <c r="Q59" s="3"/>
      <c r="R59" s="8">
        <f t="shared" si="36"/>
        <v>0</v>
      </c>
      <c r="S59" s="3"/>
      <c r="T59" s="7">
        <v>55</v>
      </c>
      <c r="U59" s="3"/>
      <c r="V59" s="8">
        <f t="shared" si="37"/>
        <v>0</v>
      </c>
      <c r="W59" s="3"/>
      <c r="X59" s="7">
        <f t="shared" si="38"/>
        <v>-55</v>
      </c>
      <c r="Y59" s="3"/>
      <c r="Z59" s="8">
        <f t="shared" si="39"/>
        <v>-1</v>
      </c>
    </row>
    <row r="60" spans="1:26" s="29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SUM(OSRRefD22_10x_0)</f>
        <v>560.29999999999995</v>
      </c>
      <c r="E60" s="1"/>
      <c r="F60" s="5">
        <f t="shared" si="32"/>
        <v>0</v>
      </c>
      <c r="G60" s="1"/>
      <c r="H60" s="1">
        <f>SUM(OSRRefH22_10x_0)</f>
        <v>2084</v>
      </c>
      <c r="I60" s="1"/>
      <c r="J60" s="5">
        <f t="shared" si="33"/>
        <v>0</v>
      </c>
      <c r="K60" s="1"/>
      <c r="L60" s="1">
        <f t="shared" si="34"/>
        <v>-1523.7</v>
      </c>
      <c r="M60" s="1"/>
      <c r="N60" s="5">
        <f t="shared" si="35"/>
        <v>-0.73114203454894433</v>
      </c>
      <c r="O60" s="14"/>
      <c r="P60" s="1">
        <f>SUM(OSRRefP22_10x_0)</f>
        <v>560.29999999999995</v>
      </c>
      <c r="Q60" s="1"/>
      <c r="R60" s="5">
        <f t="shared" si="36"/>
        <v>0</v>
      </c>
      <c r="S60" s="1"/>
      <c r="T60" s="1">
        <f>SUM(OSRRefT22_10x_0)</f>
        <v>2084</v>
      </c>
      <c r="U60" s="1"/>
      <c r="V60" s="5">
        <f t="shared" si="37"/>
        <v>0</v>
      </c>
      <c r="W60" s="1"/>
      <c r="X60" s="1">
        <f t="shared" si="38"/>
        <v>-1523.7</v>
      </c>
      <c r="Y60" s="1"/>
      <c r="Z60" s="5">
        <f t="shared" si="39"/>
        <v>-0.73114203454894433</v>
      </c>
    </row>
    <row r="61" spans="1:26" s="24" customFormat="1" hidden="1" outlineLevel="2" x14ac:dyDescent="0.25">
      <c r="A61" s="27"/>
      <c r="B61" s="12" t="str">
        <f>CONCATENATE("          ", "6235", " - ", "COVID-19 EXPENSES")</f>
        <v xml:space="preserve">          6235 - COVID-19 EXPENSES</v>
      </c>
      <c r="C61" s="12"/>
      <c r="D61" s="7">
        <v>210.58</v>
      </c>
      <c r="E61" s="3"/>
      <c r="F61" s="8">
        <f t="shared" si="32"/>
        <v>0</v>
      </c>
      <c r="G61" s="3"/>
      <c r="H61" s="7">
        <v>417</v>
      </c>
      <c r="I61" s="3"/>
      <c r="J61" s="8">
        <f t="shared" si="33"/>
        <v>0</v>
      </c>
      <c r="K61" s="3"/>
      <c r="L61" s="7">
        <f t="shared" si="34"/>
        <v>-206.42</v>
      </c>
      <c r="M61" s="3"/>
      <c r="N61" s="8">
        <f t="shared" si="35"/>
        <v>-0.49501199040767385</v>
      </c>
      <c r="O61" s="12"/>
      <c r="P61" s="7">
        <v>210.58</v>
      </c>
      <c r="Q61" s="3"/>
      <c r="R61" s="8">
        <f t="shared" si="36"/>
        <v>0</v>
      </c>
      <c r="S61" s="3"/>
      <c r="T61" s="7">
        <v>417</v>
      </c>
      <c r="U61" s="3"/>
      <c r="V61" s="8">
        <f t="shared" si="37"/>
        <v>0</v>
      </c>
      <c r="W61" s="3"/>
      <c r="X61" s="7">
        <f t="shared" si="38"/>
        <v>-206.42</v>
      </c>
      <c r="Y61" s="3"/>
      <c r="Z61" s="8">
        <f t="shared" si="39"/>
        <v>-0.49501199040767385</v>
      </c>
    </row>
    <row r="62" spans="1:26" s="24" customFormat="1" hidden="1" outlineLevel="2" x14ac:dyDescent="0.25">
      <c r="A62" s="27"/>
      <c r="B62" s="12" t="str">
        <f>CONCATENATE("          ", "6241", " - ", "OFFICE EXPENSE")</f>
        <v xml:space="preserve">          6241 - OFFICE EXPENSE</v>
      </c>
      <c r="C62" s="12"/>
      <c r="D62" s="7">
        <v>248.05</v>
      </c>
      <c r="E62" s="3"/>
      <c r="F62" s="8">
        <f t="shared" si="32"/>
        <v>0</v>
      </c>
      <c r="G62" s="3"/>
      <c r="H62" s="7">
        <v>1250</v>
      </c>
      <c r="I62" s="3"/>
      <c r="J62" s="8">
        <f t="shared" si="33"/>
        <v>0</v>
      </c>
      <c r="K62" s="3"/>
      <c r="L62" s="7">
        <f t="shared" si="34"/>
        <v>-1001.95</v>
      </c>
      <c r="M62" s="3"/>
      <c r="N62" s="8">
        <f t="shared" si="35"/>
        <v>-0.80156000000000005</v>
      </c>
      <c r="O62" s="12"/>
      <c r="P62" s="7">
        <v>248.05</v>
      </c>
      <c r="Q62" s="3"/>
      <c r="R62" s="8">
        <f t="shared" si="36"/>
        <v>0</v>
      </c>
      <c r="S62" s="3"/>
      <c r="T62" s="7">
        <v>1250</v>
      </c>
      <c r="U62" s="3"/>
      <c r="V62" s="8">
        <f t="shared" si="37"/>
        <v>0</v>
      </c>
      <c r="W62" s="3"/>
      <c r="X62" s="7">
        <f t="shared" si="38"/>
        <v>-1001.95</v>
      </c>
      <c r="Y62" s="3"/>
      <c r="Z62" s="8">
        <f t="shared" si="39"/>
        <v>-0.80156000000000005</v>
      </c>
    </row>
    <row r="63" spans="1:26" s="24" customFormat="1" hidden="1" outlineLevel="2" x14ac:dyDescent="0.25">
      <c r="A63" s="27"/>
      <c r="B63" s="12" t="str">
        <f>CONCATENATE("          ", "6244", " - ", "SAFETY SUPPLY EXPENSE")</f>
        <v xml:space="preserve">          6244 - SAFETY SUPPLY EXPENSE</v>
      </c>
      <c r="C63" s="12"/>
      <c r="D63" s="7">
        <v>101.67</v>
      </c>
      <c r="E63" s="3"/>
      <c r="F63" s="8">
        <f t="shared" si="32"/>
        <v>0</v>
      </c>
      <c r="G63" s="3"/>
      <c r="H63" s="7">
        <v>417</v>
      </c>
      <c r="I63" s="3"/>
      <c r="J63" s="8">
        <f t="shared" si="33"/>
        <v>0</v>
      </c>
      <c r="K63" s="3"/>
      <c r="L63" s="7">
        <f t="shared" si="34"/>
        <v>-315.33</v>
      </c>
      <c r="M63" s="3"/>
      <c r="N63" s="8">
        <f t="shared" si="35"/>
        <v>-0.75618705035971223</v>
      </c>
      <c r="O63" s="12"/>
      <c r="P63" s="7">
        <v>101.67</v>
      </c>
      <c r="Q63" s="3"/>
      <c r="R63" s="8">
        <f t="shared" si="36"/>
        <v>0</v>
      </c>
      <c r="S63" s="3"/>
      <c r="T63" s="7">
        <v>417</v>
      </c>
      <c r="U63" s="3"/>
      <c r="V63" s="8">
        <f t="shared" si="37"/>
        <v>0</v>
      </c>
      <c r="W63" s="3"/>
      <c r="X63" s="7">
        <f t="shared" si="38"/>
        <v>-315.33</v>
      </c>
      <c r="Y63" s="3"/>
      <c r="Z63" s="8">
        <f t="shared" si="39"/>
        <v>-0.75618705035971223</v>
      </c>
    </row>
    <row r="64" spans="1:26" s="29" customFormat="1" outlineLevel="1" collapsed="1" x14ac:dyDescent="0.25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SUM(OSRRefD22_11x_0)</f>
        <v>324.2</v>
      </c>
      <c r="E64" s="1"/>
      <c r="F64" s="5">
        <f t="shared" ref="F64:F67" si="40">IF(D$12=0,0,D64/D$12)</f>
        <v>0</v>
      </c>
      <c r="G64" s="1"/>
      <c r="H64" s="1">
        <f>SUM(OSRRefH22_11x_0)</f>
        <v>290</v>
      </c>
      <c r="I64" s="1"/>
      <c r="J64" s="5">
        <f t="shared" ref="J64:J67" si="41">IF(H$12=0,0,H64/H$12)</f>
        <v>0</v>
      </c>
      <c r="K64" s="1"/>
      <c r="L64" s="1">
        <f t="shared" ref="L64:L67" si="42">+D64-H64</f>
        <v>34.199999999999989</v>
      </c>
      <c r="M64" s="1"/>
      <c r="N64" s="5">
        <f t="shared" ref="N64:N67" si="43">IF(H64=0,0,L64/H64)</f>
        <v>0.11793103448275859</v>
      </c>
      <c r="O64" s="14"/>
      <c r="P64" s="1">
        <f>SUM(OSRRefP22_11x_0)</f>
        <v>324.2</v>
      </c>
      <c r="Q64" s="1"/>
      <c r="R64" s="5">
        <f t="shared" ref="R64:R67" si="44">IF(P$12=0,0,P64/P$12)</f>
        <v>0</v>
      </c>
      <c r="S64" s="1"/>
      <c r="T64" s="1">
        <f>SUM(OSRRefT22_11x_0)</f>
        <v>290</v>
      </c>
      <c r="U64" s="1"/>
      <c r="V64" s="5">
        <f t="shared" ref="V64:V67" si="45">IF(T$12=0,0,T64/T$12)</f>
        <v>0</v>
      </c>
      <c r="W64" s="1"/>
      <c r="X64" s="1">
        <f t="shared" ref="X64:X67" si="46">+P64-T64</f>
        <v>34.199999999999989</v>
      </c>
      <c r="Y64" s="1"/>
      <c r="Z64" s="5">
        <f t="shared" ref="Z64:Z67" si="47">IF(T64=0,0,X64/T64)</f>
        <v>0.11793103448275859</v>
      </c>
    </row>
    <row r="65" spans="1:26" s="24" customFormat="1" hidden="1" outlineLevel="2" x14ac:dyDescent="0.25">
      <c r="A65" s="27"/>
      <c r="B65" s="12" t="str">
        <f>CONCATENATE("          ", "6309", " - ", "TELEPHONE")</f>
        <v xml:space="preserve">          6309 - TELEPHONE</v>
      </c>
      <c r="C65" s="12"/>
      <c r="D65" s="7">
        <v>324.2</v>
      </c>
      <c r="E65" s="3"/>
      <c r="F65" s="8">
        <f t="shared" si="40"/>
        <v>0</v>
      </c>
      <c r="G65" s="3"/>
      <c r="H65" s="7">
        <v>290</v>
      </c>
      <c r="I65" s="3"/>
      <c r="J65" s="8">
        <f t="shared" si="41"/>
        <v>0</v>
      </c>
      <c r="K65" s="3"/>
      <c r="L65" s="7">
        <f t="shared" si="42"/>
        <v>34.199999999999989</v>
      </c>
      <c r="M65" s="3"/>
      <c r="N65" s="8">
        <f t="shared" si="43"/>
        <v>0.11793103448275859</v>
      </c>
      <c r="O65" s="12"/>
      <c r="P65" s="7">
        <v>324.2</v>
      </c>
      <c r="Q65" s="3"/>
      <c r="R65" s="8">
        <f t="shared" si="44"/>
        <v>0</v>
      </c>
      <c r="S65" s="3"/>
      <c r="T65" s="7">
        <v>290</v>
      </c>
      <c r="U65" s="3"/>
      <c r="V65" s="8">
        <f t="shared" si="45"/>
        <v>0</v>
      </c>
      <c r="W65" s="3"/>
      <c r="X65" s="7">
        <f t="shared" si="46"/>
        <v>34.199999999999989</v>
      </c>
      <c r="Y65" s="3"/>
      <c r="Z65" s="8">
        <f t="shared" si="47"/>
        <v>0.11793103448275859</v>
      </c>
    </row>
    <row r="66" spans="1:26" s="29" customFormat="1" outlineLevel="1" collapsed="1" x14ac:dyDescent="0.25">
      <c r="A66" s="28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SUM(OSRRefD22_12x_0)</f>
        <v>0</v>
      </c>
      <c r="E66" s="1"/>
      <c r="F66" s="5">
        <f t="shared" si="40"/>
        <v>0</v>
      </c>
      <c r="G66" s="1"/>
      <c r="H66" s="1">
        <f>SUM(OSRRefH22_12x_0)</f>
        <v>946</v>
      </c>
      <c r="I66" s="1"/>
      <c r="J66" s="5">
        <f t="shared" si="41"/>
        <v>0</v>
      </c>
      <c r="K66" s="1"/>
      <c r="L66" s="1">
        <f t="shared" si="42"/>
        <v>-946</v>
      </c>
      <c r="M66" s="1"/>
      <c r="N66" s="5">
        <f t="shared" si="43"/>
        <v>-1</v>
      </c>
      <c r="O66" s="14"/>
      <c r="P66" s="1">
        <f>SUM(OSRRefP22_12x_0)</f>
        <v>0</v>
      </c>
      <c r="Q66" s="1"/>
      <c r="R66" s="5">
        <f t="shared" si="44"/>
        <v>0</v>
      </c>
      <c r="S66" s="1"/>
      <c r="T66" s="1">
        <f>SUM(OSRRefT22_12x_0)</f>
        <v>946</v>
      </c>
      <c r="U66" s="1"/>
      <c r="V66" s="5">
        <f t="shared" si="45"/>
        <v>0</v>
      </c>
      <c r="W66" s="1"/>
      <c r="X66" s="1">
        <f t="shared" si="46"/>
        <v>-946</v>
      </c>
      <c r="Y66" s="1"/>
      <c r="Z66" s="5">
        <f t="shared" si="47"/>
        <v>-1</v>
      </c>
    </row>
    <row r="67" spans="1:26" s="24" customFormat="1" hidden="1" outlineLevel="2" x14ac:dyDescent="0.25">
      <c r="A67" s="27"/>
      <c r="B67" s="12" t="str">
        <f>CONCATENATE("          ", "6376", " - ", "TRAINING")</f>
        <v xml:space="preserve">          6376 - TRAINING</v>
      </c>
      <c r="C67" s="12"/>
      <c r="D67" s="7"/>
      <c r="E67" s="3"/>
      <c r="F67" s="8">
        <f t="shared" si="40"/>
        <v>0</v>
      </c>
      <c r="G67" s="3"/>
      <c r="H67" s="7">
        <v>946</v>
      </c>
      <c r="I67" s="3"/>
      <c r="J67" s="8">
        <f t="shared" si="41"/>
        <v>0</v>
      </c>
      <c r="K67" s="3"/>
      <c r="L67" s="7">
        <f t="shared" si="42"/>
        <v>-946</v>
      </c>
      <c r="M67" s="3"/>
      <c r="N67" s="8">
        <f t="shared" si="43"/>
        <v>-1</v>
      </c>
      <c r="O67" s="12"/>
      <c r="P67" s="7"/>
      <c r="Q67" s="3"/>
      <c r="R67" s="8">
        <f t="shared" si="44"/>
        <v>0</v>
      </c>
      <c r="S67" s="3"/>
      <c r="T67" s="7">
        <v>946</v>
      </c>
      <c r="U67" s="3"/>
      <c r="V67" s="8">
        <f t="shared" si="45"/>
        <v>0</v>
      </c>
      <c r="W67" s="3"/>
      <c r="X67" s="7">
        <f t="shared" si="46"/>
        <v>-946</v>
      </c>
      <c r="Y67" s="3"/>
      <c r="Z67" s="8">
        <f t="shared" si="47"/>
        <v>-1</v>
      </c>
    </row>
    <row r="68" spans="1:26" s="54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2" customFormat="1" x14ac:dyDescent="0.25">
      <c r="A69" s="10"/>
      <c r="B69" s="26" t="s">
        <v>0</v>
      </c>
      <c r="C69" s="10"/>
      <c r="D69" s="4">
        <f>SUM(0)</f>
        <v>0</v>
      </c>
      <c r="E69" s="4"/>
      <c r="F69" s="11">
        <f>IF(D$12=0,0,D69/D$12)</f>
        <v>0</v>
      </c>
      <c r="G69" s="4"/>
      <c r="H69" s="4">
        <f>SUM(0)</f>
        <v>0</v>
      </c>
      <c r="I69" s="4"/>
      <c r="J69" s="11">
        <f>IF(H$12=0,0,H69/H$12)</f>
        <v>0</v>
      </c>
      <c r="K69" s="4"/>
      <c r="L69" s="4">
        <f>+D69-H69</f>
        <v>0</v>
      </c>
      <c r="M69" s="4"/>
      <c r="N69" s="11">
        <f>IF(H69=0,0,L69/H69)</f>
        <v>0</v>
      </c>
      <c r="O69" s="10"/>
      <c r="P69" s="4">
        <f>SUM(0)</f>
        <v>0</v>
      </c>
      <c r="Q69" s="4"/>
      <c r="R69" s="11">
        <f>IF(P$12=0,0,P69/P$12)</f>
        <v>0</v>
      </c>
      <c r="S69" s="4"/>
      <c r="T69" s="4">
        <f>SUM(0)</f>
        <v>0</v>
      </c>
      <c r="U69" s="4"/>
      <c r="V69" s="11">
        <f>IF(T$12=0,0,T69/T$12)</f>
        <v>0</v>
      </c>
      <c r="W69" s="4"/>
      <c r="X69" s="4">
        <f>+P69-T69</f>
        <v>0</v>
      </c>
      <c r="Y69" s="4"/>
      <c r="Z69" s="11">
        <f>IF(T69=0,0,X69/T69)</f>
        <v>0</v>
      </c>
    </row>
    <row r="70" spans="1:26" x14ac:dyDescent="0.25">
      <c r="A70" s="9"/>
      <c r="B70" s="10"/>
      <c r="C70" s="10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10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2" customFormat="1" x14ac:dyDescent="0.25">
      <c r="A71" s="10"/>
      <c r="B71" s="25" t="s">
        <v>3</v>
      </c>
      <c r="C71" s="25"/>
      <c r="D71" s="21">
        <f>+D16-D18+D69</f>
        <v>-51043.509999999995</v>
      </c>
      <c r="E71" s="13"/>
      <c r="F71" s="20">
        <f>IF(D$12=0,0,D71/D$12)</f>
        <v>0</v>
      </c>
      <c r="G71" s="13"/>
      <c r="H71" s="21">
        <f>+H16-H18+H69</f>
        <v>-59113.15723076927</v>
      </c>
      <c r="I71" s="13"/>
      <c r="J71" s="20">
        <f>IF(H$12=0,0,H71/H$12)</f>
        <v>0</v>
      </c>
      <c r="K71" s="15"/>
      <c r="L71" s="21">
        <f>+D71-H71</f>
        <v>8069.6472307692748</v>
      </c>
      <c r="M71" s="15"/>
      <c r="N71" s="20">
        <f>IF(H71=0,0,L71/H71)</f>
        <v>-0.13651186315876399</v>
      </c>
      <c r="O71" s="26"/>
      <c r="P71" s="21">
        <f>+P16-P18+P69</f>
        <v>-51043.509999999995</v>
      </c>
      <c r="Q71" s="13"/>
      <c r="R71" s="20">
        <f>IF(P$12=0,0,P71/P$12)</f>
        <v>0</v>
      </c>
      <c r="S71" s="13"/>
      <c r="T71" s="21">
        <f>+T16-T18+T69</f>
        <v>-59113.15723076927</v>
      </c>
      <c r="U71" s="13"/>
      <c r="V71" s="20">
        <f>IF(T$12=0,0,T71/T$12)</f>
        <v>0</v>
      </c>
      <c r="W71" s="15"/>
      <c r="X71" s="21">
        <f>+P71-T71</f>
        <v>8069.6472307692748</v>
      </c>
      <c r="Y71" s="15"/>
      <c r="Z71" s="20">
        <f>IF(T71=0,0,X71/T71)</f>
        <v>-0.13651186315876399</v>
      </c>
    </row>
    <row r="72" spans="1:26" x14ac:dyDescent="0.25">
      <c r="A72" s="9"/>
      <c r="B72" s="10"/>
      <c r="C72" s="9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2" customFormat="1" x14ac:dyDescent="0.25">
      <c r="A73" s="52"/>
      <c r="B73" s="10" t="s">
        <v>14</v>
      </c>
      <c r="C73" s="10"/>
      <c r="D73" s="4"/>
      <c r="E73" s="4"/>
      <c r="F73" s="11">
        <f>IF(D$12=0,0,D73/D$12)</f>
        <v>0</v>
      </c>
      <c r="G73" s="4"/>
      <c r="H73" s="4"/>
      <c r="I73" s="4"/>
      <c r="J73" s="11">
        <f>IF(H$12=0,0,H73/H$12)</f>
        <v>0</v>
      </c>
      <c r="K73" s="4"/>
      <c r="L73" s="4">
        <f>+D73-H73</f>
        <v>0</v>
      </c>
      <c r="M73" s="4"/>
      <c r="N73" s="11">
        <f>IF(H73=0,0,L73/H73)</f>
        <v>0</v>
      </c>
      <c r="O73" s="10"/>
      <c r="P73" s="4"/>
      <c r="Q73" s="4"/>
      <c r="R73" s="11">
        <f>IF(P$12=0,0,P73/P$12)</f>
        <v>0</v>
      </c>
      <c r="S73" s="4"/>
      <c r="T73" s="4"/>
      <c r="U73" s="4"/>
      <c r="V73" s="11">
        <f>IF(T$12=0,0,T73/T$12)</f>
        <v>0</v>
      </c>
      <c r="W73" s="4"/>
      <c r="X73" s="4">
        <f>+P73-T73</f>
        <v>0</v>
      </c>
      <c r="Y73" s="4"/>
      <c r="Z73" s="11">
        <f>IF(T73=0,0,X73/T73)</f>
        <v>0</v>
      </c>
    </row>
    <row r="74" spans="1:26" x14ac:dyDescent="0.25">
      <c r="A74" s="9"/>
      <c r="B74" s="10"/>
      <c r="C74" s="10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10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2" customFormat="1" ht="15.75" thickBot="1" x14ac:dyDescent="0.3">
      <c r="A75" s="10"/>
      <c r="B75" s="25" t="s">
        <v>4</v>
      </c>
      <c r="C75" s="25"/>
      <c r="D75" s="34">
        <f>+D71-D73</f>
        <v>-51043.509999999995</v>
      </c>
      <c r="E75" s="13"/>
      <c r="F75" s="30">
        <f>IF(D$12=0,0,D75/D$12)</f>
        <v>0</v>
      </c>
      <c r="G75" s="13"/>
      <c r="H75" s="34">
        <f>+H71-H73</f>
        <v>-59113.15723076927</v>
      </c>
      <c r="I75" s="13"/>
      <c r="J75" s="30">
        <f>IF(H$12=0,0,H75/H$12)</f>
        <v>0</v>
      </c>
      <c r="K75" s="15"/>
      <c r="L75" s="34">
        <f>D75-H75</f>
        <v>8069.6472307692748</v>
      </c>
      <c r="M75" s="15"/>
      <c r="N75" s="30">
        <f>IF(H75=0,0,L75/H75)</f>
        <v>-0.13651186315876399</v>
      </c>
      <c r="O75" s="26"/>
      <c r="P75" s="34">
        <f>+P71-P73</f>
        <v>-51043.509999999995</v>
      </c>
      <c r="Q75" s="13"/>
      <c r="R75" s="30">
        <f>IF(P$12=0,0,P75/P$12)</f>
        <v>0</v>
      </c>
      <c r="S75" s="13"/>
      <c r="T75" s="34">
        <f>+T71-T73</f>
        <v>-59113.15723076927</v>
      </c>
      <c r="U75" s="13"/>
      <c r="V75" s="30">
        <f>IF(T$12=0,0,T75/T$12)</f>
        <v>0</v>
      </c>
      <c r="W75" s="15"/>
      <c r="X75" s="34">
        <f>P75-T75</f>
        <v>8069.6472307692748</v>
      </c>
      <c r="Y75" s="15"/>
      <c r="Z75" s="30">
        <f>IF(T75=0,0,X75/T75)</f>
        <v>-0.13651186315876399</v>
      </c>
    </row>
    <row r="76" spans="1:26" ht="15.75" thickTop="1" x14ac:dyDescent="0.25">
      <c r="A76" s="9"/>
      <c r="B76" s="9"/>
      <c r="C76" s="9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x14ac:dyDescent="0.25">
      <c r="A77" s="9"/>
      <c r="B77" s="9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2" customFormat="1" ht="15.75" thickBot="1" x14ac:dyDescent="0.3">
      <c r="A78" s="10"/>
      <c r="B78" s="25" t="s">
        <v>5</v>
      </c>
      <c r="C78" s="25"/>
      <c r="D78" s="32">
        <f>SUM(D75:D77)</f>
        <v>-51043.509999999995</v>
      </c>
      <c r="E78" s="13"/>
      <c r="F78" s="33">
        <f>IF(D$12=0,0,D78/D$12)</f>
        <v>0</v>
      </c>
      <c r="G78" s="13"/>
      <c r="H78" s="32">
        <f>SUM(H75:H77)</f>
        <v>-59113.15723076927</v>
      </c>
      <c r="I78" s="13"/>
      <c r="J78" s="33">
        <f>IF(H$12=0,0,H78/H$12)</f>
        <v>0</v>
      </c>
      <c r="K78" s="15"/>
      <c r="L78" s="32">
        <f>+D78-H78</f>
        <v>8069.6472307692748</v>
      </c>
      <c r="M78" s="15"/>
      <c r="N78" s="33">
        <f>IF(H78=0,0,L78/H78)</f>
        <v>-0.13651186315876399</v>
      </c>
      <c r="O78" s="26"/>
      <c r="P78" s="32">
        <f>SUM(P75:P77)</f>
        <v>-51043.509999999995</v>
      </c>
      <c r="Q78" s="13"/>
      <c r="R78" s="33">
        <f>IF(P$12=0,0,P78/P$12)</f>
        <v>0</v>
      </c>
      <c r="S78" s="13"/>
      <c r="T78" s="32">
        <f>SUM(T75:T77)</f>
        <v>-59113.15723076927</v>
      </c>
      <c r="U78" s="13"/>
      <c r="V78" s="33">
        <f>IF(T$12=0,0,T78/T$12)</f>
        <v>0</v>
      </c>
      <c r="W78" s="15"/>
      <c r="X78" s="32">
        <f>+P78-T78</f>
        <v>8069.6472307692748</v>
      </c>
      <c r="Y78" s="15"/>
      <c r="Z78" s="33">
        <f>IF(T78=0,0,X78/T78)</f>
        <v>-0.13651186315876399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8">
        <v>44104.685750381941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6" t="s">
        <v>314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62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","204", " - ", "Information Technology")</f>
        <v>Department 204 - Information Technology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56908.759999999995</v>
      </c>
      <c r="E18" s="19"/>
      <c r="F18" s="31">
        <f t="shared" ref="F18:F29" si="0">IF(D$12=0,0,D18/D$12)</f>
        <v>0</v>
      </c>
      <c r="G18" s="19"/>
      <c r="H18" s="19">
        <f>SUM(OSRRefH22x_0)</f>
        <v>50002.04392307697</v>
      </c>
      <c r="I18" s="19"/>
      <c r="J18" s="31">
        <f t="shared" ref="J18:J29" si="1">IF(H$12=0,0,H18/H$12)</f>
        <v>0</v>
      </c>
      <c r="K18" s="4"/>
      <c r="L18" s="19">
        <f t="shared" ref="L18:L29" si="2">+D18-H18</f>
        <v>6906.716076923025</v>
      </c>
      <c r="M18" s="4"/>
      <c r="N18" s="31">
        <f t="shared" ref="N18:N29" si="3">IF(H18=0,0,L18/H18)</f>
        <v>0.13812867505072995</v>
      </c>
      <c r="O18" s="10"/>
      <c r="P18" s="19">
        <f>SUM(OSRRefP22x_0)</f>
        <v>56908.759999999995</v>
      </c>
      <c r="Q18" s="19"/>
      <c r="R18" s="31">
        <f t="shared" ref="R18:R29" si="4">IF(P$12=0,0,P18/P$12)</f>
        <v>0</v>
      </c>
      <c r="S18" s="19"/>
      <c r="T18" s="19">
        <f>SUM(OSRRefT22x_0)</f>
        <v>50002.04392307697</v>
      </c>
      <c r="U18" s="19"/>
      <c r="V18" s="31">
        <f t="shared" ref="V18:V29" si="5">IF(T$12=0,0,T18/T$12)</f>
        <v>0</v>
      </c>
      <c r="W18" s="4"/>
      <c r="X18" s="19">
        <f t="shared" ref="X18:X29" si="6">+P18-T18</f>
        <v>6906.716076923025</v>
      </c>
      <c r="Y18" s="4"/>
      <c r="Z18" s="31">
        <f t="shared" ref="Z18:Z29" si="7">IF(T18=0,0,X18/T18)</f>
        <v>0.13812867505072995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13050.55</v>
      </c>
      <c r="E19" s="1"/>
      <c r="F19" s="5">
        <f t="shared" si="0"/>
        <v>0</v>
      </c>
      <c r="G19" s="1"/>
      <c r="H19" s="1">
        <f>SUM(OSRRefH22_0x_0)</f>
        <v>15258.19776923077</v>
      </c>
      <c r="I19" s="1"/>
      <c r="J19" s="5">
        <f t="shared" si="1"/>
        <v>0</v>
      </c>
      <c r="K19" s="1"/>
      <c r="L19" s="1">
        <f t="shared" si="2"/>
        <v>-2207.6477692307708</v>
      </c>
      <c r="M19" s="1"/>
      <c r="N19" s="5">
        <f t="shared" si="3"/>
        <v>-0.14468601093129413</v>
      </c>
      <c r="O19" s="14"/>
      <c r="P19" s="1">
        <f>SUM(OSRRefP22_0x_0)</f>
        <v>13050.55</v>
      </c>
      <c r="Q19" s="1"/>
      <c r="R19" s="5">
        <f t="shared" si="4"/>
        <v>0</v>
      </c>
      <c r="S19" s="1"/>
      <c r="T19" s="1">
        <f>SUM(OSRRefT22_0x_0)</f>
        <v>15258.19776923077</v>
      </c>
      <c r="U19" s="1"/>
      <c r="V19" s="5">
        <f t="shared" si="5"/>
        <v>0</v>
      </c>
      <c r="W19" s="1"/>
      <c r="X19" s="1">
        <f t="shared" si="6"/>
        <v>-2207.6477692307708</v>
      </c>
      <c r="Y19" s="1"/>
      <c r="Z19" s="5">
        <f t="shared" si="7"/>
        <v>-0.14468601093129413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1654.1</v>
      </c>
      <c r="E20" s="3"/>
      <c r="F20" s="8">
        <f t="shared" si="0"/>
        <v>0</v>
      </c>
      <c r="G20" s="3"/>
      <c r="H20" s="7">
        <v>2411.8723846153798</v>
      </c>
      <c r="I20" s="3"/>
      <c r="J20" s="8">
        <f t="shared" si="1"/>
        <v>0</v>
      </c>
      <c r="K20" s="3"/>
      <c r="L20" s="7">
        <f t="shared" si="2"/>
        <v>-757.77238461537991</v>
      </c>
      <c r="M20" s="3"/>
      <c r="N20" s="8">
        <f t="shared" si="3"/>
        <v>-0.31418427834282847</v>
      </c>
      <c r="O20" s="12"/>
      <c r="P20" s="7">
        <v>1654.1</v>
      </c>
      <c r="Q20" s="3"/>
      <c r="R20" s="8">
        <f t="shared" si="4"/>
        <v>0</v>
      </c>
      <c r="S20" s="3"/>
      <c r="T20" s="7">
        <v>2411.8723846153798</v>
      </c>
      <c r="U20" s="3"/>
      <c r="V20" s="8">
        <f t="shared" si="5"/>
        <v>0</v>
      </c>
      <c r="W20" s="3"/>
      <c r="X20" s="7">
        <f t="shared" si="6"/>
        <v>-757.77238461537991</v>
      </c>
      <c r="Y20" s="3"/>
      <c r="Z20" s="8">
        <f t="shared" si="7"/>
        <v>-0.31418427834282847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71.349999999999994</v>
      </c>
      <c r="E21" s="3"/>
      <c r="F21" s="8">
        <f t="shared" si="0"/>
        <v>0</v>
      </c>
      <c r="G21" s="3"/>
      <c r="H21" s="7">
        <v>104.000769230769</v>
      </c>
      <c r="I21" s="3"/>
      <c r="J21" s="8">
        <f t="shared" si="1"/>
        <v>0</v>
      </c>
      <c r="K21" s="3"/>
      <c r="L21" s="7">
        <f t="shared" si="2"/>
        <v>-32.650769230769001</v>
      </c>
      <c r="M21" s="3"/>
      <c r="N21" s="8">
        <f t="shared" si="3"/>
        <v>-0.31394738204598927</v>
      </c>
      <c r="O21" s="12"/>
      <c r="P21" s="7">
        <v>71.349999999999994</v>
      </c>
      <c r="Q21" s="3"/>
      <c r="R21" s="8">
        <f t="shared" si="4"/>
        <v>0</v>
      </c>
      <c r="S21" s="3"/>
      <c r="T21" s="7">
        <v>104.000769230769</v>
      </c>
      <c r="U21" s="3"/>
      <c r="V21" s="8">
        <f t="shared" si="5"/>
        <v>0</v>
      </c>
      <c r="W21" s="3"/>
      <c r="X21" s="7">
        <f t="shared" si="6"/>
        <v>-32.650769230769001</v>
      </c>
      <c r="Y21" s="3"/>
      <c r="Z21" s="8">
        <f t="shared" si="7"/>
        <v>-0.31394738204598927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5567.87</v>
      </c>
      <c r="E22" s="3"/>
      <c r="F22" s="8">
        <f t="shared" si="0"/>
        <v>0</v>
      </c>
      <c r="G22" s="3"/>
      <c r="H22" s="7">
        <v>7206.9230769230799</v>
      </c>
      <c r="I22" s="3"/>
      <c r="J22" s="8">
        <f t="shared" si="1"/>
        <v>0</v>
      </c>
      <c r="K22" s="3"/>
      <c r="L22" s="7">
        <f t="shared" si="2"/>
        <v>-1639.05307692308</v>
      </c>
      <c r="M22" s="3"/>
      <c r="N22" s="8">
        <f t="shared" si="3"/>
        <v>-0.22742758031807056</v>
      </c>
      <c r="O22" s="12"/>
      <c r="P22" s="7">
        <v>5567.87</v>
      </c>
      <c r="Q22" s="3"/>
      <c r="R22" s="8">
        <f t="shared" si="4"/>
        <v>0</v>
      </c>
      <c r="S22" s="3"/>
      <c r="T22" s="7">
        <v>7206.9230769230799</v>
      </c>
      <c r="U22" s="3"/>
      <c r="V22" s="8">
        <f t="shared" si="5"/>
        <v>0</v>
      </c>
      <c r="W22" s="3"/>
      <c r="X22" s="7">
        <f t="shared" si="6"/>
        <v>-1639.05307692308</v>
      </c>
      <c r="Y22" s="3"/>
      <c r="Z22" s="8">
        <f t="shared" si="7"/>
        <v>-0.22742758031807056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56.22</v>
      </c>
      <c r="E23" s="3"/>
      <c r="F23" s="8">
        <f t="shared" si="0"/>
        <v>0</v>
      </c>
      <c r="G23" s="3"/>
      <c r="H23" s="7">
        <v>81.94</v>
      </c>
      <c r="I23" s="3"/>
      <c r="J23" s="8">
        <f t="shared" si="1"/>
        <v>0</v>
      </c>
      <c r="K23" s="3"/>
      <c r="L23" s="7">
        <f t="shared" si="2"/>
        <v>-25.72</v>
      </c>
      <c r="M23" s="3"/>
      <c r="N23" s="8">
        <f t="shared" si="3"/>
        <v>-0.31388821088601415</v>
      </c>
      <c r="O23" s="12"/>
      <c r="P23" s="7">
        <v>56.22</v>
      </c>
      <c r="Q23" s="3"/>
      <c r="R23" s="8">
        <f t="shared" si="4"/>
        <v>0</v>
      </c>
      <c r="S23" s="3"/>
      <c r="T23" s="7">
        <v>81.94</v>
      </c>
      <c r="U23" s="3"/>
      <c r="V23" s="8">
        <f t="shared" si="5"/>
        <v>0</v>
      </c>
      <c r="W23" s="3"/>
      <c r="X23" s="7">
        <f t="shared" si="6"/>
        <v>-25.72</v>
      </c>
      <c r="Y23" s="3"/>
      <c r="Z23" s="8">
        <f t="shared" si="7"/>
        <v>-0.31388821088601415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2791.81</v>
      </c>
      <c r="E24" s="3"/>
      <c r="F24" s="8">
        <f t="shared" si="0"/>
        <v>0</v>
      </c>
      <c r="G24" s="3"/>
      <c r="H24" s="7">
        <v>1901.9230769230799</v>
      </c>
      <c r="I24" s="3"/>
      <c r="J24" s="8">
        <f t="shared" si="1"/>
        <v>0</v>
      </c>
      <c r="K24" s="3"/>
      <c r="L24" s="7">
        <f t="shared" si="2"/>
        <v>889.88692307692008</v>
      </c>
      <c r="M24" s="3"/>
      <c r="N24" s="8">
        <f t="shared" si="3"/>
        <v>0.46788796764408264</v>
      </c>
      <c r="O24" s="12"/>
      <c r="P24" s="7">
        <v>2791.81</v>
      </c>
      <c r="Q24" s="3"/>
      <c r="R24" s="8">
        <f t="shared" si="4"/>
        <v>0</v>
      </c>
      <c r="S24" s="3"/>
      <c r="T24" s="7">
        <v>1901.9230769230799</v>
      </c>
      <c r="U24" s="3"/>
      <c r="V24" s="8">
        <f t="shared" si="5"/>
        <v>0</v>
      </c>
      <c r="W24" s="3"/>
      <c r="X24" s="7">
        <f t="shared" si="6"/>
        <v>889.88692307692008</v>
      </c>
      <c r="Y24" s="3"/>
      <c r="Z24" s="8">
        <f t="shared" si="7"/>
        <v>0.46788796764408264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300</v>
      </c>
      <c r="I25" s="3"/>
      <c r="J25" s="8">
        <f t="shared" si="1"/>
        <v>0</v>
      </c>
      <c r="K25" s="3"/>
      <c r="L25" s="7">
        <f t="shared" si="2"/>
        <v>-300</v>
      </c>
      <c r="M25" s="3"/>
      <c r="N25" s="8">
        <f t="shared" si="3"/>
        <v>-1</v>
      </c>
      <c r="O25" s="12"/>
      <c r="P25" s="7"/>
      <c r="Q25" s="3"/>
      <c r="R25" s="8">
        <f t="shared" si="4"/>
        <v>0</v>
      </c>
      <c r="S25" s="3"/>
      <c r="T25" s="7">
        <v>300</v>
      </c>
      <c r="U25" s="3"/>
      <c r="V25" s="8">
        <f t="shared" si="5"/>
        <v>0</v>
      </c>
      <c r="W25" s="3"/>
      <c r="X25" s="7">
        <f t="shared" si="6"/>
        <v>-300</v>
      </c>
      <c r="Y25" s="3"/>
      <c r="Z25" s="8">
        <f t="shared" si="7"/>
        <v>-1</v>
      </c>
    </row>
    <row r="26" spans="1:26" s="24" customFormat="1" hidden="1" outlineLevel="2" x14ac:dyDescent="0.25">
      <c r="A26" s="27"/>
      <c r="B26" s="12" t="str">
        <f>CONCATENATE("          ", "6117", " - ", "RETIREMENT STAFF HOURLY")</f>
        <v xml:space="preserve">          6117 - RETIREMENT STAFF HOURLY</v>
      </c>
      <c r="C26" s="12"/>
      <c r="D26" s="7">
        <v>251.52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251.52</v>
      </c>
      <c r="M26" s="3"/>
      <c r="N26" s="8">
        <f t="shared" si="3"/>
        <v>0</v>
      </c>
      <c r="O26" s="12"/>
      <c r="P26" s="7">
        <v>251.52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251.52</v>
      </c>
      <c r="Y26" s="3"/>
      <c r="Z26" s="8">
        <f t="shared" si="7"/>
        <v>0</v>
      </c>
    </row>
    <row r="27" spans="1:26" s="24" customFormat="1" hidden="1" outlineLevel="2" x14ac:dyDescent="0.25">
      <c r="A27" s="27"/>
      <c r="B27" s="12" t="str">
        <f>CONCATENATE("          ", "6118", " - ", "VACATION")</f>
        <v xml:space="preserve">          6118 - VACATION</v>
      </c>
      <c r="C27" s="12"/>
      <c r="D27" s="7">
        <v>1474.64</v>
      </c>
      <c r="E27" s="3"/>
      <c r="F27" s="8">
        <f t="shared" si="0"/>
        <v>0</v>
      </c>
      <c r="G27" s="3"/>
      <c r="H27" s="7">
        <v>1325.76923076923</v>
      </c>
      <c r="I27" s="3"/>
      <c r="J27" s="8">
        <f t="shared" si="1"/>
        <v>0</v>
      </c>
      <c r="K27" s="3"/>
      <c r="L27" s="7">
        <f t="shared" si="2"/>
        <v>148.87076923077007</v>
      </c>
      <c r="M27" s="3"/>
      <c r="N27" s="8">
        <f t="shared" si="3"/>
        <v>0.11229010733971638</v>
      </c>
      <c r="O27" s="12"/>
      <c r="P27" s="7">
        <v>1474.64</v>
      </c>
      <c r="Q27" s="3"/>
      <c r="R27" s="8">
        <f t="shared" si="4"/>
        <v>0</v>
      </c>
      <c r="S27" s="3"/>
      <c r="T27" s="7">
        <v>1325.76923076923</v>
      </c>
      <c r="U27" s="3"/>
      <c r="V27" s="8">
        <f t="shared" si="5"/>
        <v>0</v>
      </c>
      <c r="W27" s="3"/>
      <c r="X27" s="7">
        <f t="shared" si="6"/>
        <v>148.87076923077007</v>
      </c>
      <c r="Y27" s="3"/>
      <c r="Z27" s="8">
        <f t="shared" si="7"/>
        <v>0.11229010733971638</v>
      </c>
    </row>
    <row r="28" spans="1:26" s="24" customFormat="1" hidden="1" outlineLevel="2" x14ac:dyDescent="0.25">
      <c r="A28" s="27"/>
      <c r="B28" s="12" t="str">
        <f>CONCATENATE("          ", "6119", " - ", "SICK LEAVE")</f>
        <v xml:space="preserve">          6119 - SICK LEAVE</v>
      </c>
      <c r="C28" s="12"/>
      <c r="D28" s="7">
        <v>999.04</v>
      </c>
      <c r="E28" s="3"/>
      <c r="F28" s="8">
        <f t="shared" si="0"/>
        <v>0</v>
      </c>
      <c r="G28" s="3"/>
      <c r="H28" s="7">
        <v>1325.76923076923</v>
      </c>
      <c r="I28" s="3"/>
      <c r="J28" s="8">
        <f t="shared" si="1"/>
        <v>0</v>
      </c>
      <c r="K28" s="3"/>
      <c r="L28" s="7">
        <f t="shared" si="2"/>
        <v>-326.72923076923007</v>
      </c>
      <c r="M28" s="3"/>
      <c r="N28" s="8">
        <f t="shared" si="3"/>
        <v>-0.24644502465912349</v>
      </c>
      <c r="O28" s="12"/>
      <c r="P28" s="7">
        <v>999.04</v>
      </c>
      <c r="Q28" s="3"/>
      <c r="R28" s="8">
        <f t="shared" si="4"/>
        <v>0</v>
      </c>
      <c r="S28" s="3"/>
      <c r="T28" s="7">
        <v>1325.76923076923</v>
      </c>
      <c r="U28" s="3"/>
      <c r="V28" s="8">
        <f t="shared" si="5"/>
        <v>0</v>
      </c>
      <c r="W28" s="3"/>
      <c r="X28" s="7">
        <f t="shared" si="6"/>
        <v>-326.72923076923007</v>
      </c>
      <c r="Y28" s="3"/>
      <c r="Z28" s="8">
        <f t="shared" si="7"/>
        <v>-0.24644502465912349</v>
      </c>
    </row>
    <row r="29" spans="1:26" s="24" customFormat="1" hidden="1" outlineLevel="2" x14ac:dyDescent="0.25">
      <c r="A29" s="27"/>
      <c r="B29" s="12" t="str">
        <f>CONCATENATE("          ", "6156", " - ", "EMPLOYEE MEALS")</f>
        <v xml:space="preserve">          6156 - EMPLOYEE MEALS</v>
      </c>
      <c r="C29" s="12"/>
      <c r="D29" s="7">
        <v>184</v>
      </c>
      <c r="E29" s="3"/>
      <c r="F29" s="8">
        <f t="shared" si="0"/>
        <v>0</v>
      </c>
      <c r="G29" s="3"/>
      <c r="H29" s="7">
        <v>600</v>
      </c>
      <c r="I29" s="3"/>
      <c r="J29" s="8">
        <f t="shared" si="1"/>
        <v>0</v>
      </c>
      <c r="K29" s="3"/>
      <c r="L29" s="7">
        <f t="shared" si="2"/>
        <v>-416</v>
      </c>
      <c r="M29" s="3"/>
      <c r="N29" s="8">
        <f t="shared" si="3"/>
        <v>-0.69333333333333336</v>
      </c>
      <c r="O29" s="12"/>
      <c r="P29" s="7">
        <v>184</v>
      </c>
      <c r="Q29" s="3"/>
      <c r="R29" s="8">
        <f t="shared" si="4"/>
        <v>0</v>
      </c>
      <c r="S29" s="3"/>
      <c r="T29" s="7">
        <v>600</v>
      </c>
      <c r="U29" s="3"/>
      <c r="V29" s="8">
        <f t="shared" si="5"/>
        <v>0</v>
      </c>
      <c r="W29" s="3"/>
      <c r="X29" s="7">
        <f t="shared" si="6"/>
        <v>-416</v>
      </c>
      <c r="Y29" s="3"/>
      <c r="Z29" s="8">
        <f t="shared" si="7"/>
        <v>-0.69333333333333336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25546.420000000002</v>
      </c>
      <c r="E30" s="1"/>
      <c r="F30" s="5">
        <f t="shared" ref="F30:F40" si="8">IF(D$12=0,0,D30/D$12)</f>
        <v>0</v>
      </c>
      <c r="G30" s="1"/>
      <c r="H30" s="1">
        <f>SUM(OSRRefH22_1x_0)</f>
        <v>28863.8461538462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-3317.4261538461978</v>
      </c>
      <c r="M30" s="1"/>
      <c r="N30" s="5">
        <f t="shared" ref="N30:N40" si="11">IF(H30=0,0,L30/H30)</f>
        <v>-0.11493361405005065</v>
      </c>
      <c r="O30" s="14"/>
      <c r="P30" s="1">
        <f>SUM(OSRRefP22_1x_0)</f>
        <v>25546.420000000002</v>
      </c>
      <c r="Q30" s="1"/>
      <c r="R30" s="5">
        <f t="shared" ref="R30:R40" si="12">IF(P$12=0,0,P30/P$12)</f>
        <v>0</v>
      </c>
      <c r="S30" s="1"/>
      <c r="T30" s="1">
        <f>SUM(OSRRefT22_1x_0)</f>
        <v>28863.8461538462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-3317.4261538461978</v>
      </c>
      <c r="Y30" s="1"/>
      <c r="Z30" s="5">
        <f t="shared" ref="Z30:Z40" si="15">IF(T30=0,0,X30/T30)</f>
        <v>-0.11493361405005065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/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0</v>
      </c>
      <c r="M31" s="3"/>
      <c r="N31" s="8">
        <f t="shared" si="11"/>
        <v>0</v>
      </c>
      <c r="O31" s="12"/>
      <c r="P31" s="7"/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0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>
        <v>21357.08</v>
      </c>
      <c r="E32" s="3"/>
      <c r="F32" s="8">
        <f t="shared" si="8"/>
        <v>0</v>
      </c>
      <c r="G32" s="3"/>
      <c r="H32" s="7">
        <v>19903.8461538462</v>
      </c>
      <c r="I32" s="3"/>
      <c r="J32" s="8">
        <f t="shared" si="9"/>
        <v>0</v>
      </c>
      <c r="K32" s="3"/>
      <c r="L32" s="7">
        <f t="shared" si="10"/>
        <v>1453.233846153802</v>
      </c>
      <c r="M32" s="3"/>
      <c r="N32" s="8">
        <f t="shared" si="11"/>
        <v>7.3012714975843024E-2</v>
      </c>
      <c r="O32" s="12"/>
      <c r="P32" s="7">
        <v>21357.08</v>
      </c>
      <c r="Q32" s="3"/>
      <c r="R32" s="8">
        <f t="shared" si="12"/>
        <v>0</v>
      </c>
      <c r="S32" s="3"/>
      <c r="T32" s="7">
        <v>19903.8461538462</v>
      </c>
      <c r="U32" s="3"/>
      <c r="V32" s="8">
        <f t="shared" si="13"/>
        <v>0</v>
      </c>
      <c r="W32" s="3"/>
      <c r="X32" s="7">
        <f t="shared" si="14"/>
        <v>1453.233846153802</v>
      </c>
      <c r="Y32" s="3"/>
      <c r="Z32" s="8">
        <f t="shared" si="15"/>
        <v>7.3012714975843024E-2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>
        <v>3350.34</v>
      </c>
      <c r="E34" s="3"/>
      <c r="F34" s="8">
        <f t="shared" si="8"/>
        <v>0</v>
      </c>
      <c r="G34" s="3"/>
      <c r="H34" s="7">
        <v>8960</v>
      </c>
      <c r="I34" s="3"/>
      <c r="J34" s="8">
        <f t="shared" si="9"/>
        <v>0</v>
      </c>
      <c r="K34" s="3"/>
      <c r="L34" s="7">
        <f t="shared" si="10"/>
        <v>-5609.66</v>
      </c>
      <c r="M34" s="3"/>
      <c r="N34" s="8">
        <f t="shared" si="11"/>
        <v>-0.62607812499999993</v>
      </c>
      <c r="O34" s="12"/>
      <c r="P34" s="7">
        <v>3350.34</v>
      </c>
      <c r="Q34" s="3"/>
      <c r="R34" s="8">
        <f t="shared" si="12"/>
        <v>0</v>
      </c>
      <c r="S34" s="3"/>
      <c r="T34" s="7">
        <v>8960</v>
      </c>
      <c r="U34" s="3"/>
      <c r="V34" s="8">
        <f t="shared" si="13"/>
        <v>0</v>
      </c>
      <c r="W34" s="3"/>
      <c r="X34" s="7">
        <f t="shared" si="14"/>
        <v>-5609.66</v>
      </c>
      <c r="Y34" s="3"/>
      <c r="Z34" s="8">
        <f t="shared" si="15"/>
        <v>-0.62607812499999993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>
        <v>839</v>
      </c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839</v>
      </c>
      <c r="M37" s="3"/>
      <c r="N37" s="8">
        <f t="shared" si="11"/>
        <v>0</v>
      </c>
      <c r="O37" s="12"/>
      <c r="P37" s="7">
        <v>839</v>
      </c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839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8"/>
        <v>0</v>
      </c>
      <c r="G40" s="3"/>
      <c r="H40" s="7">
        <v>0</v>
      </c>
      <c r="I40" s="3"/>
      <c r="J40" s="8">
        <f t="shared" si="9"/>
        <v>0</v>
      </c>
      <c r="K40" s="3"/>
      <c r="L40" s="7">
        <f t="shared" si="10"/>
        <v>0</v>
      </c>
      <c r="M40" s="3"/>
      <c r="N40" s="8">
        <f t="shared" si="11"/>
        <v>0</v>
      </c>
      <c r="O40" s="12"/>
      <c r="P40" s="7"/>
      <c r="Q40" s="3"/>
      <c r="R40" s="8">
        <f t="shared" si="12"/>
        <v>0</v>
      </c>
      <c r="S40" s="3"/>
      <c r="T40" s="7">
        <v>0</v>
      </c>
      <c r="U40" s="3"/>
      <c r="V40" s="8">
        <f t="shared" si="13"/>
        <v>0</v>
      </c>
      <c r="W40" s="3"/>
      <c r="X40" s="7">
        <f t="shared" si="14"/>
        <v>0</v>
      </c>
      <c r="Y40" s="3"/>
      <c r="Z40" s="8">
        <f t="shared" si="15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100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-100</v>
      </c>
      <c r="M41" s="1"/>
      <c r="N41" s="5">
        <f t="shared" ref="N41:N45" si="19">IF(H41=0,0,L41/H41)</f>
        <v>-1</v>
      </c>
      <c r="O41" s="14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7"/>
      <c r="B42" s="12" t="str">
        <f>CONCATENATE("          ", "6362", " - ", "ADVERTISING EXPENSE")</f>
        <v xml:space="preserve">          6362 - ADVERTISING EXPENSE</v>
      </c>
      <c r="C42" s="12"/>
      <c r="D42" s="7"/>
      <c r="E42" s="3"/>
      <c r="F42" s="8">
        <f t="shared" si="16"/>
        <v>0</v>
      </c>
      <c r="G42" s="3"/>
      <c r="H42" s="7">
        <v>100</v>
      </c>
      <c r="I42" s="3"/>
      <c r="J42" s="8">
        <f t="shared" si="17"/>
        <v>0</v>
      </c>
      <c r="K42" s="3"/>
      <c r="L42" s="7">
        <f t="shared" si="18"/>
        <v>-100</v>
      </c>
      <c r="M42" s="3"/>
      <c r="N42" s="8">
        <f t="shared" si="19"/>
        <v>-1</v>
      </c>
      <c r="O42" s="12"/>
      <c r="P42" s="7"/>
      <c r="Q42" s="3"/>
      <c r="R42" s="8">
        <f t="shared" si="20"/>
        <v>0</v>
      </c>
      <c r="S42" s="3"/>
      <c r="T42" s="7">
        <v>100</v>
      </c>
      <c r="U42" s="3"/>
      <c r="V42" s="8">
        <f t="shared" si="21"/>
        <v>0</v>
      </c>
      <c r="W42" s="3"/>
      <c r="X42" s="7">
        <f t="shared" si="22"/>
        <v>-100</v>
      </c>
      <c r="Y42" s="3"/>
      <c r="Z42" s="8">
        <f t="shared" si="23"/>
        <v>-1</v>
      </c>
    </row>
    <row r="43" spans="1:26" s="29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5462.14</v>
      </c>
      <c r="E43" s="1"/>
      <c r="F43" s="5">
        <f t="shared" si="16"/>
        <v>0</v>
      </c>
      <c r="G43" s="1"/>
      <c r="H43" s="1">
        <f>SUM(OSRRefH22_3x_0)</f>
        <v>200</v>
      </c>
      <c r="I43" s="1"/>
      <c r="J43" s="5">
        <f t="shared" si="17"/>
        <v>0</v>
      </c>
      <c r="K43" s="1"/>
      <c r="L43" s="1">
        <f t="shared" si="18"/>
        <v>5262.14</v>
      </c>
      <c r="M43" s="1"/>
      <c r="N43" s="5">
        <f t="shared" si="19"/>
        <v>26.310700000000001</v>
      </c>
      <c r="O43" s="14"/>
      <c r="P43" s="1">
        <f>SUM(OSRRefP22_3x_0)</f>
        <v>5462.14</v>
      </c>
      <c r="Q43" s="1"/>
      <c r="R43" s="5">
        <f t="shared" si="20"/>
        <v>0</v>
      </c>
      <c r="S43" s="1"/>
      <c r="T43" s="1">
        <f>SUM(OSRRefT22_3x_0)</f>
        <v>200</v>
      </c>
      <c r="U43" s="1"/>
      <c r="V43" s="5">
        <f t="shared" si="21"/>
        <v>0</v>
      </c>
      <c r="W43" s="1"/>
      <c r="X43" s="1">
        <f t="shared" si="22"/>
        <v>5262.14</v>
      </c>
      <c r="Y43" s="1"/>
      <c r="Z43" s="5">
        <f t="shared" si="23"/>
        <v>26.310700000000001</v>
      </c>
    </row>
    <row r="44" spans="1:26" s="24" customFormat="1" hidden="1" outlineLevel="2" x14ac:dyDescent="0.25">
      <c r="A44" s="27"/>
      <c r="B44" s="12" t="str">
        <f>CONCATENATE("          ", "6322", " - ", "EQUIPMENT DEPRECIATION EXPENSE")</f>
        <v xml:space="preserve">          6322 - EQUIPMENT DEPRECIATION EXPENSE</v>
      </c>
      <c r="C44" s="12"/>
      <c r="D44" s="7">
        <v>5462.14</v>
      </c>
      <c r="E44" s="3"/>
      <c r="F44" s="8">
        <f t="shared" si="16"/>
        <v>0</v>
      </c>
      <c r="G44" s="3"/>
      <c r="H44" s="7">
        <v>100</v>
      </c>
      <c r="I44" s="3"/>
      <c r="J44" s="8">
        <f t="shared" si="17"/>
        <v>0</v>
      </c>
      <c r="K44" s="3"/>
      <c r="L44" s="7">
        <f t="shared" si="18"/>
        <v>5362.14</v>
      </c>
      <c r="M44" s="3"/>
      <c r="N44" s="8">
        <f t="shared" si="19"/>
        <v>53.621400000000001</v>
      </c>
      <c r="O44" s="12"/>
      <c r="P44" s="7">
        <v>5462.14</v>
      </c>
      <c r="Q44" s="3"/>
      <c r="R44" s="8">
        <f t="shared" si="20"/>
        <v>0</v>
      </c>
      <c r="S44" s="3"/>
      <c r="T44" s="7">
        <v>100</v>
      </c>
      <c r="U44" s="3"/>
      <c r="V44" s="8">
        <f t="shared" si="21"/>
        <v>0</v>
      </c>
      <c r="W44" s="3"/>
      <c r="X44" s="7">
        <f t="shared" si="22"/>
        <v>5362.14</v>
      </c>
      <c r="Y44" s="3"/>
      <c r="Z44" s="8">
        <f t="shared" si="23"/>
        <v>53.621400000000001</v>
      </c>
    </row>
    <row r="45" spans="1:26" s="24" customFormat="1" hidden="1" outlineLevel="2" x14ac:dyDescent="0.25">
      <c r="A45" s="27"/>
      <c r="B45" s="12" t="str">
        <f>CONCATENATE("          ", "6324", " - ", "FURNITURE + FIXT DEPRECIATION")</f>
        <v xml:space="preserve">          6324 - FURNITURE + FIXT DEPRECIATION</v>
      </c>
      <c r="C45" s="12"/>
      <c r="D45" s="7"/>
      <c r="E45" s="3"/>
      <c r="F45" s="8">
        <f t="shared" si="16"/>
        <v>0</v>
      </c>
      <c r="G45" s="3"/>
      <c r="H45" s="7">
        <v>100</v>
      </c>
      <c r="I45" s="3"/>
      <c r="J45" s="8">
        <f t="shared" si="17"/>
        <v>0</v>
      </c>
      <c r="K45" s="3"/>
      <c r="L45" s="7">
        <f t="shared" si="18"/>
        <v>-100</v>
      </c>
      <c r="M45" s="3"/>
      <c r="N45" s="8">
        <f t="shared" si="19"/>
        <v>-1</v>
      </c>
      <c r="O45" s="12"/>
      <c r="P45" s="7"/>
      <c r="Q45" s="3"/>
      <c r="R45" s="8">
        <f t="shared" si="20"/>
        <v>0</v>
      </c>
      <c r="S45" s="3"/>
      <c r="T45" s="7">
        <v>100</v>
      </c>
      <c r="U45" s="3"/>
      <c r="V45" s="8">
        <f t="shared" si="21"/>
        <v>0</v>
      </c>
      <c r="W45" s="3"/>
      <c r="X45" s="7">
        <f t="shared" si="22"/>
        <v>-100</v>
      </c>
      <c r="Y45" s="3"/>
      <c r="Z45" s="8">
        <f t="shared" si="23"/>
        <v>-1</v>
      </c>
    </row>
    <row r="46" spans="1:26" s="29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SUM(OSRRefD22_4x_0)</f>
        <v>0</v>
      </c>
      <c r="E46" s="1"/>
      <c r="F46" s="5">
        <f t="shared" ref="F46:F53" si="24">IF(D$12=0,0,D46/D$12)</f>
        <v>0</v>
      </c>
      <c r="G46" s="1"/>
      <c r="H46" s="1">
        <f>SUM(OSRRefH22_4x_0)</f>
        <v>500</v>
      </c>
      <c r="I46" s="1"/>
      <c r="J46" s="5">
        <f t="shared" ref="J46:J53" si="25">IF(H$12=0,0,H46/H$12)</f>
        <v>0</v>
      </c>
      <c r="K46" s="1"/>
      <c r="L46" s="1">
        <f t="shared" ref="L46:L53" si="26">+D46-H46</f>
        <v>-500</v>
      </c>
      <c r="M46" s="1"/>
      <c r="N46" s="5">
        <f t="shared" ref="N46:N53" si="27">IF(H46=0,0,L46/H46)</f>
        <v>-1</v>
      </c>
      <c r="O46" s="14"/>
      <c r="P46" s="1">
        <f>SUM(OSRRefP22_4x_0)</f>
        <v>0</v>
      </c>
      <c r="Q46" s="1"/>
      <c r="R46" s="5">
        <f t="shared" ref="R46:R53" si="28">IF(P$12=0,0,P46/P$12)</f>
        <v>0</v>
      </c>
      <c r="S46" s="1"/>
      <c r="T46" s="1">
        <f>SUM(OSRRefT22_4x_0)</f>
        <v>500</v>
      </c>
      <c r="U46" s="1"/>
      <c r="V46" s="5">
        <f t="shared" ref="V46:V53" si="29">IF(T$12=0,0,T46/T$12)</f>
        <v>0</v>
      </c>
      <c r="W46" s="1"/>
      <c r="X46" s="1">
        <f t="shared" ref="X46:X53" si="30">+P46-T46</f>
        <v>-500</v>
      </c>
      <c r="Y46" s="1"/>
      <c r="Z46" s="5">
        <f t="shared" ref="Z46:Z53" si="31">IF(T46=0,0,X46/T46)</f>
        <v>-1</v>
      </c>
    </row>
    <row r="47" spans="1:26" s="24" customFormat="1" hidden="1" outlineLevel="2" x14ac:dyDescent="0.25">
      <c r="A47" s="27"/>
      <c r="B47" s="12" t="str">
        <f>CONCATENATE("          ", "6279", " - ", "GENERAL EXPENSE")</f>
        <v xml:space="preserve">          6279 - GENERAL EXPENSE</v>
      </c>
      <c r="C47" s="12"/>
      <c r="D47" s="7"/>
      <c r="E47" s="3"/>
      <c r="F47" s="8">
        <f t="shared" si="24"/>
        <v>0</v>
      </c>
      <c r="G47" s="3"/>
      <c r="H47" s="7">
        <v>500</v>
      </c>
      <c r="I47" s="3"/>
      <c r="J47" s="8">
        <f t="shared" si="25"/>
        <v>0</v>
      </c>
      <c r="K47" s="3"/>
      <c r="L47" s="7">
        <f t="shared" si="26"/>
        <v>-500</v>
      </c>
      <c r="M47" s="3"/>
      <c r="N47" s="8">
        <f t="shared" si="27"/>
        <v>-1</v>
      </c>
      <c r="O47" s="12"/>
      <c r="P47" s="7"/>
      <c r="Q47" s="3"/>
      <c r="R47" s="8">
        <f t="shared" si="28"/>
        <v>0</v>
      </c>
      <c r="S47" s="3"/>
      <c r="T47" s="7">
        <v>500</v>
      </c>
      <c r="U47" s="3"/>
      <c r="V47" s="8">
        <f t="shared" si="29"/>
        <v>0</v>
      </c>
      <c r="W47" s="3"/>
      <c r="X47" s="7">
        <f t="shared" si="30"/>
        <v>-500</v>
      </c>
      <c r="Y47" s="3"/>
      <c r="Z47" s="8">
        <f t="shared" si="31"/>
        <v>-1</v>
      </c>
    </row>
    <row r="48" spans="1:26" s="29" customFormat="1" outlineLevel="1" collapsed="1" x14ac:dyDescent="0.25">
      <c r="A48" s="28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56.34</v>
      </c>
      <c r="E48" s="1"/>
      <c r="F48" s="5">
        <f t="shared" si="24"/>
        <v>0</v>
      </c>
      <c r="G48" s="1"/>
      <c r="H48" s="1">
        <f>SUM(OSRRefH22_5x_0)</f>
        <v>600</v>
      </c>
      <c r="I48" s="1"/>
      <c r="J48" s="5">
        <f t="shared" si="25"/>
        <v>0</v>
      </c>
      <c r="K48" s="1"/>
      <c r="L48" s="1">
        <f t="shared" si="26"/>
        <v>-543.66</v>
      </c>
      <c r="M48" s="1"/>
      <c r="N48" s="5">
        <f t="shared" si="27"/>
        <v>-0.90609999999999991</v>
      </c>
      <c r="O48" s="14"/>
      <c r="P48" s="1">
        <f>SUM(OSRRefP22_5x_0)</f>
        <v>56.34</v>
      </c>
      <c r="Q48" s="1"/>
      <c r="R48" s="5">
        <f t="shared" si="28"/>
        <v>0</v>
      </c>
      <c r="S48" s="1"/>
      <c r="T48" s="1">
        <f>SUM(OSRRefT22_5x_0)</f>
        <v>600</v>
      </c>
      <c r="U48" s="1"/>
      <c r="V48" s="5">
        <f t="shared" si="29"/>
        <v>0</v>
      </c>
      <c r="W48" s="1"/>
      <c r="X48" s="1">
        <f t="shared" si="30"/>
        <v>-543.66</v>
      </c>
      <c r="Y48" s="1"/>
      <c r="Z48" s="5">
        <f t="shared" si="31"/>
        <v>-0.90609999999999991</v>
      </c>
    </row>
    <row r="49" spans="1:26" s="24" customFormat="1" hidden="1" outlineLevel="2" x14ac:dyDescent="0.25">
      <c r="A49" s="27"/>
      <c r="B49" s="12" t="str">
        <f>CONCATENATE("          ", "6314", " - ", "LIABILITY INSURANCE")</f>
        <v xml:space="preserve">          6314 - LIABILITY INSURANCE</v>
      </c>
      <c r="C49" s="12"/>
      <c r="D49" s="7">
        <v>56.34</v>
      </c>
      <c r="E49" s="3"/>
      <c r="F49" s="8">
        <f t="shared" si="24"/>
        <v>0</v>
      </c>
      <c r="G49" s="3"/>
      <c r="H49" s="7">
        <v>600</v>
      </c>
      <c r="I49" s="3"/>
      <c r="J49" s="8">
        <f t="shared" si="25"/>
        <v>0</v>
      </c>
      <c r="K49" s="3"/>
      <c r="L49" s="7">
        <f t="shared" si="26"/>
        <v>-543.66</v>
      </c>
      <c r="M49" s="3"/>
      <c r="N49" s="8">
        <f t="shared" si="27"/>
        <v>-0.90609999999999991</v>
      </c>
      <c r="O49" s="12"/>
      <c r="P49" s="7">
        <v>56.34</v>
      </c>
      <c r="Q49" s="3"/>
      <c r="R49" s="8">
        <f t="shared" si="28"/>
        <v>0</v>
      </c>
      <c r="S49" s="3"/>
      <c r="T49" s="7">
        <v>600</v>
      </c>
      <c r="U49" s="3"/>
      <c r="V49" s="8">
        <f t="shared" si="29"/>
        <v>0</v>
      </c>
      <c r="W49" s="3"/>
      <c r="X49" s="7">
        <f t="shared" si="30"/>
        <v>-543.66</v>
      </c>
      <c r="Y49" s="3"/>
      <c r="Z49" s="8">
        <f t="shared" si="31"/>
        <v>-0.90609999999999991</v>
      </c>
    </row>
    <row r="50" spans="1:26" s="29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SUM(OSRRefD22_6x_0)</f>
        <v>11992</v>
      </c>
      <c r="E50" s="1"/>
      <c r="F50" s="5">
        <f t="shared" si="24"/>
        <v>0</v>
      </c>
      <c r="G50" s="1"/>
      <c r="H50" s="1">
        <f>SUM(OSRRefH22_6x_0)</f>
        <v>2460</v>
      </c>
      <c r="I50" s="1"/>
      <c r="J50" s="5">
        <f t="shared" si="25"/>
        <v>0</v>
      </c>
      <c r="K50" s="1"/>
      <c r="L50" s="1">
        <f t="shared" si="26"/>
        <v>9532</v>
      </c>
      <c r="M50" s="1"/>
      <c r="N50" s="5">
        <f t="shared" si="27"/>
        <v>3.8747967479674799</v>
      </c>
      <c r="O50" s="14"/>
      <c r="P50" s="1">
        <f>SUM(OSRRefP22_6x_0)</f>
        <v>11992</v>
      </c>
      <c r="Q50" s="1"/>
      <c r="R50" s="5">
        <f t="shared" si="28"/>
        <v>0</v>
      </c>
      <c r="S50" s="1"/>
      <c r="T50" s="1">
        <f>SUM(OSRRefT22_6x_0)</f>
        <v>2460</v>
      </c>
      <c r="U50" s="1"/>
      <c r="V50" s="5">
        <f t="shared" si="29"/>
        <v>0</v>
      </c>
      <c r="W50" s="1"/>
      <c r="X50" s="1">
        <f t="shared" si="30"/>
        <v>9532</v>
      </c>
      <c r="Y50" s="1"/>
      <c r="Z50" s="5">
        <f t="shared" si="31"/>
        <v>3.8747967479674799</v>
      </c>
    </row>
    <row r="51" spans="1:26" s="24" customFormat="1" hidden="1" outlineLevel="2" x14ac:dyDescent="0.25">
      <c r="A51" s="27"/>
      <c r="B51" s="12" t="str">
        <f>CONCATENATE("          ", "6371", " - ", "COMPUTER SOFTWARE MAINTENANCE")</f>
        <v xml:space="preserve">          6371 - COMPUTER SOFTWARE MAINTENANCE</v>
      </c>
      <c r="C51" s="12"/>
      <c r="D51" s="7"/>
      <c r="E51" s="3"/>
      <c r="F51" s="8">
        <f t="shared" si="24"/>
        <v>0</v>
      </c>
      <c r="G51" s="3"/>
      <c r="H51" s="7">
        <v>660</v>
      </c>
      <c r="I51" s="3"/>
      <c r="J51" s="8">
        <f t="shared" si="25"/>
        <v>0</v>
      </c>
      <c r="K51" s="3"/>
      <c r="L51" s="7">
        <f t="shared" si="26"/>
        <v>-660</v>
      </c>
      <c r="M51" s="3"/>
      <c r="N51" s="8">
        <f t="shared" si="27"/>
        <v>-1</v>
      </c>
      <c r="O51" s="12"/>
      <c r="P51" s="7"/>
      <c r="Q51" s="3"/>
      <c r="R51" s="8">
        <f t="shared" si="28"/>
        <v>0</v>
      </c>
      <c r="S51" s="3"/>
      <c r="T51" s="7">
        <v>660</v>
      </c>
      <c r="U51" s="3"/>
      <c r="V51" s="8">
        <f t="shared" si="29"/>
        <v>0</v>
      </c>
      <c r="W51" s="3"/>
      <c r="X51" s="7">
        <f t="shared" si="30"/>
        <v>-660</v>
      </c>
      <c r="Y51" s="3"/>
      <c r="Z51" s="8">
        <f t="shared" si="31"/>
        <v>-1</v>
      </c>
    </row>
    <row r="52" spans="1:26" s="24" customFormat="1" hidden="1" outlineLevel="2" x14ac:dyDescent="0.25">
      <c r="A52" s="27"/>
      <c r="B52" s="12" t="str">
        <f>CONCATENATE("          ", "6372", " - ", "COMPUTER HARDWARE MAINTENANCE")</f>
        <v xml:space="preserve">          6372 - COMPUTER HARDWARE MAINTENANCE</v>
      </c>
      <c r="C52" s="12"/>
      <c r="D52" s="7"/>
      <c r="E52" s="3"/>
      <c r="F52" s="8">
        <f t="shared" si="24"/>
        <v>0</v>
      </c>
      <c r="G52" s="3"/>
      <c r="H52" s="7">
        <v>1600</v>
      </c>
      <c r="I52" s="3"/>
      <c r="J52" s="8">
        <f t="shared" si="25"/>
        <v>0</v>
      </c>
      <c r="K52" s="3"/>
      <c r="L52" s="7">
        <f t="shared" si="26"/>
        <v>-1600</v>
      </c>
      <c r="M52" s="3"/>
      <c r="N52" s="8">
        <f t="shared" si="27"/>
        <v>-1</v>
      </c>
      <c r="O52" s="12"/>
      <c r="P52" s="7"/>
      <c r="Q52" s="3"/>
      <c r="R52" s="8">
        <f t="shared" si="28"/>
        <v>0</v>
      </c>
      <c r="S52" s="3"/>
      <c r="T52" s="7">
        <v>1600</v>
      </c>
      <c r="U52" s="3"/>
      <c r="V52" s="8">
        <f t="shared" si="29"/>
        <v>0</v>
      </c>
      <c r="W52" s="3"/>
      <c r="X52" s="7">
        <f t="shared" si="30"/>
        <v>-1600</v>
      </c>
      <c r="Y52" s="3"/>
      <c r="Z52" s="8">
        <f t="shared" si="31"/>
        <v>-1</v>
      </c>
    </row>
    <row r="53" spans="1:26" s="24" customFormat="1" hidden="1" outlineLevel="2" x14ac:dyDescent="0.25">
      <c r="A53" s="27"/>
      <c r="B53" s="12" t="str">
        <f>CONCATENATE("          ", "6373", " - ", "MAINTENANCE CONTRACTS")</f>
        <v xml:space="preserve">          6373 - MAINTENANCE CONTRACTS</v>
      </c>
      <c r="C53" s="12"/>
      <c r="D53" s="7">
        <v>11992</v>
      </c>
      <c r="E53" s="3"/>
      <c r="F53" s="8">
        <f t="shared" si="24"/>
        <v>0</v>
      </c>
      <c r="G53" s="3"/>
      <c r="H53" s="7">
        <v>200</v>
      </c>
      <c r="I53" s="3"/>
      <c r="J53" s="8">
        <f t="shared" si="25"/>
        <v>0</v>
      </c>
      <c r="K53" s="3"/>
      <c r="L53" s="7">
        <f t="shared" si="26"/>
        <v>11792</v>
      </c>
      <c r="M53" s="3"/>
      <c r="N53" s="8">
        <f t="shared" si="27"/>
        <v>58.96</v>
      </c>
      <c r="O53" s="12"/>
      <c r="P53" s="7">
        <v>11992</v>
      </c>
      <c r="Q53" s="3"/>
      <c r="R53" s="8">
        <f t="shared" si="28"/>
        <v>0</v>
      </c>
      <c r="S53" s="3"/>
      <c r="T53" s="7">
        <v>200</v>
      </c>
      <c r="U53" s="3"/>
      <c r="V53" s="8">
        <f t="shared" si="29"/>
        <v>0</v>
      </c>
      <c r="W53" s="3"/>
      <c r="X53" s="7">
        <f t="shared" si="30"/>
        <v>11792</v>
      </c>
      <c r="Y53" s="3"/>
      <c r="Z53" s="8">
        <f t="shared" si="31"/>
        <v>58.96</v>
      </c>
    </row>
    <row r="54" spans="1:26" s="29" customFormat="1" outlineLevel="1" collapsed="1" x14ac:dyDescent="0.25">
      <c r="A54" s="28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1">
        <f>SUM(OSRRefD22_7x_0)</f>
        <v>0</v>
      </c>
      <c r="E54" s="1"/>
      <c r="F54" s="5">
        <f t="shared" ref="F54:F56" si="32">IF(D$12=0,0,D54/D$12)</f>
        <v>0</v>
      </c>
      <c r="G54" s="1"/>
      <c r="H54" s="1">
        <f>SUM(OSRRefH22_7x_0)</f>
        <v>700</v>
      </c>
      <c r="I54" s="1"/>
      <c r="J54" s="5">
        <f t="shared" ref="J54:J56" si="33">IF(H$12=0,0,H54/H$12)</f>
        <v>0</v>
      </c>
      <c r="K54" s="1"/>
      <c r="L54" s="1">
        <f t="shared" ref="L54:L56" si="34">+D54-H54</f>
        <v>-700</v>
      </c>
      <c r="M54" s="1"/>
      <c r="N54" s="5">
        <f t="shared" ref="N54:N56" si="35">IF(H54=0,0,L54/H54)</f>
        <v>-1</v>
      </c>
      <c r="O54" s="14"/>
      <c r="P54" s="1">
        <f>SUM(OSRRefP22_7x_0)</f>
        <v>0</v>
      </c>
      <c r="Q54" s="1"/>
      <c r="R54" s="5">
        <f t="shared" ref="R54:R56" si="36">IF(P$12=0,0,P54/P$12)</f>
        <v>0</v>
      </c>
      <c r="S54" s="1"/>
      <c r="T54" s="1">
        <f>SUM(OSRRefT22_7x_0)</f>
        <v>700</v>
      </c>
      <c r="U54" s="1"/>
      <c r="V54" s="5">
        <f t="shared" ref="V54:V56" si="37">IF(T$12=0,0,T54/T$12)</f>
        <v>0</v>
      </c>
      <c r="W54" s="1"/>
      <c r="X54" s="1">
        <f t="shared" ref="X54:X56" si="38">+P54-T54</f>
        <v>-700</v>
      </c>
      <c r="Y54" s="1"/>
      <c r="Z54" s="5">
        <f t="shared" ref="Z54:Z56" si="39">IF(T54=0,0,X54/T54)</f>
        <v>-1</v>
      </c>
    </row>
    <row r="55" spans="1:26" s="24" customFormat="1" hidden="1" outlineLevel="2" x14ac:dyDescent="0.25">
      <c r="A55" s="27"/>
      <c r="B55" s="12" t="str">
        <f>CONCATENATE("          ", "6258", " - ", "MEMBERSHIP DUES")</f>
        <v xml:space="preserve">          6258 - MEMBERSHIP DUES</v>
      </c>
      <c r="C55" s="12"/>
      <c r="D55" s="7"/>
      <c r="E55" s="3"/>
      <c r="F55" s="8">
        <f t="shared" si="32"/>
        <v>0</v>
      </c>
      <c r="G55" s="3"/>
      <c r="H55" s="7">
        <v>600</v>
      </c>
      <c r="I55" s="3"/>
      <c r="J55" s="8">
        <f t="shared" si="33"/>
        <v>0</v>
      </c>
      <c r="K55" s="3"/>
      <c r="L55" s="7">
        <f t="shared" si="34"/>
        <v>-600</v>
      </c>
      <c r="M55" s="3"/>
      <c r="N55" s="8">
        <f t="shared" si="35"/>
        <v>-1</v>
      </c>
      <c r="O55" s="12"/>
      <c r="P55" s="7"/>
      <c r="Q55" s="3"/>
      <c r="R55" s="8">
        <f t="shared" si="36"/>
        <v>0</v>
      </c>
      <c r="S55" s="3"/>
      <c r="T55" s="7">
        <v>600</v>
      </c>
      <c r="U55" s="3"/>
      <c r="V55" s="8">
        <f t="shared" si="37"/>
        <v>0</v>
      </c>
      <c r="W55" s="3"/>
      <c r="X55" s="7">
        <f t="shared" si="38"/>
        <v>-600</v>
      </c>
      <c r="Y55" s="3"/>
      <c r="Z55" s="8">
        <f t="shared" si="39"/>
        <v>-1</v>
      </c>
    </row>
    <row r="56" spans="1:26" s="24" customFormat="1" hidden="1" outlineLevel="2" x14ac:dyDescent="0.25">
      <c r="A56" s="27"/>
      <c r="B56" s="12" t="str">
        <f>CONCATENATE("          ", "6275", " - ", "SUBSCRIPTIONS")</f>
        <v xml:space="preserve">          6275 - SUBSCRIPTIONS</v>
      </c>
      <c r="C56" s="12"/>
      <c r="D56" s="7"/>
      <c r="E56" s="3"/>
      <c r="F56" s="8">
        <f t="shared" si="32"/>
        <v>0</v>
      </c>
      <c r="G56" s="3"/>
      <c r="H56" s="7">
        <v>100</v>
      </c>
      <c r="I56" s="3"/>
      <c r="J56" s="8">
        <f t="shared" si="33"/>
        <v>0</v>
      </c>
      <c r="K56" s="3"/>
      <c r="L56" s="7">
        <f t="shared" si="34"/>
        <v>-100</v>
      </c>
      <c r="M56" s="3"/>
      <c r="N56" s="8">
        <f t="shared" si="35"/>
        <v>-1</v>
      </c>
      <c r="O56" s="12"/>
      <c r="P56" s="7"/>
      <c r="Q56" s="3"/>
      <c r="R56" s="8">
        <f t="shared" si="36"/>
        <v>0</v>
      </c>
      <c r="S56" s="3"/>
      <c r="T56" s="7">
        <v>100</v>
      </c>
      <c r="U56" s="3"/>
      <c r="V56" s="8">
        <f t="shared" si="37"/>
        <v>0</v>
      </c>
      <c r="W56" s="3"/>
      <c r="X56" s="7">
        <f t="shared" si="38"/>
        <v>-100</v>
      </c>
      <c r="Y56" s="3"/>
      <c r="Z56" s="8">
        <f t="shared" si="39"/>
        <v>-1</v>
      </c>
    </row>
    <row r="57" spans="1:26" s="29" customFormat="1" outlineLevel="1" collapsed="1" x14ac:dyDescent="0.25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SUM(OSRRefD22_8x_0)</f>
        <v>-55.46</v>
      </c>
      <c r="E57" s="1"/>
      <c r="F57" s="5">
        <f t="shared" ref="F57:F61" si="40">IF(D$12=0,0,D57/D$12)</f>
        <v>0</v>
      </c>
      <c r="G57" s="1"/>
      <c r="H57" s="1">
        <f>SUM(OSRRefH22_8x_0)</f>
        <v>300</v>
      </c>
      <c r="I57" s="1"/>
      <c r="J57" s="5">
        <f t="shared" ref="J57:J61" si="41">IF(H$12=0,0,H57/H$12)</f>
        <v>0</v>
      </c>
      <c r="K57" s="1"/>
      <c r="L57" s="1">
        <f t="shared" ref="L57:L61" si="42">+D57-H57</f>
        <v>-355.46</v>
      </c>
      <c r="M57" s="1"/>
      <c r="N57" s="5">
        <f t="shared" ref="N57:N61" si="43">IF(H57=0,0,L57/H57)</f>
        <v>-1.1848666666666665</v>
      </c>
      <c r="O57" s="14"/>
      <c r="P57" s="1">
        <f>SUM(OSRRefP22_8x_0)</f>
        <v>-55.46</v>
      </c>
      <c r="Q57" s="1"/>
      <c r="R57" s="5">
        <f t="shared" ref="R57:R61" si="44">IF(P$12=0,0,P57/P$12)</f>
        <v>0</v>
      </c>
      <c r="S57" s="1"/>
      <c r="T57" s="1">
        <f>SUM(OSRRefT22_8x_0)</f>
        <v>300</v>
      </c>
      <c r="U57" s="1"/>
      <c r="V57" s="5">
        <f t="shared" ref="V57:V61" si="45">IF(T$12=0,0,T57/T$12)</f>
        <v>0</v>
      </c>
      <c r="W57" s="1"/>
      <c r="X57" s="1">
        <f t="shared" ref="X57:X61" si="46">+P57-T57</f>
        <v>-355.46</v>
      </c>
      <c r="Y57" s="1"/>
      <c r="Z57" s="5">
        <f t="shared" ref="Z57:Z61" si="47">IF(T57=0,0,X57/T57)</f>
        <v>-1.1848666666666665</v>
      </c>
    </row>
    <row r="58" spans="1:26" s="24" customFormat="1" hidden="1" outlineLevel="2" x14ac:dyDescent="0.25">
      <c r="A58" s="27"/>
      <c r="B58" s="12" t="str">
        <f>CONCATENATE("          ", "6241", " - ", "OFFICE EXPENSE")</f>
        <v xml:space="preserve">          6241 - OFFICE EXPENSE</v>
      </c>
      <c r="C58" s="12"/>
      <c r="D58" s="7">
        <v>-55.46</v>
      </c>
      <c r="E58" s="3"/>
      <c r="F58" s="8">
        <f t="shared" si="40"/>
        <v>0</v>
      </c>
      <c r="G58" s="3"/>
      <c r="H58" s="7">
        <v>300</v>
      </c>
      <c r="I58" s="3"/>
      <c r="J58" s="8">
        <f t="shared" si="41"/>
        <v>0</v>
      </c>
      <c r="K58" s="3"/>
      <c r="L58" s="7">
        <f t="shared" si="42"/>
        <v>-355.46</v>
      </c>
      <c r="M58" s="3"/>
      <c r="N58" s="8">
        <f t="shared" si="43"/>
        <v>-1.1848666666666665</v>
      </c>
      <c r="O58" s="12"/>
      <c r="P58" s="7">
        <v>-55.46</v>
      </c>
      <c r="Q58" s="3"/>
      <c r="R58" s="8">
        <f t="shared" si="44"/>
        <v>0</v>
      </c>
      <c r="S58" s="3"/>
      <c r="T58" s="7">
        <v>300</v>
      </c>
      <c r="U58" s="3"/>
      <c r="V58" s="8">
        <f t="shared" si="45"/>
        <v>0</v>
      </c>
      <c r="W58" s="3"/>
      <c r="X58" s="7">
        <f t="shared" si="46"/>
        <v>-355.46</v>
      </c>
      <c r="Y58" s="3"/>
      <c r="Z58" s="8">
        <f t="shared" si="47"/>
        <v>-1.1848666666666665</v>
      </c>
    </row>
    <row r="59" spans="1:26" s="29" customFormat="1" outlineLevel="1" collapsed="1" x14ac:dyDescent="0.25">
      <c r="A59" s="28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SUM(OSRRefD22_9x_0)</f>
        <v>856.77</v>
      </c>
      <c r="E59" s="1"/>
      <c r="F59" s="5">
        <f t="shared" si="40"/>
        <v>0</v>
      </c>
      <c r="G59" s="1"/>
      <c r="H59" s="1">
        <f>SUM(OSRRefH22_9x_0)</f>
        <v>395</v>
      </c>
      <c r="I59" s="1"/>
      <c r="J59" s="5">
        <f t="shared" si="41"/>
        <v>0</v>
      </c>
      <c r="K59" s="1"/>
      <c r="L59" s="1">
        <f t="shared" si="42"/>
        <v>461.77</v>
      </c>
      <c r="M59" s="1"/>
      <c r="N59" s="5">
        <f t="shared" si="43"/>
        <v>1.1690379746835442</v>
      </c>
      <c r="O59" s="14"/>
      <c r="P59" s="1">
        <f>SUM(OSRRefP22_9x_0)</f>
        <v>856.77</v>
      </c>
      <c r="Q59" s="1"/>
      <c r="R59" s="5">
        <f t="shared" si="44"/>
        <v>0</v>
      </c>
      <c r="S59" s="1"/>
      <c r="T59" s="1">
        <f>SUM(OSRRefT22_9x_0)</f>
        <v>395</v>
      </c>
      <c r="U59" s="1"/>
      <c r="V59" s="5">
        <f t="shared" si="45"/>
        <v>0</v>
      </c>
      <c r="W59" s="1"/>
      <c r="X59" s="1">
        <f t="shared" si="46"/>
        <v>461.77</v>
      </c>
      <c r="Y59" s="1"/>
      <c r="Z59" s="5">
        <f t="shared" si="47"/>
        <v>1.1690379746835442</v>
      </c>
    </row>
    <row r="60" spans="1:26" s="24" customFormat="1" hidden="1" outlineLevel="2" x14ac:dyDescent="0.25">
      <c r="A60" s="27"/>
      <c r="B60" s="12" t="str">
        <f>CONCATENATE("          ", "6303", " - ", "DATA PHONE LINES")</f>
        <v xml:space="preserve">          6303 - DATA PHONE LINES</v>
      </c>
      <c r="C60" s="12"/>
      <c r="D60" s="7">
        <v>78.989999999999995</v>
      </c>
      <c r="E60" s="3"/>
      <c r="F60" s="8">
        <f t="shared" si="40"/>
        <v>0</v>
      </c>
      <c r="G60" s="3"/>
      <c r="H60" s="7">
        <v>335</v>
      </c>
      <c r="I60" s="3"/>
      <c r="J60" s="8">
        <f t="shared" si="41"/>
        <v>0</v>
      </c>
      <c r="K60" s="3"/>
      <c r="L60" s="7">
        <f t="shared" si="42"/>
        <v>-256.01</v>
      </c>
      <c r="M60" s="3"/>
      <c r="N60" s="8">
        <f t="shared" si="43"/>
        <v>-0.76420895522388055</v>
      </c>
      <c r="O60" s="12"/>
      <c r="P60" s="7">
        <v>78.989999999999995</v>
      </c>
      <c r="Q60" s="3"/>
      <c r="R60" s="8">
        <f t="shared" si="44"/>
        <v>0</v>
      </c>
      <c r="S60" s="3"/>
      <c r="T60" s="7">
        <v>335</v>
      </c>
      <c r="U60" s="3"/>
      <c r="V60" s="8">
        <f t="shared" si="45"/>
        <v>0</v>
      </c>
      <c r="W60" s="3"/>
      <c r="X60" s="7">
        <f t="shared" si="46"/>
        <v>-256.01</v>
      </c>
      <c r="Y60" s="3"/>
      <c r="Z60" s="8">
        <f t="shared" si="47"/>
        <v>-0.76420895522388055</v>
      </c>
    </row>
    <row r="61" spans="1:26" s="24" customFormat="1" hidden="1" outlineLevel="2" x14ac:dyDescent="0.25">
      <c r="A61" s="27"/>
      <c r="B61" s="12" t="str">
        <f>CONCATENATE("          ", "6309", " - ", "TELEPHONE")</f>
        <v xml:space="preserve">          6309 - TELEPHONE</v>
      </c>
      <c r="C61" s="12"/>
      <c r="D61" s="7">
        <v>777.78</v>
      </c>
      <c r="E61" s="3"/>
      <c r="F61" s="8">
        <f t="shared" si="40"/>
        <v>0</v>
      </c>
      <c r="G61" s="3"/>
      <c r="H61" s="7">
        <v>60</v>
      </c>
      <c r="I61" s="3"/>
      <c r="J61" s="8">
        <f t="shared" si="41"/>
        <v>0</v>
      </c>
      <c r="K61" s="3"/>
      <c r="L61" s="7">
        <f t="shared" si="42"/>
        <v>717.78</v>
      </c>
      <c r="M61" s="3"/>
      <c r="N61" s="8">
        <f t="shared" si="43"/>
        <v>11.962999999999999</v>
      </c>
      <c r="O61" s="12"/>
      <c r="P61" s="7">
        <v>777.78</v>
      </c>
      <c r="Q61" s="3"/>
      <c r="R61" s="8">
        <f t="shared" si="44"/>
        <v>0</v>
      </c>
      <c r="S61" s="3"/>
      <c r="T61" s="7">
        <v>60</v>
      </c>
      <c r="U61" s="3"/>
      <c r="V61" s="8">
        <f t="shared" si="45"/>
        <v>0</v>
      </c>
      <c r="W61" s="3"/>
      <c r="X61" s="7">
        <f t="shared" si="46"/>
        <v>717.78</v>
      </c>
      <c r="Y61" s="3"/>
      <c r="Z61" s="8">
        <f t="shared" si="47"/>
        <v>11.962999999999999</v>
      </c>
    </row>
    <row r="62" spans="1:26" s="29" customFormat="1" outlineLevel="1" collapsed="1" x14ac:dyDescent="0.25">
      <c r="A62" s="28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SUM(OSRRefD22_10x_0)</f>
        <v>0</v>
      </c>
      <c r="E62" s="1"/>
      <c r="F62" s="5">
        <f t="shared" ref="F62:F63" si="48">IF(D$12=0,0,D62/D$12)</f>
        <v>0</v>
      </c>
      <c r="G62" s="1"/>
      <c r="H62" s="1">
        <f>SUM(OSRRefH22_10x_0)</f>
        <v>625</v>
      </c>
      <c r="I62" s="1"/>
      <c r="J62" s="5">
        <f t="shared" ref="J62:J63" si="49">IF(H$12=0,0,H62/H$12)</f>
        <v>0</v>
      </c>
      <c r="K62" s="1"/>
      <c r="L62" s="1">
        <f t="shared" ref="L62:L63" si="50">+D62-H62</f>
        <v>-625</v>
      </c>
      <c r="M62" s="1"/>
      <c r="N62" s="5">
        <f t="shared" ref="N62:N63" si="51">IF(H62=0,0,L62/H62)</f>
        <v>-1</v>
      </c>
      <c r="O62" s="14"/>
      <c r="P62" s="1">
        <f>SUM(OSRRefP22_10x_0)</f>
        <v>0</v>
      </c>
      <c r="Q62" s="1"/>
      <c r="R62" s="5">
        <f t="shared" ref="R62:R63" si="52">IF(P$12=0,0,P62/P$12)</f>
        <v>0</v>
      </c>
      <c r="S62" s="1"/>
      <c r="T62" s="1">
        <f>SUM(OSRRefT22_10x_0)</f>
        <v>625</v>
      </c>
      <c r="U62" s="1"/>
      <c r="V62" s="5">
        <f t="shared" ref="V62:V63" si="53">IF(T$12=0,0,T62/T$12)</f>
        <v>0</v>
      </c>
      <c r="W62" s="1"/>
      <c r="X62" s="1">
        <f t="shared" ref="X62:X63" si="54">+P62-T62</f>
        <v>-625</v>
      </c>
      <c r="Y62" s="1"/>
      <c r="Z62" s="5">
        <f t="shared" ref="Z62:Z63" si="55">IF(T62=0,0,X62/T62)</f>
        <v>-1</v>
      </c>
    </row>
    <row r="63" spans="1:26" s="24" customFormat="1" hidden="1" outlineLevel="2" x14ac:dyDescent="0.25">
      <c r="A63" s="27"/>
      <c r="B63" s="12" t="str">
        <f>CONCATENATE("          ", "6292", " - ", "TRAVEL/CONFERENCE")</f>
        <v xml:space="preserve">          6292 - TRAVEL/CONFERENCE</v>
      </c>
      <c r="C63" s="12"/>
      <c r="D63" s="7"/>
      <c r="E63" s="3"/>
      <c r="F63" s="8">
        <f t="shared" si="48"/>
        <v>0</v>
      </c>
      <c r="G63" s="3"/>
      <c r="H63" s="7">
        <v>625</v>
      </c>
      <c r="I63" s="3"/>
      <c r="J63" s="8">
        <f t="shared" si="49"/>
        <v>0</v>
      </c>
      <c r="K63" s="3"/>
      <c r="L63" s="7">
        <f t="shared" si="50"/>
        <v>-625</v>
      </c>
      <c r="M63" s="3"/>
      <c r="N63" s="8">
        <f t="shared" si="51"/>
        <v>-1</v>
      </c>
      <c r="O63" s="12"/>
      <c r="P63" s="7"/>
      <c r="Q63" s="3"/>
      <c r="R63" s="8">
        <f t="shared" si="52"/>
        <v>0</v>
      </c>
      <c r="S63" s="3"/>
      <c r="T63" s="7">
        <v>625</v>
      </c>
      <c r="U63" s="3"/>
      <c r="V63" s="8">
        <f t="shared" si="53"/>
        <v>0</v>
      </c>
      <c r="W63" s="3"/>
      <c r="X63" s="7">
        <f t="shared" si="54"/>
        <v>-625</v>
      </c>
      <c r="Y63" s="3"/>
      <c r="Z63" s="8">
        <f t="shared" si="55"/>
        <v>-1</v>
      </c>
    </row>
    <row r="64" spans="1:26" s="54" customFormat="1" x14ac:dyDescent="0.25">
      <c r="A64" s="36"/>
      <c r="B64" s="36"/>
      <c r="C64" s="36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2" customFormat="1" collapsed="1" x14ac:dyDescent="0.25">
      <c r="A65" s="10"/>
      <c r="B65" s="26" t="s">
        <v>0</v>
      </c>
      <c r="C65" s="10"/>
      <c r="D65" s="4">
        <f>SUM(OSRRefD25x_0)</f>
        <v>0</v>
      </c>
      <c r="E65" s="4"/>
      <c r="F65" s="11">
        <f t="shared" ref="F65:F66" si="56">IF(D$12=0,0,D65/D$12)</f>
        <v>0</v>
      </c>
      <c r="G65" s="4"/>
      <c r="H65" s="4">
        <f>SUM(OSRRefH25x_0)</f>
        <v>500</v>
      </c>
      <c r="I65" s="4"/>
      <c r="J65" s="11">
        <f t="shared" ref="J65:J66" si="57">IF(H$12=0,0,H65/H$12)</f>
        <v>0</v>
      </c>
      <c r="K65" s="4"/>
      <c r="L65" s="4">
        <f t="shared" ref="L65:L66" si="58">+D65-H65</f>
        <v>-500</v>
      </c>
      <c r="M65" s="4"/>
      <c r="N65" s="11">
        <f t="shared" ref="N65:N66" si="59">IF(H65=0,0,L65/H65)</f>
        <v>-1</v>
      </c>
      <c r="O65" s="10"/>
      <c r="P65" s="4">
        <f>SUM(OSRRefP25x_0)</f>
        <v>0</v>
      </c>
      <c r="Q65" s="4"/>
      <c r="R65" s="11">
        <f t="shared" ref="R65:R66" si="60">IF(P$12=0,0,P65/P$12)</f>
        <v>0</v>
      </c>
      <c r="S65" s="4"/>
      <c r="T65" s="4">
        <f>SUM(OSRRefT25x_0)</f>
        <v>500</v>
      </c>
      <c r="U65" s="4"/>
      <c r="V65" s="11">
        <f t="shared" ref="V65:V66" si="61">IF(T$12=0,0,T65/T$12)</f>
        <v>0</v>
      </c>
      <c r="W65" s="4"/>
      <c r="X65" s="4">
        <f t="shared" ref="X65:X66" si="62">+P65-T65</f>
        <v>-500</v>
      </c>
      <c r="Y65" s="4"/>
      <c r="Z65" s="11">
        <f t="shared" ref="Z65:Z66" si="63">IF(T65=0,0,X65/T65)</f>
        <v>-1</v>
      </c>
    </row>
    <row r="66" spans="1:26" s="24" customFormat="1" hidden="1" outlineLevel="1" x14ac:dyDescent="0.25">
      <c r="A66" s="51"/>
      <c r="B66" s="12" t="str">
        <f>CONCATENATE("          ", "9150", " - ", "MISC. INCOME")</f>
        <v xml:space="preserve">          9150 - MISC. INCOME</v>
      </c>
      <c r="C66" s="12"/>
      <c r="D66" s="3">
        <f>0</f>
        <v>0</v>
      </c>
      <c r="E66" s="3"/>
      <c r="F66" s="23">
        <f t="shared" si="56"/>
        <v>0</v>
      </c>
      <c r="G66" s="3"/>
      <c r="H66" s="3">
        <v>500</v>
      </c>
      <c r="I66" s="3"/>
      <c r="J66" s="23">
        <f t="shared" si="57"/>
        <v>0</v>
      </c>
      <c r="K66" s="3"/>
      <c r="L66" s="3">
        <f t="shared" si="58"/>
        <v>-500</v>
      </c>
      <c r="M66" s="3"/>
      <c r="N66" s="23">
        <f t="shared" si="59"/>
        <v>-1</v>
      </c>
      <c r="O66" s="12"/>
      <c r="P66" s="3">
        <f>0</f>
        <v>0</v>
      </c>
      <c r="Q66" s="3"/>
      <c r="R66" s="23">
        <f t="shared" si="60"/>
        <v>0</v>
      </c>
      <c r="S66" s="3"/>
      <c r="T66" s="3">
        <v>500</v>
      </c>
      <c r="U66" s="3"/>
      <c r="V66" s="23">
        <f t="shared" si="61"/>
        <v>0</v>
      </c>
      <c r="W66" s="3"/>
      <c r="X66" s="3">
        <f t="shared" si="62"/>
        <v>-500</v>
      </c>
      <c r="Y66" s="3"/>
      <c r="Z66" s="23">
        <f t="shared" si="63"/>
        <v>-1</v>
      </c>
    </row>
    <row r="67" spans="1:26" x14ac:dyDescent="0.25">
      <c r="A67" s="9"/>
      <c r="B67" s="10"/>
      <c r="C67" s="10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10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2" customFormat="1" x14ac:dyDescent="0.25">
      <c r="A68" s="10"/>
      <c r="B68" s="25" t="s">
        <v>3</v>
      </c>
      <c r="C68" s="25"/>
      <c r="D68" s="21">
        <f>+D16-D18+D65</f>
        <v>-56908.759999999995</v>
      </c>
      <c r="E68" s="13"/>
      <c r="F68" s="20">
        <f>IF(D$12=0,0,D68/D$12)</f>
        <v>0</v>
      </c>
      <c r="G68" s="13"/>
      <c r="H68" s="21">
        <f>+H16-H18+H65</f>
        <v>-49502.04392307697</v>
      </c>
      <c r="I68" s="13"/>
      <c r="J68" s="20">
        <f>IF(H$12=0,0,H68/H$12)</f>
        <v>0</v>
      </c>
      <c r="K68" s="15"/>
      <c r="L68" s="21">
        <f>+D68-H68</f>
        <v>-7406.716076923025</v>
      </c>
      <c r="M68" s="15"/>
      <c r="N68" s="20">
        <f>IF(H68=0,0,L68/H68)</f>
        <v>0.14962444961732471</v>
      </c>
      <c r="O68" s="26"/>
      <c r="P68" s="21">
        <f>+P16-P18+P65</f>
        <v>-56908.759999999995</v>
      </c>
      <c r="Q68" s="13"/>
      <c r="R68" s="20">
        <f>IF(P$12=0,0,P68/P$12)</f>
        <v>0</v>
      </c>
      <c r="S68" s="13"/>
      <c r="T68" s="21">
        <f>+T16-T18+T65</f>
        <v>-49502.04392307697</v>
      </c>
      <c r="U68" s="13"/>
      <c r="V68" s="20">
        <f>IF(T$12=0,0,T68/T$12)</f>
        <v>0</v>
      </c>
      <c r="W68" s="15"/>
      <c r="X68" s="21">
        <f>+P68-T68</f>
        <v>-7406.716076923025</v>
      </c>
      <c r="Y68" s="15"/>
      <c r="Z68" s="20">
        <f>IF(T68=0,0,X68/T68)</f>
        <v>0.14962444961732471</v>
      </c>
    </row>
    <row r="69" spans="1:26" x14ac:dyDescent="0.25">
      <c r="A69" s="9"/>
      <c r="B69" s="10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2" customFormat="1" x14ac:dyDescent="0.25">
      <c r="A70" s="52"/>
      <c r="B70" s="10" t="s">
        <v>14</v>
      </c>
      <c r="C70" s="10"/>
      <c r="D70" s="4"/>
      <c r="E70" s="4"/>
      <c r="F70" s="11">
        <f>IF(D$12=0,0,D70/D$12)</f>
        <v>0</v>
      </c>
      <c r="G70" s="4"/>
      <c r="H70" s="4"/>
      <c r="I70" s="4"/>
      <c r="J70" s="11">
        <f>IF(H$12=0,0,H70/H$12)</f>
        <v>0</v>
      </c>
      <c r="K70" s="4"/>
      <c r="L70" s="4">
        <f>+D70-H70</f>
        <v>0</v>
      </c>
      <c r="M70" s="4"/>
      <c r="N70" s="11">
        <f>IF(H70=0,0,L70/H70)</f>
        <v>0</v>
      </c>
      <c r="O70" s="10"/>
      <c r="P70" s="4"/>
      <c r="Q70" s="4"/>
      <c r="R70" s="11">
        <f>IF(P$12=0,0,P70/P$12)</f>
        <v>0</v>
      </c>
      <c r="S70" s="4"/>
      <c r="T70" s="4"/>
      <c r="U70" s="4"/>
      <c r="V70" s="11">
        <f>IF(T$12=0,0,T70/T$12)</f>
        <v>0</v>
      </c>
      <c r="W70" s="4"/>
      <c r="X70" s="4">
        <f>+P70-T70</f>
        <v>0</v>
      </c>
      <c r="Y70" s="4"/>
      <c r="Z70" s="11">
        <f>IF(T70=0,0,X70/T70)</f>
        <v>0</v>
      </c>
    </row>
    <row r="71" spans="1:26" x14ac:dyDescent="0.25">
      <c r="A71" s="9"/>
      <c r="B71" s="10"/>
      <c r="C71" s="10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10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2" customFormat="1" ht="15.75" thickBot="1" x14ac:dyDescent="0.3">
      <c r="A72" s="10"/>
      <c r="B72" s="25" t="s">
        <v>4</v>
      </c>
      <c r="C72" s="25"/>
      <c r="D72" s="34">
        <f>+D68-D70</f>
        <v>-56908.759999999995</v>
      </c>
      <c r="E72" s="13"/>
      <c r="F72" s="30">
        <f>IF(D$12=0,0,D72/D$12)</f>
        <v>0</v>
      </c>
      <c r="G72" s="13"/>
      <c r="H72" s="34">
        <f>+H68-H70</f>
        <v>-49502.04392307697</v>
      </c>
      <c r="I72" s="13"/>
      <c r="J72" s="30">
        <f>IF(H$12=0,0,H72/H$12)</f>
        <v>0</v>
      </c>
      <c r="K72" s="15"/>
      <c r="L72" s="34">
        <f>D72-H72</f>
        <v>-7406.716076923025</v>
      </c>
      <c r="M72" s="15"/>
      <c r="N72" s="30">
        <f>IF(H72=0,0,L72/H72)</f>
        <v>0.14962444961732471</v>
      </c>
      <c r="O72" s="26"/>
      <c r="P72" s="34">
        <f>+P68-P70</f>
        <v>-56908.759999999995</v>
      </c>
      <c r="Q72" s="13"/>
      <c r="R72" s="30">
        <f>IF(P$12=0,0,P72/P$12)</f>
        <v>0</v>
      </c>
      <c r="S72" s="13"/>
      <c r="T72" s="34">
        <f>+T68-T70</f>
        <v>-49502.04392307697</v>
      </c>
      <c r="U72" s="13"/>
      <c r="V72" s="30">
        <f>IF(T$12=0,0,T72/T$12)</f>
        <v>0</v>
      </c>
      <c r="W72" s="15"/>
      <c r="X72" s="34">
        <f>P72-T72</f>
        <v>-7406.716076923025</v>
      </c>
      <c r="Y72" s="15"/>
      <c r="Z72" s="30">
        <f>IF(T72=0,0,X72/T72)</f>
        <v>0.14962444961732471</v>
      </c>
    </row>
    <row r="73" spans="1:26" ht="15.75" thickTop="1" x14ac:dyDescent="0.25">
      <c r="A73" s="9"/>
      <c r="B73" s="9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x14ac:dyDescent="0.25">
      <c r="A74" s="9"/>
      <c r="B74" s="9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2" customFormat="1" ht="15.75" thickBot="1" x14ac:dyDescent="0.3">
      <c r="A75" s="10"/>
      <c r="B75" s="25" t="s">
        <v>5</v>
      </c>
      <c r="C75" s="25"/>
      <c r="D75" s="32">
        <f>SUM(D72:D74)</f>
        <v>-56908.759999999995</v>
      </c>
      <c r="E75" s="13"/>
      <c r="F75" s="33">
        <f>IF(D$12=0,0,D75/D$12)</f>
        <v>0</v>
      </c>
      <c r="G75" s="13"/>
      <c r="H75" s="32">
        <f>SUM(H72:H74)</f>
        <v>-49502.04392307697</v>
      </c>
      <c r="I75" s="13"/>
      <c r="J75" s="33">
        <f>IF(H$12=0,0,H75/H$12)</f>
        <v>0</v>
      </c>
      <c r="K75" s="15"/>
      <c r="L75" s="32">
        <f>+D75-H75</f>
        <v>-7406.716076923025</v>
      </c>
      <c r="M75" s="15"/>
      <c r="N75" s="33">
        <f>IF(H75=0,0,L75/H75)</f>
        <v>0.14962444961732471</v>
      </c>
      <c r="O75" s="26"/>
      <c r="P75" s="32">
        <f>SUM(P72:P74)</f>
        <v>-56908.759999999995</v>
      </c>
      <c r="Q75" s="13"/>
      <c r="R75" s="33">
        <f>IF(P$12=0,0,P75/P$12)</f>
        <v>0</v>
      </c>
      <c r="S75" s="13"/>
      <c r="T75" s="32">
        <f>SUM(T72:T74)</f>
        <v>-49502.04392307697</v>
      </c>
      <c r="U75" s="13"/>
      <c r="V75" s="33">
        <f>IF(T$12=0,0,T75/T$12)</f>
        <v>0</v>
      </c>
      <c r="W75" s="15"/>
      <c r="X75" s="32">
        <f>+P75-T75</f>
        <v>-7406.716076923025</v>
      </c>
      <c r="Y75" s="15"/>
      <c r="Z75" s="33">
        <f>IF(T75=0,0,X75/T75)</f>
        <v>0.14962444961732471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8">
        <v>44104.685765821756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6" t="s">
        <v>314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62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","205", " - ", "Maintenance")</f>
        <v>Department 205 - Maintenance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9379.26</v>
      </c>
      <c r="E18" s="19"/>
      <c r="F18" s="31">
        <f t="shared" ref="F18:F28" si="0">IF(D$12=0,0,D18/D$12)</f>
        <v>0</v>
      </c>
      <c r="G18" s="19"/>
      <c r="H18" s="19">
        <f>SUM(OSRRefH22x_0)</f>
        <v>13531.065192307691</v>
      </c>
      <c r="I18" s="19"/>
      <c r="J18" s="31">
        <f t="shared" ref="J18:J28" si="1">IF(H$12=0,0,H18/H$12)</f>
        <v>0</v>
      </c>
      <c r="K18" s="4"/>
      <c r="L18" s="19">
        <f t="shared" ref="L18:L28" si="2">+D18-H18</f>
        <v>-4151.805192307691</v>
      </c>
      <c r="M18" s="4"/>
      <c r="N18" s="31">
        <f t="shared" ref="N18:N28" si="3">IF(H18=0,0,L18/H18)</f>
        <v>-0.30683505942074396</v>
      </c>
      <c r="O18" s="10"/>
      <c r="P18" s="19">
        <f>SUM(OSRRefP22x_0)</f>
        <v>9379.26</v>
      </c>
      <c r="Q18" s="19"/>
      <c r="R18" s="31">
        <f t="shared" ref="R18:R28" si="4">IF(P$12=0,0,P18/P$12)</f>
        <v>0</v>
      </c>
      <c r="S18" s="19"/>
      <c r="T18" s="19">
        <f>SUM(OSRRefT22x_0)</f>
        <v>13531.065192307691</v>
      </c>
      <c r="U18" s="19"/>
      <c r="V18" s="31">
        <f t="shared" ref="V18:V28" si="5">IF(T$12=0,0,T18/T$12)</f>
        <v>0</v>
      </c>
      <c r="W18" s="4"/>
      <c r="X18" s="19">
        <f t="shared" ref="X18:X28" si="6">+P18-T18</f>
        <v>-4151.805192307691</v>
      </c>
      <c r="Y18" s="4"/>
      <c r="Z18" s="31">
        <f t="shared" ref="Z18:Z28" si="7">IF(T18=0,0,X18/T18)</f>
        <v>-0.30683505942074396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2556.7599999999998</v>
      </c>
      <c r="E19" s="1"/>
      <c r="F19" s="5">
        <f t="shared" si="0"/>
        <v>0</v>
      </c>
      <c r="G19" s="1"/>
      <c r="H19" s="1">
        <f>SUM(OSRRefH22_0x_0)</f>
        <v>2281.5651923076921</v>
      </c>
      <c r="I19" s="1"/>
      <c r="J19" s="5">
        <f t="shared" si="1"/>
        <v>0</v>
      </c>
      <c r="K19" s="1"/>
      <c r="L19" s="1">
        <f t="shared" si="2"/>
        <v>275.19480769230768</v>
      </c>
      <c r="M19" s="1"/>
      <c r="N19" s="5">
        <f t="shared" si="3"/>
        <v>0.12061667517550158</v>
      </c>
      <c r="O19" s="14"/>
      <c r="P19" s="1">
        <f>SUM(OSRRefP22_0x_0)</f>
        <v>2556.7599999999998</v>
      </c>
      <c r="Q19" s="1"/>
      <c r="R19" s="5">
        <f t="shared" si="4"/>
        <v>0</v>
      </c>
      <c r="S19" s="1"/>
      <c r="T19" s="1">
        <f>SUM(OSRRefT22_0x_0)</f>
        <v>2281.5651923076921</v>
      </c>
      <c r="U19" s="1"/>
      <c r="V19" s="5">
        <f t="shared" si="5"/>
        <v>0</v>
      </c>
      <c r="W19" s="1"/>
      <c r="X19" s="1">
        <f t="shared" si="6"/>
        <v>275.19480769230768</v>
      </c>
      <c r="Y19" s="1"/>
      <c r="Z19" s="5">
        <f t="shared" si="7"/>
        <v>0.12061667517550158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318.56</v>
      </c>
      <c r="E20" s="3"/>
      <c r="F20" s="8">
        <f t="shared" si="0"/>
        <v>0</v>
      </c>
      <c r="G20" s="3"/>
      <c r="H20" s="7">
        <v>401.78250000000003</v>
      </c>
      <c r="I20" s="3"/>
      <c r="J20" s="8">
        <f t="shared" si="1"/>
        <v>0</v>
      </c>
      <c r="K20" s="3"/>
      <c r="L20" s="7">
        <f t="shared" si="2"/>
        <v>-83.222500000000025</v>
      </c>
      <c r="M20" s="3"/>
      <c r="N20" s="8">
        <f t="shared" si="3"/>
        <v>-0.20713321262125658</v>
      </c>
      <c r="O20" s="12"/>
      <c r="P20" s="7">
        <v>318.56</v>
      </c>
      <c r="Q20" s="3"/>
      <c r="R20" s="8">
        <f t="shared" si="4"/>
        <v>0</v>
      </c>
      <c r="S20" s="3"/>
      <c r="T20" s="7">
        <v>401.78250000000003</v>
      </c>
      <c r="U20" s="3"/>
      <c r="V20" s="8">
        <f t="shared" si="5"/>
        <v>0</v>
      </c>
      <c r="W20" s="3"/>
      <c r="X20" s="7">
        <f t="shared" si="6"/>
        <v>-83.222500000000025</v>
      </c>
      <c r="Y20" s="3"/>
      <c r="Z20" s="8">
        <f t="shared" si="7"/>
        <v>-0.20713321262125658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288.58999999999997</v>
      </c>
      <c r="E21" s="3"/>
      <c r="F21" s="8">
        <f t="shared" si="0"/>
        <v>0</v>
      </c>
      <c r="G21" s="3"/>
      <c r="H21" s="7">
        <v>363.82499999999999</v>
      </c>
      <c r="I21" s="3"/>
      <c r="J21" s="8">
        <f t="shared" si="1"/>
        <v>0</v>
      </c>
      <c r="K21" s="3"/>
      <c r="L21" s="7">
        <f t="shared" si="2"/>
        <v>-75.235000000000014</v>
      </c>
      <c r="M21" s="3"/>
      <c r="N21" s="8">
        <f t="shared" si="3"/>
        <v>-0.20678897821754968</v>
      </c>
      <c r="O21" s="12"/>
      <c r="P21" s="7">
        <v>288.58999999999997</v>
      </c>
      <c r="Q21" s="3"/>
      <c r="R21" s="8">
        <f t="shared" si="4"/>
        <v>0</v>
      </c>
      <c r="S21" s="3"/>
      <c r="T21" s="7">
        <v>363.82499999999999</v>
      </c>
      <c r="U21" s="3"/>
      <c r="V21" s="8">
        <f t="shared" si="5"/>
        <v>0</v>
      </c>
      <c r="W21" s="3"/>
      <c r="X21" s="7">
        <f t="shared" si="6"/>
        <v>-75.235000000000014</v>
      </c>
      <c r="Y21" s="3"/>
      <c r="Z21" s="8">
        <f t="shared" si="7"/>
        <v>-0.20678897821754968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696.16</v>
      </c>
      <c r="E22" s="3"/>
      <c r="F22" s="8">
        <f t="shared" si="0"/>
        <v>0</v>
      </c>
      <c r="G22" s="3"/>
      <c r="H22" s="7">
        <v>767.30769230769204</v>
      </c>
      <c r="I22" s="3"/>
      <c r="J22" s="8">
        <f t="shared" si="1"/>
        <v>0</v>
      </c>
      <c r="K22" s="3"/>
      <c r="L22" s="7">
        <f t="shared" si="2"/>
        <v>-71.147692307692068</v>
      </c>
      <c r="M22" s="3"/>
      <c r="N22" s="8">
        <f t="shared" si="3"/>
        <v>-9.272380952380925E-2</v>
      </c>
      <c r="O22" s="12"/>
      <c r="P22" s="7">
        <v>696.16</v>
      </c>
      <c r="Q22" s="3"/>
      <c r="R22" s="8">
        <f t="shared" si="4"/>
        <v>0</v>
      </c>
      <c r="S22" s="3"/>
      <c r="T22" s="7">
        <v>767.30769230769204</v>
      </c>
      <c r="U22" s="3"/>
      <c r="V22" s="8">
        <f t="shared" si="5"/>
        <v>0</v>
      </c>
      <c r="W22" s="3"/>
      <c r="X22" s="7">
        <f t="shared" si="6"/>
        <v>-71.147692307692068</v>
      </c>
      <c r="Y22" s="3"/>
      <c r="Z22" s="8">
        <f t="shared" si="7"/>
        <v>-9.272380952380925E-2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10.83</v>
      </c>
      <c r="E23" s="3"/>
      <c r="F23" s="8">
        <f t="shared" si="0"/>
        <v>0</v>
      </c>
      <c r="G23" s="3"/>
      <c r="H23" s="7">
        <v>13.65</v>
      </c>
      <c r="I23" s="3"/>
      <c r="J23" s="8">
        <f t="shared" si="1"/>
        <v>0</v>
      </c>
      <c r="K23" s="3"/>
      <c r="L23" s="7">
        <f t="shared" si="2"/>
        <v>-2.8200000000000003</v>
      </c>
      <c r="M23" s="3"/>
      <c r="N23" s="8">
        <f t="shared" si="3"/>
        <v>-0.20659340659340661</v>
      </c>
      <c r="O23" s="12"/>
      <c r="P23" s="7">
        <v>10.83</v>
      </c>
      <c r="Q23" s="3"/>
      <c r="R23" s="8">
        <f t="shared" si="4"/>
        <v>0</v>
      </c>
      <c r="S23" s="3"/>
      <c r="T23" s="7">
        <v>13.65</v>
      </c>
      <c r="U23" s="3"/>
      <c r="V23" s="8">
        <f t="shared" si="5"/>
        <v>0</v>
      </c>
      <c r="W23" s="3"/>
      <c r="X23" s="7">
        <f t="shared" si="6"/>
        <v>-2.8200000000000003</v>
      </c>
      <c r="Y23" s="3"/>
      <c r="Z23" s="8">
        <f t="shared" si="7"/>
        <v>-0.20659340659340661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694.91</v>
      </c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694.91</v>
      </c>
      <c r="M24" s="3"/>
      <c r="N24" s="8">
        <f t="shared" si="3"/>
        <v>0</v>
      </c>
      <c r="O24" s="12"/>
      <c r="P24" s="7">
        <v>694.91</v>
      </c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694.91</v>
      </c>
      <c r="Y24" s="3"/>
      <c r="Z24" s="8">
        <f t="shared" si="7"/>
        <v>0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"6118", " - ", "VACATION")</f>
        <v xml:space="preserve">          6118 - VACATION</v>
      </c>
      <c r="C26" s="12"/>
      <c r="D26" s="7">
        <v>209.99</v>
      </c>
      <c r="E26" s="3"/>
      <c r="F26" s="8">
        <f t="shared" si="0"/>
        <v>0</v>
      </c>
      <c r="G26" s="3"/>
      <c r="H26" s="7">
        <v>525</v>
      </c>
      <c r="I26" s="3"/>
      <c r="J26" s="8">
        <f t="shared" si="1"/>
        <v>0</v>
      </c>
      <c r="K26" s="3"/>
      <c r="L26" s="7">
        <f t="shared" si="2"/>
        <v>-315.01</v>
      </c>
      <c r="M26" s="3"/>
      <c r="N26" s="8">
        <f t="shared" si="3"/>
        <v>-0.60001904761904756</v>
      </c>
      <c r="O26" s="12"/>
      <c r="P26" s="7">
        <v>209.99</v>
      </c>
      <c r="Q26" s="3"/>
      <c r="R26" s="8">
        <f t="shared" si="4"/>
        <v>0</v>
      </c>
      <c r="S26" s="3"/>
      <c r="T26" s="7">
        <v>525</v>
      </c>
      <c r="U26" s="3"/>
      <c r="V26" s="8">
        <f t="shared" si="5"/>
        <v>0</v>
      </c>
      <c r="W26" s="3"/>
      <c r="X26" s="7">
        <f t="shared" si="6"/>
        <v>-315.01</v>
      </c>
      <c r="Y26" s="3"/>
      <c r="Z26" s="8">
        <f t="shared" si="7"/>
        <v>-0.60001904761904756</v>
      </c>
    </row>
    <row r="27" spans="1:26" s="24" customFormat="1" hidden="1" outlineLevel="2" x14ac:dyDescent="0.25">
      <c r="A27" s="27"/>
      <c r="B27" s="12" t="str">
        <f>CONCATENATE("          ", "6119", " - ", "SICK LEAVE")</f>
        <v xml:space="preserve">          6119 - SICK LEAVE</v>
      </c>
      <c r="C27" s="12"/>
      <c r="D27" s="7">
        <v>193.72</v>
      </c>
      <c r="E27" s="3"/>
      <c r="F27" s="8">
        <f t="shared" si="0"/>
        <v>0</v>
      </c>
      <c r="G27" s="3"/>
      <c r="H27" s="7">
        <v>210</v>
      </c>
      <c r="I27" s="3"/>
      <c r="J27" s="8">
        <f t="shared" si="1"/>
        <v>0</v>
      </c>
      <c r="K27" s="3"/>
      <c r="L27" s="7">
        <f t="shared" si="2"/>
        <v>-16.28</v>
      </c>
      <c r="M27" s="3"/>
      <c r="N27" s="8">
        <f t="shared" si="3"/>
        <v>-7.7523809523809523E-2</v>
      </c>
      <c r="O27" s="12"/>
      <c r="P27" s="7">
        <v>193.72</v>
      </c>
      <c r="Q27" s="3"/>
      <c r="R27" s="8">
        <f t="shared" si="4"/>
        <v>0</v>
      </c>
      <c r="S27" s="3"/>
      <c r="T27" s="7">
        <v>210</v>
      </c>
      <c r="U27" s="3"/>
      <c r="V27" s="8">
        <f t="shared" si="5"/>
        <v>0</v>
      </c>
      <c r="W27" s="3"/>
      <c r="X27" s="7">
        <f t="shared" si="6"/>
        <v>-16.28</v>
      </c>
      <c r="Y27" s="3"/>
      <c r="Z27" s="8">
        <f t="shared" si="7"/>
        <v>-7.7523809523809523E-2</v>
      </c>
    </row>
    <row r="28" spans="1:26" s="24" customFormat="1" hidden="1" outlineLevel="2" x14ac:dyDescent="0.25">
      <c r="A28" s="27"/>
      <c r="B28" s="12" t="str">
        <f>CONCATENATE("          ", "6156", " - ", "EMPLOYEE MEALS")</f>
        <v xml:space="preserve">          6156 - EMPLOYEE MEALS</v>
      </c>
      <c r="C28" s="12"/>
      <c r="D28" s="7">
        <v>144</v>
      </c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144</v>
      </c>
      <c r="M28" s="3"/>
      <c r="N28" s="8">
        <f t="shared" si="3"/>
        <v>0</v>
      </c>
      <c r="O28" s="12"/>
      <c r="P28" s="7">
        <v>144</v>
      </c>
      <c r="Q28" s="3"/>
      <c r="R28" s="8">
        <f t="shared" si="4"/>
        <v>0</v>
      </c>
      <c r="S28" s="3"/>
      <c r="T28" s="7"/>
      <c r="U28" s="3"/>
      <c r="V28" s="8">
        <f t="shared" si="5"/>
        <v>0</v>
      </c>
      <c r="W28" s="3"/>
      <c r="X28" s="7">
        <f t="shared" si="6"/>
        <v>144</v>
      </c>
      <c r="Y28" s="3"/>
      <c r="Z28" s="8">
        <f t="shared" si="7"/>
        <v>0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5039.75</v>
      </c>
      <c r="E29" s="1"/>
      <c r="F29" s="5">
        <f t="shared" ref="F29:F39" si="8">IF(D$12=0,0,D29/D$12)</f>
        <v>0</v>
      </c>
      <c r="G29" s="1"/>
      <c r="H29" s="1">
        <f>SUM(OSRRefH22_1x_0)</f>
        <v>4672.5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367.25</v>
      </c>
      <c r="M29" s="1"/>
      <c r="N29" s="5">
        <f t="shared" ref="N29:N39" si="11">IF(H29=0,0,L29/H29)</f>
        <v>7.8598180845371859E-2</v>
      </c>
      <c r="O29" s="14"/>
      <c r="P29" s="1">
        <f>SUM(OSRRefP22_1x_0)</f>
        <v>5039.75</v>
      </c>
      <c r="Q29" s="1"/>
      <c r="R29" s="5">
        <f t="shared" ref="R29:R39" si="12">IF(P$12=0,0,P29/P$12)</f>
        <v>0</v>
      </c>
      <c r="S29" s="1"/>
      <c r="T29" s="1">
        <f>SUM(OSRRefT22_1x_0)</f>
        <v>4672.5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367.25</v>
      </c>
      <c r="Y29" s="1"/>
      <c r="Z29" s="5">
        <f t="shared" ref="Z29:Z39" si="15">IF(T29=0,0,X29/T29)</f>
        <v>7.8598180845371859E-2</v>
      </c>
    </row>
    <row r="30" spans="1:26" s="24" customFormat="1" hidden="1" outlineLevel="2" x14ac:dyDescent="0.25">
      <c r="A30" s="27"/>
      <c r="B30" s="12" t="str">
        <f>CONCATENATE("          ", "6001", " - ", "ADMINISTRATIVE SALARIES")</f>
        <v xml:space="preserve">          6001 - ADMINISTRATIVE SALARIES</v>
      </c>
      <c r="C30" s="12"/>
      <c r="D30" s="7"/>
      <c r="E30" s="3"/>
      <c r="F30" s="8">
        <f t="shared" si="8"/>
        <v>0</v>
      </c>
      <c r="G30" s="3"/>
      <c r="H30" s="7">
        <v>0</v>
      </c>
      <c r="I30" s="3"/>
      <c r="J30" s="8">
        <f t="shared" si="9"/>
        <v>0</v>
      </c>
      <c r="K30" s="3"/>
      <c r="L30" s="7">
        <f t="shared" si="10"/>
        <v>0</v>
      </c>
      <c r="M30" s="3"/>
      <c r="N30" s="8">
        <f t="shared" si="11"/>
        <v>0</v>
      </c>
      <c r="O30" s="12"/>
      <c r="P30" s="7"/>
      <c r="Q30" s="3"/>
      <c r="R30" s="8">
        <f t="shared" si="12"/>
        <v>0</v>
      </c>
      <c r="S30" s="3"/>
      <c r="T30" s="7">
        <v>0</v>
      </c>
      <c r="U30" s="3"/>
      <c r="V30" s="8">
        <f t="shared" si="13"/>
        <v>0</v>
      </c>
      <c r="W30" s="3"/>
      <c r="X30" s="7">
        <f t="shared" si="14"/>
        <v>0</v>
      </c>
      <c r="Y30" s="3"/>
      <c r="Z30" s="8">
        <f t="shared" si="15"/>
        <v>0</v>
      </c>
    </row>
    <row r="31" spans="1:26" s="24" customFormat="1" hidden="1" outlineLevel="2" x14ac:dyDescent="0.25">
      <c r="A31" s="27"/>
      <c r="B31" s="12" t="str">
        <f>CONCATENATE("          ", "6002", " - ", "STAFF SALARIES")</f>
        <v xml:space="preserve">          6002 - STAFF SALARIES</v>
      </c>
      <c r="C31" s="12"/>
      <c r="D31" s="7">
        <v>5039.75</v>
      </c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5039.75</v>
      </c>
      <c r="M31" s="3"/>
      <c r="N31" s="8">
        <f t="shared" si="11"/>
        <v>0</v>
      </c>
      <c r="O31" s="12"/>
      <c r="P31" s="7">
        <v>5039.75</v>
      </c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5039.75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"6003", " - ", "STAFF HOURLY-9 MONTH")</f>
        <v xml:space="preserve">          6003 - STAFF HOURLY-9 MONTH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"6004", " - ", "STAFF HOURLY")</f>
        <v xml:space="preserve">          6004 - STAFF HOURLY</v>
      </c>
      <c r="C33" s="12"/>
      <c r="D33" s="7"/>
      <c r="E33" s="3"/>
      <c r="F33" s="8">
        <f t="shared" si="8"/>
        <v>0</v>
      </c>
      <c r="G33" s="3"/>
      <c r="H33" s="7">
        <v>4672.5</v>
      </c>
      <c r="I33" s="3"/>
      <c r="J33" s="8">
        <f t="shared" si="9"/>
        <v>0</v>
      </c>
      <c r="K33" s="3"/>
      <c r="L33" s="7">
        <f t="shared" si="10"/>
        <v>-4672.5</v>
      </c>
      <c r="M33" s="3"/>
      <c r="N33" s="8">
        <f t="shared" si="11"/>
        <v>-1</v>
      </c>
      <c r="O33" s="12"/>
      <c r="P33" s="7"/>
      <c r="Q33" s="3"/>
      <c r="R33" s="8">
        <f t="shared" si="12"/>
        <v>0</v>
      </c>
      <c r="S33" s="3"/>
      <c r="T33" s="7">
        <v>4672.5</v>
      </c>
      <c r="U33" s="3"/>
      <c r="V33" s="8">
        <f t="shared" si="13"/>
        <v>0</v>
      </c>
      <c r="W33" s="3"/>
      <c r="X33" s="7">
        <f t="shared" si="14"/>
        <v>-4672.5</v>
      </c>
      <c r="Y33" s="3"/>
      <c r="Z33" s="8">
        <f t="shared" si="15"/>
        <v>-1</v>
      </c>
    </row>
    <row r="34" spans="1:26" s="24" customFormat="1" hidden="1" outlineLevel="2" x14ac:dyDescent="0.25">
      <c r="A34" s="27"/>
      <c r="B34" s="12" t="str">
        <f>CONCATENATE("          ", "6005", " - ", "TEMPORARY WAGES-HOURLY")</f>
        <v xml:space="preserve">          6005 - TEMPORARY WAGES-HOURLY</v>
      </c>
      <c r="C34" s="12"/>
      <c r="D34" s="7"/>
      <c r="E34" s="3"/>
      <c r="F34" s="8">
        <f t="shared" si="8"/>
        <v>0</v>
      </c>
      <c r="G34" s="3"/>
      <c r="H34" s="7">
        <v>0</v>
      </c>
      <c r="I34" s="3"/>
      <c r="J34" s="8">
        <f t="shared" si="9"/>
        <v>0</v>
      </c>
      <c r="K34" s="3"/>
      <c r="L34" s="7">
        <f t="shared" si="10"/>
        <v>0</v>
      </c>
      <c r="M34" s="3"/>
      <c r="N34" s="8">
        <f t="shared" si="11"/>
        <v>0</v>
      </c>
      <c r="O34" s="12"/>
      <c r="P34" s="7"/>
      <c r="Q34" s="3"/>
      <c r="R34" s="8">
        <f t="shared" si="12"/>
        <v>0</v>
      </c>
      <c r="S34" s="3"/>
      <c r="T34" s="7">
        <v>0</v>
      </c>
      <c r="U34" s="3"/>
      <c r="V34" s="8">
        <f t="shared" si="13"/>
        <v>0</v>
      </c>
      <c r="W34" s="3"/>
      <c r="X34" s="7">
        <f t="shared" si="14"/>
        <v>0</v>
      </c>
      <c r="Y34" s="3"/>
      <c r="Z34" s="8">
        <f t="shared" si="15"/>
        <v>0</v>
      </c>
    </row>
    <row r="35" spans="1:26" s="24" customFormat="1" hidden="1" outlineLevel="2" x14ac:dyDescent="0.25">
      <c r="A35" s="27"/>
      <c r="B35" s="12" t="str">
        <f>CONCATENATE("          ", "6006", " - ", "TEMPORARY PART TIME")</f>
        <v xml:space="preserve">          6006 - TEMPORARY PART TIME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"6007", " - ", "STUDENT HOURLY")</f>
        <v xml:space="preserve">          6007 - STUDENT HOURLY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"6008", " - ", "STUDENT HOURLY-FICA EXEMPT")</f>
        <v xml:space="preserve">          6008 - STUDENT HOURLY-FICA EXEMPT</v>
      </c>
      <c r="C37" s="12"/>
      <c r="D37" s="7"/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0</v>
      </c>
      <c r="M37" s="3"/>
      <c r="N37" s="8">
        <f t="shared" si="11"/>
        <v>0</v>
      </c>
      <c r="O37" s="12"/>
      <c r="P37" s="7"/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0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"6009", " - ", "TEMPORARY-SEASONAL")</f>
        <v xml:space="preserve">          6009 - TEMPORARY-SEASONAL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4" customFormat="1" hidden="1" outlineLevel="2" x14ac:dyDescent="0.25">
      <c r="A39" s="27"/>
      <c r="B39" s="12" t="str">
        <f>CONCATENATE("          ", "6010", " - ", "GRATUITY")</f>
        <v xml:space="preserve">          6010 - GRATUITY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29" customFormat="1" outlineLevel="1" collapsed="1" x14ac:dyDescent="0.25">
      <c r="A40" s="28"/>
      <c r="B40" s="14" t="str">
        <f>CONCATENATE("     ","Insurance                                         ")</f>
        <v xml:space="preserve">     Insurance                                         </v>
      </c>
      <c r="C40" s="14"/>
      <c r="D40" s="1">
        <f>SUM(OSRRefD22_2x_0)</f>
        <v>24.56</v>
      </c>
      <c r="E40" s="1"/>
      <c r="F40" s="5">
        <f t="shared" ref="F40:F44" si="16">IF(D$12=0,0,D40/D$12)</f>
        <v>0</v>
      </c>
      <c r="G40" s="1"/>
      <c r="H40" s="1">
        <f>SUM(OSRRefH22_2x_0)</f>
        <v>27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-2.4400000000000013</v>
      </c>
      <c r="M40" s="1"/>
      <c r="N40" s="5">
        <f t="shared" ref="N40:N44" si="19">IF(H40=0,0,L40/H40)</f>
        <v>-9.037037037037042E-2</v>
      </c>
      <c r="O40" s="14"/>
      <c r="P40" s="1">
        <f>SUM(OSRRefP22_2x_0)</f>
        <v>24.56</v>
      </c>
      <c r="Q40" s="1"/>
      <c r="R40" s="5">
        <f t="shared" ref="R40:R44" si="20">IF(P$12=0,0,P40/P$12)</f>
        <v>0</v>
      </c>
      <c r="S40" s="1"/>
      <c r="T40" s="1">
        <f>SUM(OSRRefT22_2x_0)</f>
        <v>27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-2.4400000000000013</v>
      </c>
      <c r="Y40" s="1"/>
      <c r="Z40" s="5">
        <f t="shared" ref="Z40:Z44" si="23">IF(T40=0,0,X40/T40)</f>
        <v>-9.037037037037042E-2</v>
      </c>
    </row>
    <row r="41" spans="1:26" s="24" customFormat="1" hidden="1" outlineLevel="2" x14ac:dyDescent="0.25">
      <c r="A41" s="27"/>
      <c r="B41" s="12" t="str">
        <f>CONCATENATE("          ", "6314", " - ", "LIABILITY INSURANCE")</f>
        <v xml:space="preserve">          6314 - LIABILITY INSURANCE</v>
      </c>
      <c r="C41" s="12"/>
      <c r="D41" s="7">
        <v>24.56</v>
      </c>
      <c r="E41" s="3"/>
      <c r="F41" s="8">
        <f t="shared" si="16"/>
        <v>0</v>
      </c>
      <c r="G41" s="3"/>
      <c r="H41" s="7">
        <v>27</v>
      </c>
      <c r="I41" s="3"/>
      <c r="J41" s="8">
        <f t="shared" si="17"/>
        <v>0</v>
      </c>
      <c r="K41" s="3"/>
      <c r="L41" s="7">
        <f t="shared" si="18"/>
        <v>-2.4400000000000013</v>
      </c>
      <c r="M41" s="3"/>
      <c r="N41" s="8">
        <f t="shared" si="19"/>
        <v>-9.037037037037042E-2</v>
      </c>
      <c r="O41" s="12"/>
      <c r="P41" s="7">
        <v>24.56</v>
      </c>
      <c r="Q41" s="3"/>
      <c r="R41" s="8">
        <f t="shared" si="20"/>
        <v>0</v>
      </c>
      <c r="S41" s="3"/>
      <c r="T41" s="7">
        <v>27</v>
      </c>
      <c r="U41" s="3"/>
      <c r="V41" s="8">
        <f t="shared" si="21"/>
        <v>0</v>
      </c>
      <c r="W41" s="3"/>
      <c r="X41" s="7">
        <f t="shared" si="22"/>
        <v>-2.4400000000000013</v>
      </c>
      <c r="Y41" s="3"/>
      <c r="Z41" s="8">
        <f t="shared" si="23"/>
        <v>-9.037037037037042E-2</v>
      </c>
    </row>
    <row r="42" spans="1:26" s="29" customFormat="1" outlineLevel="1" collapsed="1" x14ac:dyDescent="0.25">
      <c r="A42" s="28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SUM(OSRRefD22_3x_0)</f>
        <v>1685.19</v>
      </c>
      <c r="E42" s="1"/>
      <c r="F42" s="5">
        <f t="shared" si="16"/>
        <v>0</v>
      </c>
      <c r="G42" s="1"/>
      <c r="H42" s="1">
        <f>SUM(OSRRefH22_3x_0)</f>
        <v>1500</v>
      </c>
      <c r="I42" s="1"/>
      <c r="J42" s="5">
        <f t="shared" si="17"/>
        <v>0</v>
      </c>
      <c r="K42" s="1"/>
      <c r="L42" s="1">
        <f t="shared" si="18"/>
        <v>185.19000000000005</v>
      </c>
      <c r="M42" s="1"/>
      <c r="N42" s="5">
        <f t="shared" si="19"/>
        <v>0.12346000000000004</v>
      </c>
      <c r="O42" s="14"/>
      <c r="P42" s="1">
        <f>SUM(OSRRefP22_3x_0)</f>
        <v>1685.19</v>
      </c>
      <c r="Q42" s="1"/>
      <c r="R42" s="5">
        <f t="shared" si="20"/>
        <v>0</v>
      </c>
      <c r="S42" s="1"/>
      <c r="T42" s="1">
        <f>SUM(OSRRefT22_3x_0)</f>
        <v>1500</v>
      </c>
      <c r="U42" s="1"/>
      <c r="V42" s="5">
        <f t="shared" si="21"/>
        <v>0</v>
      </c>
      <c r="W42" s="1"/>
      <c r="X42" s="1">
        <f t="shared" si="22"/>
        <v>185.19000000000005</v>
      </c>
      <c r="Y42" s="1"/>
      <c r="Z42" s="5">
        <f t="shared" si="23"/>
        <v>0.12346000000000004</v>
      </c>
    </row>
    <row r="43" spans="1:26" s="24" customFormat="1" hidden="1" outlineLevel="2" x14ac:dyDescent="0.25">
      <c r="A43" s="27"/>
      <c r="B43" s="12" t="str">
        <f>CONCATENATE("          ", "6373", " - ", "MAINTENANCE CONTRACTS")</f>
        <v xml:space="preserve">          6373 - MAINTENANCE CONTRACTS</v>
      </c>
      <c r="C43" s="12"/>
      <c r="D43" s="7">
        <v>866</v>
      </c>
      <c r="E43" s="3"/>
      <c r="F43" s="8">
        <f t="shared" si="16"/>
        <v>0</v>
      </c>
      <c r="G43" s="3"/>
      <c r="H43" s="7">
        <v>1500</v>
      </c>
      <c r="I43" s="3"/>
      <c r="J43" s="8">
        <f t="shared" si="17"/>
        <v>0</v>
      </c>
      <c r="K43" s="3"/>
      <c r="L43" s="7">
        <f t="shared" si="18"/>
        <v>-634</v>
      </c>
      <c r="M43" s="3"/>
      <c r="N43" s="8">
        <f t="shared" si="19"/>
        <v>-0.42266666666666669</v>
      </c>
      <c r="O43" s="12"/>
      <c r="P43" s="7">
        <v>866</v>
      </c>
      <c r="Q43" s="3"/>
      <c r="R43" s="8">
        <f t="shared" si="20"/>
        <v>0</v>
      </c>
      <c r="S43" s="3"/>
      <c r="T43" s="7">
        <v>1500</v>
      </c>
      <c r="U43" s="3"/>
      <c r="V43" s="8">
        <f t="shared" si="21"/>
        <v>0</v>
      </c>
      <c r="W43" s="3"/>
      <c r="X43" s="7">
        <f t="shared" si="22"/>
        <v>-634</v>
      </c>
      <c r="Y43" s="3"/>
      <c r="Z43" s="8">
        <f t="shared" si="23"/>
        <v>-0.42266666666666669</v>
      </c>
    </row>
    <row r="44" spans="1:26" s="24" customFormat="1" hidden="1" outlineLevel="2" x14ac:dyDescent="0.25">
      <c r="A44" s="27"/>
      <c r="B44" s="12" t="str">
        <f>CONCATENATE("          ", "6375", " - ", "OUTSIDE REPAIRS &amp; MAINTENANCE")</f>
        <v xml:space="preserve">          6375 - OUTSIDE REPAIRS &amp; MAINTENANCE</v>
      </c>
      <c r="C44" s="12"/>
      <c r="D44" s="7">
        <v>819.19</v>
      </c>
      <c r="E44" s="3"/>
      <c r="F44" s="8">
        <f t="shared" si="16"/>
        <v>0</v>
      </c>
      <c r="G44" s="3"/>
      <c r="H44" s="7"/>
      <c r="I44" s="3"/>
      <c r="J44" s="8">
        <f t="shared" si="17"/>
        <v>0</v>
      </c>
      <c r="K44" s="3"/>
      <c r="L44" s="7">
        <f t="shared" si="18"/>
        <v>819.19</v>
      </c>
      <c r="M44" s="3"/>
      <c r="N44" s="8">
        <f t="shared" si="19"/>
        <v>0</v>
      </c>
      <c r="O44" s="12"/>
      <c r="P44" s="7">
        <v>819.19</v>
      </c>
      <c r="Q44" s="3"/>
      <c r="R44" s="8">
        <f t="shared" si="20"/>
        <v>0</v>
      </c>
      <c r="S44" s="3"/>
      <c r="T44" s="7"/>
      <c r="U44" s="3"/>
      <c r="V44" s="8">
        <f t="shared" si="21"/>
        <v>0</v>
      </c>
      <c r="W44" s="3"/>
      <c r="X44" s="7">
        <f t="shared" si="22"/>
        <v>819.19</v>
      </c>
      <c r="Y44" s="3"/>
      <c r="Z44" s="8">
        <f t="shared" si="23"/>
        <v>0</v>
      </c>
    </row>
    <row r="45" spans="1:26" s="29" customFormat="1" outlineLevel="1" collapsed="1" x14ac:dyDescent="0.25">
      <c r="A45" s="28"/>
      <c r="B45" s="14" t="str">
        <f>CONCATENATE("     ","Services                                          ")</f>
        <v xml:space="preserve">     Services                                          </v>
      </c>
      <c r="C45" s="14"/>
      <c r="D45" s="1">
        <f>SUM(OSRRefD22_4x_0)</f>
        <v>0</v>
      </c>
      <c r="E45" s="1"/>
      <c r="F45" s="5">
        <f t="shared" ref="F45:F50" si="24">IF(D$12=0,0,D45/D$12)</f>
        <v>0</v>
      </c>
      <c r="G45" s="1"/>
      <c r="H45" s="1">
        <f>SUM(OSRRefH22_4x_0)</f>
        <v>25</v>
      </c>
      <c r="I45" s="1"/>
      <c r="J45" s="5">
        <f t="shared" ref="J45:J50" si="25">IF(H$12=0,0,H45/H$12)</f>
        <v>0</v>
      </c>
      <c r="K45" s="1"/>
      <c r="L45" s="1">
        <f t="shared" ref="L45:L50" si="26">+D45-H45</f>
        <v>-25</v>
      </c>
      <c r="M45" s="1"/>
      <c r="N45" s="5">
        <f t="shared" ref="N45:N50" si="27">IF(H45=0,0,L45/H45)</f>
        <v>-1</v>
      </c>
      <c r="O45" s="14"/>
      <c r="P45" s="1">
        <f>SUM(OSRRefP22_4x_0)</f>
        <v>0</v>
      </c>
      <c r="Q45" s="1"/>
      <c r="R45" s="5">
        <f t="shared" ref="R45:R50" si="28">IF(P$12=0,0,P45/P$12)</f>
        <v>0</v>
      </c>
      <c r="S45" s="1"/>
      <c r="T45" s="1">
        <f>SUM(OSRRefT22_4x_0)</f>
        <v>25</v>
      </c>
      <c r="U45" s="1"/>
      <c r="V45" s="5">
        <f t="shared" ref="V45:V50" si="29">IF(T$12=0,0,T45/T$12)</f>
        <v>0</v>
      </c>
      <c r="W45" s="1"/>
      <c r="X45" s="1">
        <f t="shared" ref="X45:X50" si="30">+P45-T45</f>
        <v>-25</v>
      </c>
      <c r="Y45" s="1"/>
      <c r="Z45" s="5">
        <f t="shared" ref="Z45:Z50" si="31">IF(T45=0,0,X45/T45)</f>
        <v>-1</v>
      </c>
    </row>
    <row r="46" spans="1:26" s="24" customFormat="1" hidden="1" outlineLevel="2" x14ac:dyDescent="0.25">
      <c r="A46" s="27"/>
      <c r="B46" s="12" t="str">
        <f>CONCATENATE("          ", "6286", " - ", "LAUNDRY EXPENSE")</f>
        <v xml:space="preserve">          6286 - LAUNDRY EXPENSE</v>
      </c>
      <c r="C46" s="12"/>
      <c r="D46" s="7"/>
      <c r="E46" s="3"/>
      <c r="F46" s="8">
        <f t="shared" si="24"/>
        <v>0</v>
      </c>
      <c r="G46" s="3"/>
      <c r="H46" s="7">
        <v>25</v>
      </c>
      <c r="I46" s="3"/>
      <c r="J46" s="8">
        <f t="shared" si="25"/>
        <v>0</v>
      </c>
      <c r="K46" s="3"/>
      <c r="L46" s="7">
        <f t="shared" si="26"/>
        <v>-25</v>
      </c>
      <c r="M46" s="3"/>
      <c r="N46" s="8">
        <f t="shared" si="27"/>
        <v>-1</v>
      </c>
      <c r="O46" s="12"/>
      <c r="P46" s="7"/>
      <c r="Q46" s="3"/>
      <c r="R46" s="8">
        <f t="shared" si="28"/>
        <v>0</v>
      </c>
      <c r="S46" s="3"/>
      <c r="T46" s="7">
        <v>25</v>
      </c>
      <c r="U46" s="3"/>
      <c r="V46" s="8">
        <f t="shared" si="29"/>
        <v>0</v>
      </c>
      <c r="W46" s="3"/>
      <c r="X46" s="7">
        <f t="shared" si="30"/>
        <v>-25</v>
      </c>
      <c r="Y46" s="3"/>
      <c r="Z46" s="8">
        <f t="shared" si="31"/>
        <v>-1</v>
      </c>
    </row>
    <row r="47" spans="1:26" s="29" customFormat="1" outlineLevel="1" collapsed="1" x14ac:dyDescent="0.25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SUM(OSRRefD22_5x_0)</f>
        <v>0</v>
      </c>
      <c r="E47" s="1"/>
      <c r="F47" s="5">
        <f t="shared" si="24"/>
        <v>0</v>
      </c>
      <c r="G47" s="1"/>
      <c r="H47" s="1">
        <f>SUM(OSRRefH22_5x_0)</f>
        <v>5000</v>
      </c>
      <c r="I47" s="1"/>
      <c r="J47" s="5">
        <f t="shared" si="25"/>
        <v>0</v>
      </c>
      <c r="K47" s="1"/>
      <c r="L47" s="1">
        <f t="shared" si="26"/>
        <v>-5000</v>
      </c>
      <c r="M47" s="1"/>
      <c r="N47" s="5">
        <f t="shared" si="27"/>
        <v>-1</v>
      </c>
      <c r="O47" s="14"/>
      <c r="P47" s="1">
        <f>SUM(OSRRefP22_5x_0)</f>
        <v>0</v>
      </c>
      <c r="Q47" s="1"/>
      <c r="R47" s="5">
        <f t="shared" si="28"/>
        <v>0</v>
      </c>
      <c r="S47" s="1"/>
      <c r="T47" s="1">
        <f>SUM(OSRRefT22_5x_0)</f>
        <v>5000</v>
      </c>
      <c r="U47" s="1"/>
      <c r="V47" s="5">
        <f t="shared" si="29"/>
        <v>0</v>
      </c>
      <c r="W47" s="1"/>
      <c r="X47" s="1">
        <f t="shared" si="30"/>
        <v>-5000</v>
      </c>
      <c r="Y47" s="1"/>
      <c r="Z47" s="5">
        <f t="shared" si="31"/>
        <v>-1</v>
      </c>
    </row>
    <row r="48" spans="1:26" s="24" customFormat="1" hidden="1" outlineLevel="2" x14ac:dyDescent="0.25">
      <c r="A48" s="27"/>
      <c r="B48" s="12" t="str">
        <f>CONCATENATE("          ", "6247", " - ", "STORE SUPPLIES")</f>
        <v xml:space="preserve">          6247 - STORE SUPPLIES</v>
      </c>
      <c r="C48" s="12"/>
      <c r="D48" s="7"/>
      <c r="E48" s="3"/>
      <c r="F48" s="8">
        <f t="shared" si="24"/>
        <v>0</v>
      </c>
      <c r="G48" s="3"/>
      <c r="H48" s="7">
        <v>5000</v>
      </c>
      <c r="I48" s="3"/>
      <c r="J48" s="8">
        <f t="shared" si="25"/>
        <v>0</v>
      </c>
      <c r="K48" s="3"/>
      <c r="L48" s="7">
        <f t="shared" si="26"/>
        <v>-5000</v>
      </c>
      <c r="M48" s="3"/>
      <c r="N48" s="8">
        <f t="shared" si="27"/>
        <v>-1</v>
      </c>
      <c r="O48" s="12"/>
      <c r="P48" s="7"/>
      <c r="Q48" s="3"/>
      <c r="R48" s="8">
        <f t="shared" si="28"/>
        <v>0</v>
      </c>
      <c r="S48" s="3"/>
      <c r="T48" s="7">
        <v>5000</v>
      </c>
      <c r="U48" s="3"/>
      <c r="V48" s="8">
        <f t="shared" si="29"/>
        <v>0</v>
      </c>
      <c r="W48" s="3"/>
      <c r="X48" s="7">
        <f t="shared" si="30"/>
        <v>-5000</v>
      </c>
      <c r="Y48" s="3"/>
      <c r="Z48" s="8">
        <f t="shared" si="31"/>
        <v>-1</v>
      </c>
    </row>
    <row r="49" spans="1:26" s="29" customFormat="1" outlineLevel="1" collapsed="1" x14ac:dyDescent="0.25">
      <c r="A49" s="28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73</v>
      </c>
      <c r="E49" s="1"/>
      <c r="F49" s="5">
        <f t="shared" si="24"/>
        <v>0</v>
      </c>
      <c r="G49" s="1"/>
      <c r="H49" s="1">
        <f>SUM(OSRRefH22_6x_0)</f>
        <v>25</v>
      </c>
      <c r="I49" s="1"/>
      <c r="J49" s="5">
        <f t="shared" si="25"/>
        <v>0</v>
      </c>
      <c r="K49" s="1"/>
      <c r="L49" s="1">
        <f t="shared" si="26"/>
        <v>48</v>
      </c>
      <c r="M49" s="1"/>
      <c r="N49" s="5">
        <f t="shared" si="27"/>
        <v>1.92</v>
      </c>
      <c r="O49" s="14"/>
      <c r="P49" s="1">
        <f>SUM(OSRRefP22_6x_0)</f>
        <v>73</v>
      </c>
      <c r="Q49" s="1"/>
      <c r="R49" s="5">
        <f t="shared" si="28"/>
        <v>0</v>
      </c>
      <c r="S49" s="1"/>
      <c r="T49" s="1">
        <f>SUM(OSRRefT22_6x_0)</f>
        <v>25</v>
      </c>
      <c r="U49" s="1"/>
      <c r="V49" s="5">
        <f t="shared" si="29"/>
        <v>0</v>
      </c>
      <c r="W49" s="1"/>
      <c r="X49" s="1">
        <f t="shared" si="30"/>
        <v>48</v>
      </c>
      <c r="Y49" s="1"/>
      <c r="Z49" s="5">
        <f t="shared" si="31"/>
        <v>1.92</v>
      </c>
    </row>
    <row r="50" spans="1:26" s="24" customFormat="1" hidden="1" outlineLevel="2" x14ac:dyDescent="0.25">
      <c r="A50" s="27"/>
      <c r="B50" s="12" t="str">
        <f>CONCATENATE("          ", "6309", " - ", "TELEPHONE")</f>
        <v xml:space="preserve">          6309 - TELEPHONE</v>
      </c>
      <c r="C50" s="12"/>
      <c r="D50" s="7">
        <v>73</v>
      </c>
      <c r="E50" s="3"/>
      <c r="F50" s="8">
        <f t="shared" si="24"/>
        <v>0</v>
      </c>
      <c r="G50" s="3"/>
      <c r="H50" s="7">
        <v>25</v>
      </c>
      <c r="I50" s="3"/>
      <c r="J50" s="8">
        <f t="shared" si="25"/>
        <v>0</v>
      </c>
      <c r="K50" s="3"/>
      <c r="L50" s="7">
        <f t="shared" si="26"/>
        <v>48</v>
      </c>
      <c r="M50" s="3"/>
      <c r="N50" s="8">
        <f t="shared" si="27"/>
        <v>1.92</v>
      </c>
      <c r="O50" s="12"/>
      <c r="P50" s="7">
        <v>73</v>
      </c>
      <c r="Q50" s="3"/>
      <c r="R50" s="8">
        <f t="shared" si="28"/>
        <v>0</v>
      </c>
      <c r="S50" s="3"/>
      <c r="T50" s="7">
        <v>25</v>
      </c>
      <c r="U50" s="3"/>
      <c r="V50" s="8">
        <f t="shared" si="29"/>
        <v>0</v>
      </c>
      <c r="W50" s="3"/>
      <c r="X50" s="7">
        <f t="shared" si="30"/>
        <v>48</v>
      </c>
      <c r="Y50" s="3"/>
      <c r="Z50" s="8">
        <f t="shared" si="31"/>
        <v>1.92</v>
      </c>
    </row>
    <row r="51" spans="1:26" s="54" customFormat="1" x14ac:dyDescent="0.25">
      <c r="A51" s="36"/>
      <c r="B51" s="36"/>
      <c r="C51" s="36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2" customFormat="1" x14ac:dyDescent="0.25">
      <c r="A52" s="10"/>
      <c r="B52" s="26" t="s">
        <v>0</v>
      </c>
      <c r="C52" s="10"/>
      <c r="D52" s="4">
        <f>SUM(0)</f>
        <v>0</v>
      </c>
      <c r="E52" s="4"/>
      <c r="F52" s="11">
        <f>IF(D$12=0,0,D52/D$12)</f>
        <v>0</v>
      </c>
      <c r="G52" s="4"/>
      <c r="H52" s="4">
        <f>SUM(0)</f>
        <v>0</v>
      </c>
      <c r="I52" s="4"/>
      <c r="J52" s="11">
        <f>IF(H$12=0,0,H52/H$12)</f>
        <v>0</v>
      </c>
      <c r="K52" s="4"/>
      <c r="L52" s="4">
        <f>+D52-H52</f>
        <v>0</v>
      </c>
      <c r="M52" s="4"/>
      <c r="N52" s="11">
        <f>IF(H52=0,0,L52/H52)</f>
        <v>0</v>
      </c>
      <c r="O52" s="10"/>
      <c r="P52" s="4">
        <f>SUM(0)</f>
        <v>0</v>
      </c>
      <c r="Q52" s="4"/>
      <c r="R52" s="11">
        <f>IF(P$12=0,0,P52/P$12)</f>
        <v>0</v>
      </c>
      <c r="S52" s="4"/>
      <c r="T52" s="4">
        <f>SUM(0)</f>
        <v>0</v>
      </c>
      <c r="U52" s="4"/>
      <c r="V52" s="11">
        <f>IF(T$12=0,0,T52/T$12)</f>
        <v>0</v>
      </c>
      <c r="W52" s="4"/>
      <c r="X52" s="4">
        <f>+P52-T52</f>
        <v>0</v>
      </c>
      <c r="Y52" s="4"/>
      <c r="Z52" s="11">
        <f>IF(T52=0,0,X52/T52)</f>
        <v>0</v>
      </c>
    </row>
    <row r="53" spans="1:26" x14ac:dyDescent="0.25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2" customFormat="1" x14ac:dyDescent="0.25">
      <c r="A54" s="10"/>
      <c r="B54" s="25" t="s">
        <v>3</v>
      </c>
      <c r="C54" s="25"/>
      <c r="D54" s="21">
        <f>+D16-D18+D52</f>
        <v>-9379.26</v>
      </c>
      <c r="E54" s="13"/>
      <c r="F54" s="20">
        <f>IF(D$12=0,0,D54/D$12)</f>
        <v>0</v>
      </c>
      <c r="G54" s="13"/>
      <c r="H54" s="21">
        <f>+H16-H18+H52</f>
        <v>-13531.065192307691</v>
      </c>
      <c r="I54" s="13"/>
      <c r="J54" s="20">
        <f>IF(H$12=0,0,H54/H$12)</f>
        <v>0</v>
      </c>
      <c r="K54" s="15"/>
      <c r="L54" s="21">
        <f>+D54-H54</f>
        <v>4151.805192307691</v>
      </c>
      <c r="M54" s="15"/>
      <c r="N54" s="20">
        <f>IF(H54=0,0,L54/H54)</f>
        <v>-0.30683505942074396</v>
      </c>
      <c r="O54" s="26"/>
      <c r="P54" s="21">
        <f>+P16-P18+P52</f>
        <v>-9379.26</v>
      </c>
      <c r="Q54" s="13"/>
      <c r="R54" s="20">
        <f>IF(P$12=0,0,P54/P$12)</f>
        <v>0</v>
      </c>
      <c r="S54" s="13"/>
      <c r="T54" s="21">
        <f>+T16-T18+T52</f>
        <v>-13531.065192307691</v>
      </c>
      <c r="U54" s="13"/>
      <c r="V54" s="20">
        <f>IF(T$12=0,0,T54/T$12)</f>
        <v>0</v>
      </c>
      <c r="W54" s="15"/>
      <c r="X54" s="21">
        <f>+P54-T54</f>
        <v>4151.805192307691</v>
      </c>
      <c r="Y54" s="15"/>
      <c r="Z54" s="20">
        <f>IF(T54=0,0,X54/T54)</f>
        <v>-0.30683505942074396</v>
      </c>
    </row>
    <row r="55" spans="1:26" x14ac:dyDescent="0.25">
      <c r="A55" s="9"/>
      <c r="B55" s="10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2" customFormat="1" x14ac:dyDescent="0.25">
      <c r="A56" s="52"/>
      <c r="B56" s="10" t="s">
        <v>14</v>
      </c>
      <c r="C56" s="10"/>
      <c r="D56" s="4"/>
      <c r="E56" s="4"/>
      <c r="F56" s="11">
        <f>IF(D$12=0,0,D56/D$12)</f>
        <v>0</v>
      </c>
      <c r="G56" s="4"/>
      <c r="H56" s="4"/>
      <c r="I56" s="4"/>
      <c r="J56" s="11">
        <f>IF(H$12=0,0,H56/H$12)</f>
        <v>0</v>
      </c>
      <c r="K56" s="4"/>
      <c r="L56" s="4">
        <f>+D56-H56</f>
        <v>0</v>
      </c>
      <c r="M56" s="4"/>
      <c r="N56" s="11">
        <f>IF(H56=0,0,L56/H56)</f>
        <v>0</v>
      </c>
      <c r="O56" s="10"/>
      <c r="P56" s="4"/>
      <c r="Q56" s="4"/>
      <c r="R56" s="11">
        <f>IF(P$12=0,0,P56/P$12)</f>
        <v>0</v>
      </c>
      <c r="S56" s="4"/>
      <c r="T56" s="4"/>
      <c r="U56" s="4"/>
      <c r="V56" s="11">
        <f>IF(T$12=0,0,T56/T$12)</f>
        <v>0</v>
      </c>
      <c r="W56" s="4"/>
      <c r="X56" s="4">
        <f>+P56-T56</f>
        <v>0</v>
      </c>
      <c r="Y56" s="4"/>
      <c r="Z56" s="11">
        <f>IF(T56=0,0,X56/T56)</f>
        <v>0</v>
      </c>
    </row>
    <row r="57" spans="1:26" x14ac:dyDescent="0.25">
      <c r="A57" s="9"/>
      <c r="B57" s="10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10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2" customFormat="1" ht="15.75" thickBot="1" x14ac:dyDescent="0.3">
      <c r="A58" s="10"/>
      <c r="B58" s="25" t="s">
        <v>4</v>
      </c>
      <c r="C58" s="25"/>
      <c r="D58" s="34">
        <f>+D54-D56</f>
        <v>-9379.26</v>
      </c>
      <c r="E58" s="13"/>
      <c r="F58" s="30">
        <f>IF(D$12=0,0,D58/D$12)</f>
        <v>0</v>
      </c>
      <c r="G58" s="13"/>
      <c r="H58" s="34">
        <f>+H54-H56</f>
        <v>-13531.065192307691</v>
      </c>
      <c r="I58" s="13"/>
      <c r="J58" s="30">
        <f>IF(H$12=0,0,H58/H$12)</f>
        <v>0</v>
      </c>
      <c r="K58" s="15"/>
      <c r="L58" s="34">
        <f>D58-H58</f>
        <v>4151.805192307691</v>
      </c>
      <c r="M58" s="15"/>
      <c r="N58" s="30">
        <f>IF(H58=0,0,L58/H58)</f>
        <v>-0.30683505942074396</v>
      </c>
      <c r="O58" s="26"/>
      <c r="P58" s="34">
        <f>+P54-P56</f>
        <v>-9379.26</v>
      </c>
      <c r="Q58" s="13"/>
      <c r="R58" s="30">
        <f>IF(P$12=0,0,P58/P$12)</f>
        <v>0</v>
      </c>
      <c r="S58" s="13"/>
      <c r="T58" s="34">
        <f>+T54-T56</f>
        <v>-13531.065192307691</v>
      </c>
      <c r="U58" s="13"/>
      <c r="V58" s="30">
        <f>IF(T$12=0,0,T58/T$12)</f>
        <v>0</v>
      </c>
      <c r="W58" s="15"/>
      <c r="X58" s="34">
        <f>P58-T58</f>
        <v>4151.805192307691</v>
      </c>
      <c r="Y58" s="15"/>
      <c r="Z58" s="30">
        <f>IF(T58=0,0,X58/T58)</f>
        <v>-0.30683505942074396</v>
      </c>
    </row>
    <row r="59" spans="1:26" ht="15.75" thickTop="1" x14ac:dyDescent="0.25">
      <c r="A59" s="9"/>
      <c r="B59" s="9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x14ac:dyDescent="0.25">
      <c r="A60" s="9"/>
      <c r="B60" s="9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2" customFormat="1" ht="15.75" thickBot="1" x14ac:dyDescent="0.3">
      <c r="A61" s="10"/>
      <c r="B61" s="25" t="s">
        <v>5</v>
      </c>
      <c r="C61" s="25"/>
      <c r="D61" s="32">
        <f>SUM(D58:D60)</f>
        <v>-9379.26</v>
      </c>
      <c r="E61" s="13"/>
      <c r="F61" s="33">
        <f>IF(D$12=0,0,D61/D$12)</f>
        <v>0</v>
      </c>
      <c r="G61" s="13"/>
      <c r="H61" s="32">
        <f>SUM(H58:H60)</f>
        <v>-13531.065192307691</v>
      </c>
      <c r="I61" s="13"/>
      <c r="J61" s="33">
        <f>IF(H$12=0,0,H61/H$12)</f>
        <v>0</v>
      </c>
      <c r="K61" s="15"/>
      <c r="L61" s="32">
        <f>+D61-H61</f>
        <v>4151.805192307691</v>
      </c>
      <c r="M61" s="15"/>
      <c r="N61" s="33">
        <f>IF(H61=0,0,L61/H61)</f>
        <v>-0.30683505942074396</v>
      </c>
      <c r="O61" s="26"/>
      <c r="P61" s="32">
        <f>SUM(P58:P60)</f>
        <v>-9379.26</v>
      </c>
      <c r="Q61" s="13"/>
      <c r="R61" s="33">
        <f>IF(P$12=0,0,P61/P$12)</f>
        <v>0</v>
      </c>
      <c r="S61" s="13"/>
      <c r="T61" s="32">
        <f>SUM(T58:T60)</f>
        <v>-13531.065192307691</v>
      </c>
      <c r="U61" s="13"/>
      <c r="V61" s="33">
        <f>IF(T$12=0,0,T61/T$12)</f>
        <v>0</v>
      </c>
      <c r="W61" s="15"/>
      <c r="X61" s="32">
        <f>+P61-T61</f>
        <v>4151.805192307691</v>
      </c>
      <c r="Y61" s="15"/>
      <c r="Z61" s="33">
        <f>IF(T61=0,0,X61/T61)</f>
        <v>-0.30683505942074396</v>
      </c>
    </row>
    <row r="62" spans="1:26" ht="15.75" thickTop="1" x14ac:dyDescent="0.25">
      <c r="A62" s="9"/>
      <c r="C62" s="9"/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58">
        <v>44104.685780636573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6" t="s">
        <v>314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25">
      <c r="A65" s="9"/>
      <c r="B65" s="62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","206", " - ", "Graphics")</f>
        <v>Department 206 - Graphics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10356.060000000001</v>
      </c>
      <c r="E18" s="19"/>
      <c r="F18" s="31">
        <f t="shared" ref="F18:F28" si="0">IF(D$12=0,0,D18/D$12)</f>
        <v>0</v>
      </c>
      <c r="G18" s="19"/>
      <c r="H18" s="19">
        <f>SUM(OSRRefH22x_0)</f>
        <v>24584.532692307694</v>
      </c>
      <c r="I18" s="19"/>
      <c r="J18" s="31">
        <f t="shared" ref="J18:J28" si="1">IF(H$12=0,0,H18/H$12)</f>
        <v>0</v>
      </c>
      <c r="K18" s="4"/>
      <c r="L18" s="19">
        <f t="shared" ref="L18:L28" si="2">+D18-H18</f>
        <v>-14228.472692307692</v>
      </c>
      <c r="M18" s="4"/>
      <c r="N18" s="31">
        <f t="shared" ref="N18:N28" si="3">IF(H18=0,0,L18/H18)</f>
        <v>-0.57875709375430473</v>
      </c>
      <c r="O18" s="10"/>
      <c r="P18" s="19">
        <f>SUM(OSRRefP22x_0)</f>
        <v>10356.060000000001</v>
      </c>
      <c r="Q18" s="19"/>
      <c r="R18" s="31">
        <f t="shared" ref="R18:R28" si="4">IF(P$12=0,0,P18/P$12)</f>
        <v>0</v>
      </c>
      <c r="S18" s="19"/>
      <c r="T18" s="19">
        <f>SUM(OSRRefT22x_0)</f>
        <v>24584.532692307694</v>
      </c>
      <c r="U18" s="19"/>
      <c r="V18" s="31">
        <f t="shared" ref="V18:V28" si="5">IF(T$12=0,0,T18/T$12)</f>
        <v>0</v>
      </c>
      <c r="W18" s="4"/>
      <c r="X18" s="19">
        <f t="shared" ref="X18:X28" si="6">+P18-T18</f>
        <v>-14228.472692307692</v>
      </c>
      <c r="Y18" s="4"/>
      <c r="Z18" s="31">
        <f t="shared" ref="Z18:Z28" si="7">IF(T18=0,0,X18/T18)</f>
        <v>-0.57875709375430473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1548.91</v>
      </c>
      <c r="E19" s="1"/>
      <c r="F19" s="5">
        <f t="shared" si="0"/>
        <v>0</v>
      </c>
      <c r="G19" s="1"/>
      <c r="H19" s="1">
        <f>SUM(OSRRefH22_0x_0)</f>
        <v>2085.5326923076918</v>
      </c>
      <c r="I19" s="1"/>
      <c r="J19" s="5">
        <f t="shared" si="1"/>
        <v>0</v>
      </c>
      <c r="K19" s="1"/>
      <c r="L19" s="1">
        <f t="shared" si="2"/>
        <v>-536.62269230769175</v>
      </c>
      <c r="M19" s="1"/>
      <c r="N19" s="5">
        <f t="shared" si="3"/>
        <v>-0.25730725501785634</v>
      </c>
      <c r="O19" s="14"/>
      <c r="P19" s="1">
        <f>SUM(OSRRefP22_0x_0)</f>
        <v>1548.91</v>
      </c>
      <c r="Q19" s="1"/>
      <c r="R19" s="5">
        <f t="shared" si="4"/>
        <v>0</v>
      </c>
      <c r="S19" s="1"/>
      <c r="T19" s="1">
        <f>SUM(OSRRefT22_0x_0)</f>
        <v>2085.5326923076918</v>
      </c>
      <c r="U19" s="1"/>
      <c r="V19" s="5">
        <f t="shared" si="5"/>
        <v>0</v>
      </c>
      <c r="W19" s="1"/>
      <c r="X19" s="1">
        <f t="shared" si="6"/>
        <v>-536.62269230769175</v>
      </c>
      <c r="Y19" s="1"/>
      <c r="Z19" s="5">
        <f t="shared" si="7"/>
        <v>-0.25730725501785634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404.65</v>
      </c>
      <c r="E20" s="3"/>
      <c r="F20" s="8">
        <f t="shared" si="0"/>
        <v>0</v>
      </c>
      <c r="G20" s="3"/>
      <c r="H20" s="7">
        <v>573.97500000000002</v>
      </c>
      <c r="I20" s="3"/>
      <c r="J20" s="8">
        <f t="shared" si="1"/>
        <v>0</v>
      </c>
      <c r="K20" s="3"/>
      <c r="L20" s="7">
        <f t="shared" si="2"/>
        <v>-169.32500000000005</v>
      </c>
      <c r="M20" s="3"/>
      <c r="N20" s="8">
        <f t="shared" si="3"/>
        <v>-0.29500413781088031</v>
      </c>
      <c r="O20" s="12"/>
      <c r="P20" s="7">
        <v>404.65</v>
      </c>
      <c r="Q20" s="3"/>
      <c r="R20" s="8">
        <f t="shared" si="4"/>
        <v>0</v>
      </c>
      <c r="S20" s="3"/>
      <c r="T20" s="7">
        <v>573.97500000000002</v>
      </c>
      <c r="U20" s="3"/>
      <c r="V20" s="8">
        <f t="shared" si="5"/>
        <v>0</v>
      </c>
      <c r="W20" s="3"/>
      <c r="X20" s="7">
        <f t="shared" si="6"/>
        <v>-169.32500000000005</v>
      </c>
      <c r="Y20" s="3"/>
      <c r="Z20" s="8">
        <f t="shared" si="7"/>
        <v>-0.29500413781088031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20.8</v>
      </c>
      <c r="E21" s="3"/>
      <c r="F21" s="8">
        <f t="shared" si="0"/>
        <v>0</v>
      </c>
      <c r="G21" s="3"/>
      <c r="H21" s="7">
        <v>24.75</v>
      </c>
      <c r="I21" s="3"/>
      <c r="J21" s="8">
        <f t="shared" si="1"/>
        <v>0</v>
      </c>
      <c r="K21" s="3"/>
      <c r="L21" s="7">
        <f t="shared" si="2"/>
        <v>-3.9499999999999993</v>
      </c>
      <c r="M21" s="3"/>
      <c r="N21" s="8">
        <f t="shared" si="3"/>
        <v>-0.15959595959595957</v>
      </c>
      <c r="O21" s="12"/>
      <c r="P21" s="7">
        <v>20.8</v>
      </c>
      <c r="Q21" s="3"/>
      <c r="R21" s="8">
        <f t="shared" si="4"/>
        <v>0</v>
      </c>
      <c r="S21" s="3"/>
      <c r="T21" s="7">
        <v>24.75</v>
      </c>
      <c r="U21" s="3"/>
      <c r="V21" s="8">
        <f t="shared" si="5"/>
        <v>0</v>
      </c>
      <c r="W21" s="3"/>
      <c r="X21" s="7">
        <f t="shared" si="6"/>
        <v>-3.9499999999999993</v>
      </c>
      <c r="Y21" s="3"/>
      <c r="Z21" s="8">
        <f t="shared" si="7"/>
        <v>-0.15959595959595957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700.87</v>
      </c>
      <c r="E22" s="3"/>
      <c r="F22" s="8">
        <f t="shared" si="0"/>
        <v>0</v>
      </c>
      <c r="G22" s="3"/>
      <c r="H22" s="7">
        <v>767.30769230769204</v>
      </c>
      <c r="I22" s="3"/>
      <c r="J22" s="8">
        <f t="shared" si="1"/>
        <v>0</v>
      </c>
      <c r="K22" s="3"/>
      <c r="L22" s="7">
        <f t="shared" si="2"/>
        <v>-66.437692307692032</v>
      </c>
      <c r="M22" s="3"/>
      <c r="N22" s="8">
        <f t="shared" si="3"/>
        <v>-8.6585463659147544E-2</v>
      </c>
      <c r="O22" s="12"/>
      <c r="P22" s="7">
        <v>700.87</v>
      </c>
      <c r="Q22" s="3"/>
      <c r="R22" s="8">
        <f t="shared" si="4"/>
        <v>0</v>
      </c>
      <c r="S22" s="3"/>
      <c r="T22" s="7">
        <v>767.30769230769204</v>
      </c>
      <c r="U22" s="3"/>
      <c r="V22" s="8">
        <f t="shared" si="5"/>
        <v>0</v>
      </c>
      <c r="W22" s="3"/>
      <c r="X22" s="7">
        <f t="shared" si="6"/>
        <v>-66.437692307692032</v>
      </c>
      <c r="Y22" s="3"/>
      <c r="Z22" s="8">
        <f t="shared" si="7"/>
        <v>-8.6585463659147544E-2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16.39</v>
      </c>
      <c r="E23" s="3"/>
      <c r="F23" s="8">
        <f t="shared" si="0"/>
        <v>0</v>
      </c>
      <c r="G23" s="3"/>
      <c r="H23" s="7">
        <v>19.5</v>
      </c>
      <c r="I23" s="3"/>
      <c r="J23" s="8">
        <f t="shared" si="1"/>
        <v>0</v>
      </c>
      <c r="K23" s="3"/>
      <c r="L23" s="7">
        <f t="shared" si="2"/>
        <v>-3.1099999999999994</v>
      </c>
      <c r="M23" s="3"/>
      <c r="N23" s="8">
        <f t="shared" si="3"/>
        <v>-0.15948717948717947</v>
      </c>
      <c r="O23" s="12"/>
      <c r="P23" s="7">
        <v>16.39</v>
      </c>
      <c r="Q23" s="3"/>
      <c r="R23" s="8">
        <f t="shared" si="4"/>
        <v>0</v>
      </c>
      <c r="S23" s="3"/>
      <c r="T23" s="7">
        <v>19.5</v>
      </c>
      <c r="U23" s="3"/>
      <c r="V23" s="8">
        <f t="shared" si="5"/>
        <v>0</v>
      </c>
      <c r="W23" s="3"/>
      <c r="X23" s="7">
        <f t="shared" si="6"/>
        <v>-3.1099999999999994</v>
      </c>
      <c r="Y23" s="3"/>
      <c r="Z23" s="8">
        <f t="shared" si="7"/>
        <v>-0.15948717948717947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/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"6118", " - ", "VACATION")</f>
        <v xml:space="preserve">          6118 - VACATION</v>
      </c>
      <c r="C26" s="12"/>
      <c r="D26" s="7">
        <v>184.8</v>
      </c>
      <c r="E26" s="3"/>
      <c r="F26" s="8">
        <f t="shared" si="0"/>
        <v>0</v>
      </c>
      <c r="G26" s="3"/>
      <c r="H26" s="7">
        <v>300</v>
      </c>
      <c r="I26" s="3"/>
      <c r="J26" s="8">
        <f t="shared" si="1"/>
        <v>0</v>
      </c>
      <c r="K26" s="3"/>
      <c r="L26" s="7">
        <f t="shared" si="2"/>
        <v>-115.19999999999999</v>
      </c>
      <c r="M26" s="3"/>
      <c r="N26" s="8">
        <f t="shared" si="3"/>
        <v>-0.38399999999999995</v>
      </c>
      <c r="O26" s="12"/>
      <c r="P26" s="7">
        <v>184.8</v>
      </c>
      <c r="Q26" s="3"/>
      <c r="R26" s="8">
        <f t="shared" si="4"/>
        <v>0</v>
      </c>
      <c r="S26" s="3"/>
      <c r="T26" s="7">
        <v>300</v>
      </c>
      <c r="U26" s="3"/>
      <c r="V26" s="8">
        <f t="shared" si="5"/>
        <v>0</v>
      </c>
      <c r="W26" s="3"/>
      <c r="X26" s="7">
        <f t="shared" si="6"/>
        <v>-115.19999999999999</v>
      </c>
      <c r="Y26" s="3"/>
      <c r="Z26" s="8">
        <f t="shared" si="7"/>
        <v>-0.38399999999999995</v>
      </c>
    </row>
    <row r="27" spans="1:26" s="24" customFormat="1" hidden="1" outlineLevel="2" x14ac:dyDescent="0.25">
      <c r="A27" s="27"/>
      <c r="B27" s="12" t="str">
        <f>CONCATENATE("          ", "6119", " - ", "SICK LEAVE")</f>
        <v xml:space="preserve">          6119 - SICK LEAVE</v>
      </c>
      <c r="C27" s="12"/>
      <c r="D27" s="7">
        <v>221.4</v>
      </c>
      <c r="E27" s="3"/>
      <c r="F27" s="8">
        <f t="shared" si="0"/>
        <v>0</v>
      </c>
      <c r="G27" s="3"/>
      <c r="H27" s="7">
        <v>225</v>
      </c>
      <c r="I27" s="3"/>
      <c r="J27" s="8">
        <f t="shared" si="1"/>
        <v>0</v>
      </c>
      <c r="K27" s="3"/>
      <c r="L27" s="7">
        <f t="shared" si="2"/>
        <v>-3.5999999999999943</v>
      </c>
      <c r="M27" s="3"/>
      <c r="N27" s="8">
        <f t="shared" si="3"/>
        <v>-1.5999999999999976E-2</v>
      </c>
      <c r="O27" s="12"/>
      <c r="P27" s="7">
        <v>221.4</v>
      </c>
      <c r="Q27" s="3"/>
      <c r="R27" s="8">
        <f t="shared" si="4"/>
        <v>0</v>
      </c>
      <c r="S27" s="3"/>
      <c r="T27" s="7">
        <v>225</v>
      </c>
      <c r="U27" s="3"/>
      <c r="V27" s="8">
        <f t="shared" si="5"/>
        <v>0</v>
      </c>
      <c r="W27" s="3"/>
      <c r="X27" s="7">
        <f t="shared" si="6"/>
        <v>-3.5999999999999943</v>
      </c>
      <c r="Y27" s="3"/>
      <c r="Z27" s="8">
        <f t="shared" si="7"/>
        <v>-1.5999999999999976E-2</v>
      </c>
    </row>
    <row r="28" spans="1:26" s="24" customFormat="1" hidden="1" outlineLevel="2" x14ac:dyDescent="0.25">
      <c r="A28" s="27"/>
      <c r="B28" s="12" t="str">
        <f>CONCATENATE("          ", "6156", " - ", "EMPLOYEE MEALS")</f>
        <v xml:space="preserve">          6156 - EMPLOYEE MEALS</v>
      </c>
      <c r="C28" s="12"/>
      <c r="D28" s="7"/>
      <c r="E28" s="3"/>
      <c r="F28" s="8">
        <f t="shared" si="0"/>
        <v>0</v>
      </c>
      <c r="G28" s="3"/>
      <c r="H28" s="7">
        <v>175</v>
      </c>
      <c r="I28" s="3"/>
      <c r="J28" s="8">
        <f t="shared" si="1"/>
        <v>0</v>
      </c>
      <c r="K28" s="3"/>
      <c r="L28" s="7">
        <f t="shared" si="2"/>
        <v>-175</v>
      </c>
      <c r="M28" s="3"/>
      <c r="N28" s="8">
        <f t="shared" si="3"/>
        <v>-1</v>
      </c>
      <c r="O28" s="12"/>
      <c r="P28" s="7"/>
      <c r="Q28" s="3"/>
      <c r="R28" s="8">
        <f t="shared" si="4"/>
        <v>0</v>
      </c>
      <c r="S28" s="3"/>
      <c r="T28" s="7">
        <v>175</v>
      </c>
      <c r="U28" s="3"/>
      <c r="V28" s="8">
        <f t="shared" si="5"/>
        <v>0</v>
      </c>
      <c r="W28" s="3"/>
      <c r="X28" s="7">
        <f t="shared" si="6"/>
        <v>-175</v>
      </c>
      <c r="Y28" s="3"/>
      <c r="Z28" s="8">
        <f t="shared" si="7"/>
        <v>-1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8499.880000000001</v>
      </c>
      <c r="E29" s="1"/>
      <c r="F29" s="5">
        <f t="shared" ref="F29:F39" si="8">IF(D$12=0,0,D29/D$12)</f>
        <v>0</v>
      </c>
      <c r="G29" s="1"/>
      <c r="H29" s="1">
        <f>SUM(OSRRefH22_1x_0)</f>
        <v>7095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1404.880000000001</v>
      </c>
      <c r="M29" s="1"/>
      <c r="N29" s="5">
        <f t="shared" ref="N29:N39" si="11">IF(H29=0,0,L29/H29)</f>
        <v>0.19800986610288951</v>
      </c>
      <c r="O29" s="14"/>
      <c r="P29" s="1">
        <f>SUM(OSRRefP22_1x_0)</f>
        <v>8499.880000000001</v>
      </c>
      <c r="Q29" s="1"/>
      <c r="R29" s="5">
        <f t="shared" ref="R29:R39" si="12">IF(P$12=0,0,P29/P$12)</f>
        <v>0</v>
      </c>
      <c r="S29" s="1"/>
      <c r="T29" s="1">
        <f>SUM(OSRRefT22_1x_0)</f>
        <v>7095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1404.880000000001</v>
      </c>
      <c r="Y29" s="1"/>
      <c r="Z29" s="5">
        <f t="shared" ref="Z29:Z39" si="15">IF(T29=0,0,X29/T29)</f>
        <v>0.19800986610288951</v>
      </c>
    </row>
    <row r="30" spans="1:26" s="24" customFormat="1" hidden="1" outlineLevel="2" x14ac:dyDescent="0.25">
      <c r="A30" s="27"/>
      <c r="B30" s="12" t="str">
        <f>CONCATENATE("          ", "6001", " - ", "ADMINISTRATIVE SALARIES")</f>
        <v xml:space="preserve">          6001 - ADMINISTRATIVE SALARIES</v>
      </c>
      <c r="C30" s="12"/>
      <c r="D30" s="7"/>
      <c r="E30" s="3"/>
      <c r="F30" s="8">
        <f t="shared" si="8"/>
        <v>0</v>
      </c>
      <c r="G30" s="3"/>
      <c r="H30" s="7">
        <v>0</v>
      </c>
      <c r="I30" s="3"/>
      <c r="J30" s="8">
        <f t="shared" si="9"/>
        <v>0</v>
      </c>
      <c r="K30" s="3"/>
      <c r="L30" s="7">
        <f t="shared" si="10"/>
        <v>0</v>
      </c>
      <c r="M30" s="3"/>
      <c r="N30" s="8">
        <f t="shared" si="11"/>
        <v>0</v>
      </c>
      <c r="O30" s="12"/>
      <c r="P30" s="7"/>
      <c r="Q30" s="3"/>
      <c r="R30" s="8">
        <f t="shared" si="12"/>
        <v>0</v>
      </c>
      <c r="S30" s="3"/>
      <c r="T30" s="7">
        <v>0</v>
      </c>
      <c r="U30" s="3"/>
      <c r="V30" s="8">
        <f t="shared" si="13"/>
        <v>0</v>
      </c>
      <c r="W30" s="3"/>
      <c r="X30" s="7">
        <f t="shared" si="14"/>
        <v>0</v>
      </c>
      <c r="Y30" s="3"/>
      <c r="Z30" s="8">
        <f t="shared" si="15"/>
        <v>0</v>
      </c>
    </row>
    <row r="31" spans="1:26" s="24" customFormat="1" hidden="1" outlineLevel="2" x14ac:dyDescent="0.25">
      <c r="A31" s="27"/>
      <c r="B31" s="12" t="str">
        <f>CONCATENATE("          ", "6002", " - ", "STAFF SALARIES")</f>
        <v xml:space="preserve">          6002 - STAFF SALARIES</v>
      </c>
      <c r="C31" s="12"/>
      <c r="D31" s="7"/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0</v>
      </c>
      <c r="M31" s="3"/>
      <c r="N31" s="8">
        <f t="shared" si="11"/>
        <v>0</v>
      </c>
      <c r="O31" s="12"/>
      <c r="P31" s="7"/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0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"6003", " - ", "STAFF HOURLY-9 MONTH")</f>
        <v xml:space="preserve">          6003 - STAFF HOURLY-9 MONTH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"6004", " - ", "STAFF HOURLY")</f>
        <v xml:space="preserve">          6004 - STAFF HOURLY</v>
      </c>
      <c r="C33" s="12"/>
      <c r="D33" s="7">
        <v>5426.25</v>
      </c>
      <c r="E33" s="3"/>
      <c r="F33" s="8">
        <f t="shared" si="8"/>
        <v>0</v>
      </c>
      <c r="G33" s="3"/>
      <c r="H33" s="7">
        <v>5640</v>
      </c>
      <c r="I33" s="3"/>
      <c r="J33" s="8">
        <f t="shared" si="9"/>
        <v>0</v>
      </c>
      <c r="K33" s="3"/>
      <c r="L33" s="7">
        <f t="shared" si="10"/>
        <v>-213.75</v>
      </c>
      <c r="M33" s="3"/>
      <c r="N33" s="8">
        <f t="shared" si="11"/>
        <v>-3.7898936170212769E-2</v>
      </c>
      <c r="O33" s="12"/>
      <c r="P33" s="7">
        <v>5426.25</v>
      </c>
      <c r="Q33" s="3"/>
      <c r="R33" s="8">
        <f t="shared" si="12"/>
        <v>0</v>
      </c>
      <c r="S33" s="3"/>
      <c r="T33" s="7">
        <v>5640</v>
      </c>
      <c r="U33" s="3"/>
      <c r="V33" s="8">
        <f t="shared" si="13"/>
        <v>0</v>
      </c>
      <c r="W33" s="3"/>
      <c r="X33" s="7">
        <f t="shared" si="14"/>
        <v>-213.75</v>
      </c>
      <c r="Y33" s="3"/>
      <c r="Z33" s="8">
        <f t="shared" si="15"/>
        <v>-3.7898936170212769E-2</v>
      </c>
    </row>
    <row r="34" spans="1:26" s="24" customFormat="1" hidden="1" outlineLevel="2" x14ac:dyDescent="0.25">
      <c r="A34" s="27"/>
      <c r="B34" s="12" t="str">
        <f>CONCATENATE("          ", "6005", " - ", "TEMPORARY WAGES-HOURLY")</f>
        <v xml:space="preserve">          6005 - TEMPORARY WAGES-HOURLY</v>
      </c>
      <c r="C34" s="12"/>
      <c r="D34" s="7"/>
      <c r="E34" s="3"/>
      <c r="F34" s="8">
        <f t="shared" si="8"/>
        <v>0</v>
      </c>
      <c r="G34" s="3"/>
      <c r="H34" s="7">
        <v>0</v>
      </c>
      <c r="I34" s="3"/>
      <c r="J34" s="8">
        <f t="shared" si="9"/>
        <v>0</v>
      </c>
      <c r="K34" s="3"/>
      <c r="L34" s="7">
        <f t="shared" si="10"/>
        <v>0</v>
      </c>
      <c r="M34" s="3"/>
      <c r="N34" s="8">
        <f t="shared" si="11"/>
        <v>0</v>
      </c>
      <c r="O34" s="12"/>
      <c r="P34" s="7"/>
      <c r="Q34" s="3"/>
      <c r="R34" s="8">
        <f t="shared" si="12"/>
        <v>0</v>
      </c>
      <c r="S34" s="3"/>
      <c r="T34" s="7">
        <v>0</v>
      </c>
      <c r="U34" s="3"/>
      <c r="V34" s="8">
        <f t="shared" si="13"/>
        <v>0</v>
      </c>
      <c r="W34" s="3"/>
      <c r="X34" s="7">
        <f t="shared" si="14"/>
        <v>0</v>
      </c>
      <c r="Y34" s="3"/>
      <c r="Z34" s="8">
        <f t="shared" si="15"/>
        <v>0</v>
      </c>
    </row>
    <row r="35" spans="1:26" s="24" customFormat="1" hidden="1" outlineLevel="2" x14ac:dyDescent="0.25">
      <c r="A35" s="27"/>
      <c r="B35" s="12" t="str">
        <f>CONCATENATE("          ", "6006", " - ", "TEMPORARY PART TIME")</f>
        <v xml:space="preserve">          6006 - TEMPORARY PART TIME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"6007", " - ", "STUDENT HOURLY")</f>
        <v xml:space="preserve">          6007 - STUDENT HOURLY</v>
      </c>
      <c r="C36" s="12"/>
      <c r="D36" s="7">
        <v>1845</v>
      </c>
      <c r="E36" s="3"/>
      <c r="F36" s="8">
        <f t="shared" si="8"/>
        <v>0</v>
      </c>
      <c r="G36" s="3"/>
      <c r="H36" s="7">
        <v>1455</v>
      </c>
      <c r="I36" s="3"/>
      <c r="J36" s="8">
        <f t="shared" si="9"/>
        <v>0</v>
      </c>
      <c r="K36" s="3"/>
      <c r="L36" s="7">
        <f t="shared" si="10"/>
        <v>390</v>
      </c>
      <c r="M36" s="3"/>
      <c r="N36" s="8">
        <f t="shared" si="11"/>
        <v>0.26804123711340205</v>
      </c>
      <c r="O36" s="12"/>
      <c r="P36" s="7">
        <v>1845</v>
      </c>
      <c r="Q36" s="3"/>
      <c r="R36" s="8">
        <f t="shared" si="12"/>
        <v>0</v>
      </c>
      <c r="S36" s="3"/>
      <c r="T36" s="7">
        <v>1455</v>
      </c>
      <c r="U36" s="3"/>
      <c r="V36" s="8">
        <f t="shared" si="13"/>
        <v>0</v>
      </c>
      <c r="W36" s="3"/>
      <c r="X36" s="7">
        <f t="shared" si="14"/>
        <v>390</v>
      </c>
      <c r="Y36" s="3"/>
      <c r="Z36" s="8">
        <f t="shared" si="15"/>
        <v>0.26804123711340205</v>
      </c>
    </row>
    <row r="37" spans="1:26" s="24" customFormat="1" hidden="1" outlineLevel="2" x14ac:dyDescent="0.25">
      <c r="A37" s="27"/>
      <c r="B37" s="12" t="str">
        <f>CONCATENATE("          ", "6008", " - ", "STUDENT HOURLY-FICA EXEMPT")</f>
        <v xml:space="preserve">          6008 - STUDENT HOURLY-FICA EXEMPT</v>
      </c>
      <c r="C37" s="12"/>
      <c r="D37" s="7">
        <v>1228.6300000000001</v>
      </c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1228.6300000000001</v>
      </c>
      <c r="M37" s="3"/>
      <c r="N37" s="8">
        <f t="shared" si="11"/>
        <v>0</v>
      </c>
      <c r="O37" s="12"/>
      <c r="P37" s="7">
        <v>1228.6300000000001</v>
      </c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1228.6300000000001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"6009", " - ", "TEMPORARY-SEASONAL")</f>
        <v xml:space="preserve">          6009 - TEMPORARY-SEASONAL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4" customFormat="1" hidden="1" outlineLevel="2" x14ac:dyDescent="0.25">
      <c r="A39" s="27"/>
      <c r="B39" s="12" t="str">
        <f>CONCATENATE("          ", "6010", " - ", "GRATUITY")</f>
        <v xml:space="preserve">          6010 - GRATUITY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29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-8333</v>
      </c>
      <c r="M40" s="1"/>
      <c r="N40" s="5">
        <f t="shared" ref="N40:N54" si="19">IF(H40=0,0,L40/H40)</f>
        <v>-1</v>
      </c>
      <c r="O40" s="14"/>
      <c r="P40" s="1">
        <f>SUM(OSRRefP22_2x_0)</f>
        <v>0</v>
      </c>
      <c r="Q40" s="1"/>
      <c r="R40" s="5">
        <f t="shared" ref="R40:R54" si="20">IF(P$12=0,0,P40/P$12)</f>
        <v>0</v>
      </c>
      <c r="S40" s="1"/>
      <c r="T40" s="1">
        <f>SUM(OSRRefT22_2x_0)</f>
        <v>8333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-8333</v>
      </c>
      <c r="Y40" s="1"/>
      <c r="Z40" s="5">
        <f t="shared" ref="Z40:Z54" si="23">IF(T40=0,0,X40/T40)</f>
        <v>-1</v>
      </c>
    </row>
    <row r="41" spans="1:26" s="24" customFormat="1" hidden="1" outlineLevel="2" x14ac:dyDescent="0.25">
      <c r="A41" s="27"/>
      <c r="B41" s="12" t="str">
        <f>CONCATENATE("          ", "6362", " - ", "ADVERTISING EXPENSE")</f>
        <v xml:space="preserve">          6362 - ADVERTISING EXPENSE</v>
      </c>
      <c r="C41" s="12"/>
      <c r="D41" s="7"/>
      <c r="E41" s="3"/>
      <c r="F41" s="8">
        <f t="shared" si="16"/>
        <v>0</v>
      </c>
      <c r="G41" s="3"/>
      <c r="H41" s="7">
        <v>8333</v>
      </c>
      <c r="I41" s="3"/>
      <c r="J41" s="8">
        <f t="shared" si="17"/>
        <v>0</v>
      </c>
      <c r="K41" s="3"/>
      <c r="L41" s="7">
        <f t="shared" si="18"/>
        <v>-8333</v>
      </c>
      <c r="M41" s="3"/>
      <c r="N41" s="8">
        <f t="shared" si="19"/>
        <v>-1</v>
      </c>
      <c r="O41" s="12"/>
      <c r="P41" s="7"/>
      <c r="Q41" s="3"/>
      <c r="R41" s="8">
        <f t="shared" si="20"/>
        <v>0</v>
      </c>
      <c r="S41" s="3"/>
      <c r="T41" s="7">
        <v>8333</v>
      </c>
      <c r="U41" s="3"/>
      <c r="V41" s="8">
        <f t="shared" si="21"/>
        <v>0</v>
      </c>
      <c r="W41" s="3"/>
      <c r="X41" s="7">
        <f t="shared" si="22"/>
        <v>-8333</v>
      </c>
      <c r="Y41" s="3"/>
      <c r="Z41" s="8">
        <f t="shared" si="23"/>
        <v>-1</v>
      </c>
    </row>
    <row r="42" spans="1:26" s="29" customFormat="1" outlineLevel="1" collapsed="1" x14ac:dyDescent="0.25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271.27</v>
      </c>
      <c r="E42" s="1"/>
      <c r="F42" s="5">
        <f t="shared" si="16"/>
        <v>0</v>
      </c>
      <c r="G42" s="1"/>
      <c r="H42" s="1">
        <f>SUM(OSRRefH22_3x_0)</f>
        <v>271</v>
      </c>
      <c r="I42" s="1"/>
      <c r="J42" s="5">
        <f t="shared" si="17"/>
        <v>0</v>
      </c>
      <c r="K42" s="1"/>
      <c r="L42" s="1">
        <f t="shared" si="18"/>
        <v>0.26999999999998181</v>
      </c>
      <c r="M42" s="1"/>
      <c r="N42" s="5">
        <f t="shared" si="19"/>
        <v>9.9630996309956377E-4</v>
      </c>
      <c r="O42" s="14"/>
      <c r="P42" s="1">
        <f>SUM(OSRRefP22_3x_0)</f>
        <v>271.27</v>
      </c>
      <c r="Q42" s="1"/>
      <c r="R42" s="5">
        <f t="shared" si="20"/>
        <v>0</v>
      </c>
      <c r="S42" s="1"/>
      <c r="T42" s="1">
        <f>SUM(OSRRefT22_3x_0)</f>
        <v>271</v>
      </c>
      <c r="U42" s="1"/>
      <c r="V42" s="5">
        <f t="shared" si="21"/>
        <v>0</v>
      </c>
      <c r="W42" s="1"/>
      <c r="X42" s="1">
        <f t="shared" si="22"/>
        <v>0.26999999999998181</v>
      </c>
      <c r="Y42" s="1"/>
      <c r="Z42" s="5">
        <f t="shared" si="23"/>
        <v>9.9630996309956377E-4</v>
      </c>
    </row>
    <row r="43" spans="1:26" s="24" customFormat="1" hidden="1" outlineLevel="2" x14ac:dyDescent="0.25">
      <c r="A43" s="27"/>
      <c r="B43" s="12" t="str">
        <f>CONCATENATE("          ", "6322", " - ", "EQUIPMENT DEPRECIATION EXPENSE")</f>
        <v xml:space="preserve">          6322 - EQUIPMENT DEPRECIATION EXPENSE</v>
      </c>
      <c r="C43" s="12"/>
      <c r="D43" s="7">
        <v>271.27</v>
      </c>
      <c r="E43" s="3"/>
      <c r="F43" s="8">
        <f t="shared" si="16"/>
        <v>0</v>
      </c>
      <c r="G43" s="3"/>
      <c r="H43" s="7">
        <v>271</v>
      </c>
      <c r="I43" s="3"/>
      <c r="J43" s="8">
        <f t="shared" si="17"/>
        <v>0</v>
      </c>
      <c r="K43" s="3"/>
      <c r="L43" s="7">
        <f t="shared" si="18"/>
        <v>0.26999999999998181</v>
      </c>
      <c r="M43" s="3"/>
      <c r="N43" s="8">
        <f t="shared" si="19"/>
        <v>9.9630996309956377E-4</v>
      </c>
      <c r="O43" s="12"/>
      <c r="P43" s="7">
        <v>271.27</v>
      </c>
      <c r="Q43" s="3"/>
      <c r="R43" s="8">
        <f t="shared" si="20"/>
        <v>0</v>
      </c>
      <c r="S43" s="3"/>
      <c r="T43" s="7">
        <v>271</v>
      </c>
      <c r="U43" s="3"/>
      <c r="V43" s="8">
        <f t="shared" si="21"/>
        <v>0</v>
      </c>
      <c r="W43" s="3"/>
      <c r="X43" s="7">
        <f t="shared" si="22"/>
        <v>0.26999999999998181</v>
      </c>
      <c r="Y43" s="3"/>
      <c r="Z43" s="8">
        <f t="shared" si="23"/>
        <v>9.9630996309956377E-4</v>
      </c>
    </row>
    <row r="44" spans="1:26" s="29" customFormat="1" outlineLevel="1" collapsed="1" x14ac:dyDescent="0.25">
      <c r="A44" s="28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500</v>
      </c>
      <c r="I44" s="1"/>
      <c r="J44" s="5">
        <f t="shared" si="17"/>
        <v>0</v>
      </c>
      <c r="K44" s="1"/>
      <c r="L44" s="1">
        <f t="shared" si="18"/>
        <v>-500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2" t="str">
        <f>CONCATENATE("          ", "6277", " - ", "EMPLOYEE APPRECIATION")</f>
        <v xml:space="preserve">          6277 - EMPLOYEE APPRECIATION</v>
      </c>
      <c r="C45" s="12"/>
      <c r="D45" s="7"/>
      <c r="E45" s="3"/>
      <c r="F45" s="8">
        <f t="shared" si="16"/>
        <v>0</v>
      </c>
      <c r="G45" s="3"/>
      <c r="H45" s="7">
        <v>500</v>
      </c>
      <c r="I45" s="3"/>
      <c r="J45" s="8">
        <f t="shared" si="17"/>
        <v>0</v>
      </c>
      <c r="K45" s="3"/>
      <c r="L45" s="7">
        <f t="shared" si="18"/>
        <v>-500</v>
      </c>
      <c r="M45" s="3"/>
      <c r="N45" s="8">
        <f t="shared" si="19"/>
        <v>-1</v>
      </c>
      <c r="O45" s="12"/>
      <c r="P45" s="7"/>
      <c r="Q45" s="3"/>
      <c r="R45" s="8">
        <f t="shared" si="20"/>
        <v>0</v>
      </c>
      <c r="S45" s="3"/>
      <c r="T45" s="7">
        <v>500</v>
      </c>
      <c r="U45" s="3"/>
      <c r="V45" s="8">
        <f t="shared" si="21"/>
        <v>0</v>
      </c>
      <c r="W45" s="3"/>
      <c r="X45" s="7">
        <f t="shared" si="22"/>
        <v>-500</v>
      </c>
      <c r="Y45" s="3"/>
      <c r="Z45" s="8">
        <f t="shared" si="23"/>
        <v>-1</v>
      </c>
    </row>
    <row r="46" spans="1:26" s="29" customFormat="1" outlineLevel="1" collapsed="1" x14ac:dyDescent="0.25">
      <c r="A46" s="28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667</v>
      </c>
      <c r="U46" s="1"/>
      <c r="V46" s="5">
        <f t="shared" si="21"/>
        <v>0</v>
      </c>
      <c r="W46" s="1"/>
      <c r="X46" s="1">
        <f t="shared" si="22"/>
        <v>-667</v>
      </c>
      <c r="Y46" s="1"/>
      <c r="Z46" s="5">
        <f t="shared" si="23"/>
        <v>-1</v>
      </c>
    </row>
    <row r="47" spans="1:26" s="24" customFormat="1" hidden="1" outlineLevel="2" x14ac:dyDescent="0.25">
      <c r="A47" s="27"/>
      <c r="B47" s="12" t="str">
        <f>CONCATENATE("          ", "6371", " - ", "COMPUTER SOFTWARE MAINTENANCE")</f>
        <v xml:space="preserve">          6371 - COMPUTER SOFTWARE MAINTENANCE</v>
      </c>
      <c r="C47" s="12"/>
      <c r="D47" s="7"/>
      <c r="E47" s="3"/>
      <c r="F47" s="8">
        <f t="shared" si="16"/>
        <v>0</v>
      </c>
      <c r="G47" s="3"/>
      <c r="H47" s="7">
        <v>667</v>
      </c>
      <c r="I47" s="3"/>
      <c r="J47" s="8">
        <f t="shared" si="17"/>
        <v>0</v>
      </c>
      <c r="K47" s="3"/>
      <c r="L47" s="7">
        <f t="shared" si="18"/>
        <v>-667</v>
      </c>
      <c r="M47" s="3"/>
      <c r="N47" s="8">
        <f t="shared" si="19"/>
        <v>-1</v>
      </c>
      <c r="O47" s="12"/>
      <c r="P47" s="7"/>
      <c r="Q47" s="3"/>
      <c r="R47" s="8">
        <f t="shared" si="20"/>
        <v>0</v>
      </c>
      <c r="S47" s="3"/>
      <c r="T47" s="7">
        <v>667</v>
      </c>
      <c r="U47" s="3"/>
      <c r="V47" s="8">
        <f t="shared" si="21"/>
        <v>0</v>
      </c>
      <c r="W47" s="3"/>
      <c r="X47" s="7">
        <f t="shared" si="22"/>
        <v>-667</v>
      </c>
      <c r="Y47" s="3"/>
      <c r="Z47" s="8">
        <f t="shared" si="23"/>
        <v>-1</v>
      </c>
    </row>
    <row r="48" spans="1:26" s="29" customFormat="1" outlineLevel="1" collapsed="1" x14ac:dyDescent="0.25">
      <c r="A48" s="28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600</v>
      </c>
      <c r="I48" s="1"/>
      <c r="J48" s="5">
        <f t="shared" si="17"/>
        <v>0</v>
      </c>
      <c r="K48" s="1"/>
      <c r="L48" s="1">
        <f t="shared" si="18"/>
        <v>-600</v>
      </c>
      <c r="M48" s="1"/>
      <c r="N48" s="5">
        <f t="shared" si="19"/>
        <v>-1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7"/>
      <c r="B49" s="12" t="str">
        <f>CONCATENATE("          ", "6258", " - ", "MEMBERSHIP DUES")</f>
        <v xml:space="preserve">          6258 - MEMBERSHIP DUES</v>
      </c>
      <c r="C49" s="12"/>
      <c r="D49" s="7"/>
      <c r="E49" s="3"/>
      <c r="F49" s="8">
        <f t="shared" si="16"/>
        <v>0</v>
      </c>
      <c r="G49" s="3"/>
      <c r="H49" s="7">
        <v>600</v>
      </c>
      <c r="I49" s="3"/>
      <c r="J49" s="8">
        <f t="shared" si="17"/>
        <v>0</v>
      </c>
      <c r="K49" s="3"/>
      <c r="L49" s="7">
        <f t="shared" si="18"/>
        <v>-600</v>
      </c>
      <c r="M49" s="3"/>
      <c r="N49" s="8">
        <f t="shared" si="19"/>
        <v>-1</v>
      </c>
      <c r="O49" s="12"/>
      <c r="P49" s="7"/>
      <c r="Q49" s="3"/>
      <c r="R49" s="8">
        <f t="shared" si="20"/>
        <v>0</v>
      </c>
      <c r="S49" s="3"/>
      <c r="T49" s="7">
        <v>600</v>
      </c>
      <c r="U49" s="3"/>
      <c r="V49" s="8">
        <f t="shared" si="21"/>
        <v>0</v>
      </c>
      <c r="W49" s="3"/>
      <c r="X49" s="7">
        <f t="shared" si="22"/>
        <v>-600</v>
      </c>
      <c r="Y49" s="3"/>
      <c r="Z49" s="8">
        <f t="shared" si="23"/>
        <v>-1</v>
      </c>
    </row>
    <row r="50" spans="1:26" s="29" customFormat="1" outlineLevel="1" collapsed="1" x14ac:dyDescent="0.25">
      <c r="A50" s="28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4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833</v>
      </c>
      <c r="U50" s="1"/>
      <c r="V50" s="5">
        <f t="shared" si="21"/>
        <v>0</v>
      </c>
      <c r="W50" s="1"/>
      <c r="X50" s="1">
        <f t="shared" si="22"/>
        <v>-833</v>
      </c>
      <c r="Y50" s="1"/>
      <c r="Z50" s="5">
        <f t="shared" si="23"/>
        <v>-1</v>
      </c>
    </row>
    <row r="51" spans="1:26" s="24" customFormat="1" hidden="1" outlineLevel="2" x14ac:dyDescent="0.25">
      <c r="A51" s="27"/>
      <c r="B51" s="12" t="str">
        <f>CONCATENATE("          ", "6241", " - ", "OFFICE EXPENSE")</f>
        <v xml:space="preserve">          6241 - OFFICE EXPENSE</v>
      </c>
      <c r="C51" s="12"/>
      <c r="D51" s="7"/>
      <c r="E51" s="3"/>
      <c r="F51" s="8">
        <f t="shared" si="16"/>
        <v>0</v>
      </c>
      <c r="G51" s="3"/>
      <c r="H51" s="7">
        <v>833</v>
      </c>
      <c r="I51" s="3"/>
      <c r="J51" s="8">
        <f t="shared" si="17"/>
        <v>0</v>
      </c>
      <c r="K51" s="3"/>
      <c r="L51" s="7">
        <f t="shared" si="18"/>
        <v>-833</v>
      </c>
      <c r="M51" s="3"/>
      <c r="N51" s="8">
        <f t="shared" si="19"/>
        <v>-1</v>
      </c>
      <c r="O51" s="12"/>
      <c r="P51" s="7"/>
      <c r="Q51" s="3"/>
      <c r="R51" s="8">
        <f t="shared" si="20"/>
        <v>0</v>
      </c>
      <c r="S51" s="3"/>
      <c r="T51" s="7">
        <v>833</v>
      </c>
      <c r="U51" s="3"/>
      <c r="V51" s="8">
        <f t="shared" si="21"/>
        <v>0</v>
      </c>
      <c r="W51" s="3"/>
      <c r="X51" s="7">
        <f t="shared" si="22"/>
        <v>-833</v>
      </c>
      <c r="Y51" s="3"/>
      <c r="Z51" s="8">
        <f t="shared" si="23"/>
        <v>-1</v>
      </c>
    </row>
    <row r="52" spans="1:26" s="29" customFormat="1" outlineLevel="1" collapsed="1" x14ac:dyDescent="0.25">
      <c r="A52" s="28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1800</v>
      </c>
      <c r="I52" s="1"/>
      <c r="J52" s="5">
        <f t="shared" si="17"/>
        <v>0</v>
      </c>
      <c r="K52" s="1"/>
      <c r="L52" s="1">
        <f t="shared" si="18"/>
        <v>-1764</v>
      </c>
      <c r="M52" s="1"/>
      <c r="N52" s="5">
        <f t="shared" si="19"/>
        <v>-0.98</v>
      </c>
      <c r="O52" s="14"/>
      <c r="P52" s="1">
        <f>SUM(OSRRefP22_8x_0)</f>
        <v>36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-1764</v>
      </c>
      <c r="Y52" s="1"/>
      <c r="Z52" s="5">
        <f t="shared" si="23"/>
        <v>-0.98</v>
      </c>
    </row>
    <row r="53" spans="1:26" s="24" customFormat="1" hidden="1" outlineLevel="2" x14ac:dyDescent="0.25">
      <c r="A53" s="27"/>
      <c r="B53" s="12" t="str">
        <f>CONCATENATE("          ", "6303", " - ", "DATA PHONE LINES")</f>
        <v xml:space="preserve">          6303 - DATA PHONE LINES</v>
      </c>
      <c r="C53" s="12"/>
      <c r="D53" s="7"/>
      <c r="E53" s="3"/>
      <c r="F53" s="8">
        <f t="shared" si="16"/>
        <v>0</v>
      </c>
      <c r="G53" s="3"/>
      <c r="H53" s="7">
        <v>1800</v>
      </c>
      <c r="I53" s="3"/>
      <c r="J53" s="8">
        <f t="shared" si="17"/>
        <v>0</v>
      </c>
      <c r="K53" s="3"/>
      <c r="L53" s="7">
        <f t="shared" si="18"/>
        <v>-1800</v>
      </c>
      <c r="M53" s="3"/>
      <c r="N53" s="8">
        <f t="shared" si="19"/>
        <v>-1</v>
      </c>
      <c r="O53" s="12"/>
      <c r="P53" s="7"/>
      <c r="Q53" s="3"/>
      <c r="R53" s="8">
        <f t="shared" si="20"/>
        <v>0</v>
      </c>
      <c r="S53" s="3"/>
      <c r="T53" s="7">
        <v>1800</v>
      </c>
      <c r="U53" s="3"/>
      <c r="V53" s="8">
        <f t="shared" si="21"/>
        <v>0</v>
      </c>
      <c r="W53" s="3"/>
      <c r="X53" s="7">
        <f t="shared" si="22"/>
        <v>-1800</v>
      </c>
      <c r="Y53" s="3"/>
      <c r="Z53" s="8">
        <f t="shared" si="23"/>
        <v>-1</v>
      </c>
    </row>
    <row r="54" spans="1:26" s="24" customFormat="1" hidden="1" outlineLevel="2" x14ac:dyDescent="0.25">
      <c r="A54" s="27"/>
      <c r="B54" s="12" t="str">
        <f>CONCATENATE("          ", "6309", " - ", "TELEPHONE")</f>
        <v xml:space="preserve">          6309 - TELEPHONE</v>
      </c>
      <c r="C54" s="12"/>
      <c r="D54" s="7">
        <v>36</v>
      </c>
      <c r="E54" s="3"/>
      <c r="F54" s="8">
        <f t="shared" si="16"/>
        <v>0</v>
      </c>
      <c r="G54" s="3"/>
      <c r="H54" s="7"/>
      <c r="I54" s="3"/>
      <c r="J54" s="8">
        <f t="shared" si="17"/>
        <v>0</v>
      </c>
      <c r="K54" s="3"/>
      <c r="L54" s="7">
        <f t="shared" si="18"/>
        <v>36</v>
      </c>
      <c r="M54" s="3"/>
      <c r="N54" s="8">
        <f t="shared" si="19"/>
        <v>0</v>
      </c>
      <c r="O54" s="12"/>
      <c r="P54" s="7">
        <v>36</v>
      </c>
      <c r="Q54" s="3"/>
      <c r="R54" s="8">
        <f t="shared" si="20"/>
        <v>0</v>
      </c>
      <c r="S54" s="3"/>
      <c r="T54" s="7"/>
      <c r="U54" s="3"/>
      <c r="V54" s="8">
        <f t="shared" si="21"/>
        <v>0</v>
      </c>
      <c r="W54" s="3"/>
      <c r="X54" s="7">
        <f t="shared" si="22"/>
        <v>36</v>
      </c>
      <c r="Y54" s="3"/>
      <c r="Z54" s="8">
        <f t="shared" si="23"/>
        <v>0</v>
      </c>
    </row>
    <row r="55" spans="1:26" s="29" customFormat="1" outlineLevel="1" collapsed="1" x14ac:dyDescent="0.25">
      <c r="A55" s="28"/>
      <c r="B55" s="14" t="str">
        <f>CONCATENATE("     ","Training                                          ")</f>
        <v xml:space="preserve">     Training                                          </v>
      </c>
      <c r="C55" s="14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2400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-2400</v>
      </c>
      <c r="M55" s="1"/>
      <c r="N55" s="5">
        <f t="shared" ref="N55:N56" si="27">IF(H55=0,0,L55/H55)</f>
        <v>-1</v>
      </c>
      <c r="O55" s="14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7"/>
      <c r="B56" s="12" t="str">
        <f>CONCATENATE("          ", "6376", " - ", "TRAINING")</f>
        <v xml:space="preserve">          6376 - TRAINING</v>
      </c>
      <c r="C56" s="12"/>
      <c r="D56" s="7"/>
      <c r="E56" s="3"/>
      <c r="F56" s="8">
        <f t="shared" si="24"/>
        <v>0</v>
      </c>
      <c r="G56" s="3"/>
      <c r="H56" s="7">
        <v>2400</v>
      </c>
      <c r="I56" s="3"/>
      <c r="J56" s="8">
        <f t="shared" si="25"/>
        <v>0</v>
      </c>
      <c r="K56" s="3"/>
      <c r="L56" s="7">
        <f t="shared" si="26"/>
        <v>-2400</v>
      </c>
      <c r="M56" s="3"/>
      <c r="N56" s="8">
        <f t="shared" si="27"/>
        <v>-1</v>
      </c>
      <c r="O56" s="12"/>
      <c r="P56" s="7"/>
      <c r="Q56" s="3"/>
      <c r="R56" s="8">
        <f t="shared" si="28"/>
        <v>0</v>
      </c>
      <c r="S56" s="3"/>
      <c r="T56" s="7">
        <v>2400</v>
      </c>
      <c r="U56" s="3"/>
      <c r="V56" s="8">
        <f t="shared" si="29"/>
        <v>0</v>
      </c>
      <c r="W56" s="3"/>
      <c r="X56" s="7">
        <f t="shared" si="30"/>
        <v>-2400</v>
      </c>
      <c r="Y56" s="3"/>
      <c r="Z56" s="8">
        <f t="shared" si="31"/>
        <v>-1</v>
      </c>
    </row>
    <row r="57" spans="1:26" s="54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2" customFormat="1" x14ac:dyDescent="0.25">
      <c r="A58" s="10"/>
      <c r="B58" s="26" t="s">
        <v>0</v>
      </c>
      <c r="C58" s="10"/>
      <c r="D58" s="4">
        <f>SUM(0)</f>
        <v>0</v>
      </c>
      <c r="E58" s="4"/>
      <c r="F58" s="11">
        <f>IF(D$12=0,0,D58/D$12)</f>
        <v>0</v>
      </c>
      <c r="G58" s="4"/>
      <c r="H58" s="4">
        <f>SUM(0)</f>
        <v>0</v>
      </c>
      <c r="I58" s="4"/>
      <c r="J58" s="11">
        <f>IF(H$12=0,0,H58/H$12)</f>
        <v>0</v>
      </c>
      <c r="K58" s="4"/>
      <c r="L58" s="4">
        <f>+D58-H58</f>
        <v>0</v>
      </c>
      <c r="M58" s="4"/>
      <c r="N58" s="11">
        <f>IF(H58=0,0,L58/H58)</f>
        <v>0</v>
      </c>
      <c r="O58" s="10"/>
      <c r="P58" s="4">
        <f>SUM(0)</f>
        <v>0</v>
      </c>
      <c r="Q58" s="4"/>
      <c r="R58" s="11">
        <f>IF(P$12=0,0,P58/P$12)</f>
        <v>0</v>
      </c>
      <c r="S58" s="4"/>
      <c r="T58" s="4">
        <f>SUM(0)</f>
        <v>0</v>
      </c>
      <c r="U58" s="4"/>
      <c r="V58" s="11">
        <f>IF(T$12=0,0,T58/T$12)</f>
        <v>0</v>
      </c>
      <c r="W58" s="4"/>
      <c r="X58" s="4">
        <f>+P58-T58</f>
        <v>0</v>
      </c>
      <c r="Y58" s="4"/>
      <c r="Z58" s="11">
        <f>IF(T58=0,0,X58/T58)</f>
        <v>0</v>
      </c>
    </row>
    <row r="59" spans="1:26" x14ac:dyDescent="0.25">
      <c r="A59" s="9"/>
      <c r="B59" s="10"/>
      <c r="C59" s="10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O59" s="10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2" customFormat="1" x14ac:dyDescent="0.25">
      <c r="A60" s="10"/>
      <c r="B60" s="25" t="s">
        <v>3</v>
      </c>
      <c r="C60" s="25"/>
      <c r="D60" s="21">
        <f>+D16-D18+D58</f>
        <v>-10356.060000000001</v>
      </c>
      <c r="E60" s="13"/>
      <c r="F60" s="20">
        <f>IF(D$12=0,0,D60/D$12)</f>
        <v>0</v>
      </c>
      <c r="G60" s="13"/>
      <c r="H60" s="21">
        <f>+H16-H18+H58</f>
        <v>-24584.532692307694</v>
      </c>
      <c r="I60" s="13"/>
      <c r="J60" s="20">
        <f>IF(H$12=0,0,H60/H$12)</f>
        <v>0</v>
      </c>
      <c r="K60" s="15"/>
      <c r="L60" s="21">
        <f>+D60-H60</f>
        <v>14228.472692307692</v>
      </c>
      <c r="M60" s="15"/>
      <c r="N60" s="20">
        <f>IF(H60=0,0,L60/H60)</f>
        <v>-0.57875709375430473</v>
      </c>
      <c r="O60" s="26"/>
      <c r="P60" s="21">
        <f>+P16-P18+P58</f>
        <v>-10356.060000000001</v>
      </c>
      <c r="Q60" s="13"/>
      <c r="R60" s="20">
        <f>IF(P$12=0,0,P60/P$12)</f>
        <v>0</v>
      </c>
      <c r="S60" s="13"/>
      <c r="T60" s="21">
        <f>+T16-T18+T58</f>
        <v>-24584.532692307694</v>
      </c>
      <c r="U60" s="13"/>
      <c r="V60" s="20">
        <f>IF(T$12=0,0,T60/T$12)</f>
        <v>0</v>
      </c>
      <c r="W60" s="15"/>
      <c r="X60" s="21">
        <f>+P60-T60</f>
        <v>14228.472692307692</v>
      </c>
      <c r="Y60" s="15"/>
      <c r="Z60" s="20">
        <f>IF(T60=0,0,X60/T60)</f>
        <v>-0.57875709375430473</v>
      </c>
    </row>
    <row r="61" spans="1:26" x14ac:dyDescent="0.25">
      <c r="A61" s="9"/>
      <c r="B61" s="10"/>
      <c r="C61" s="9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2" customFormat="1" x14ac:dyDescent="0.25">
      <c r="A62" s="52"/>
      <c r="B62" s="10" t="s">
        <v>14</v>
      </c>
      <c r="C62" s="10"/>
      <c r="D62" s="4"/>
      <c r="E62" s="4"/>
      <c r="F62" s="11">
        <f>IF(D$12=0,0,D62/D$12)</f>
        <v>0</v>
      </c>
      <c r="G62" s="4"/>
      <c r="H62" s="4"/>
      <c r="I62" s="4"/>
      <c r="J62" s="11">
        <f>IF(H$12=0,0,H62/H$12)</f>
        <v>0</v>
      </c>
      <c r="K62" s="4"/>
      <c r="L62" s="4">
        <f>+D62-H62</f>
        <v>0</v>
      </c>
      <c r="M62" s="4"/>
      <c r="N62" s="11">
        <f>IF(H62=0,0,L62/H62)</f>
        <v>0</v>
      </c>
      <c r="O62" s="10"/>
      <c r="P62" s="4"/>
      <c r="Q62" s="4"/>
      <c r="R62" s="11">
        <f>IF(P$12=0,0,P62/P$12)</f>
        <v>0</v>
      </c>
      <c r="S62" s="4"/>
      <c r="T62" s="4"/>
      <c r="U62" s="4"/>
      <c r="V62" s="11">
        <f>IF(T$12=0,0,T62/T$12)</f>
        <v>0</v>
      </c>
      <c r="W62" s="4"/>
      <c r="X62" s="4">
        <f>+P62-T62</f>
        <v>0</v>
      </c>
      <c r="Y62" s="4"/>
      <c r="Z62" s="11">
        <f>IF(T62=0,0,X62/T62)</f>
        <v>0</v>
      </c>
    </row>
    <row r="63" spans="1:26" x14ac:dyDescent="0.25">
      <c r="A63" s="9"/>
      <c r="B63" s="10"/>
      <c r="C63" s="10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O63" s="10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2" customFormat="1" ht="15.75" thickBot="1" x14ac:dyDescent="0.3">
      <c r="A64" s="10"/>
      <c r="B64" s="25" t="s">
        <v>4</v>
      </c>
      <c r="C64" s="25"/>
      <c r="D64" s="34">
        <f>+D60-D62</f>
        <v>-10356.060000000001</v>
      </c>
      <c r="E64" s="13"/>
      <c r="F64" s="30">
        <f>IF(D$12=0,0,D64/D$12)</f>
        <v>0</v>
      </c>
      <c r="G64" s="13"/>
      <c r="H64" s="34">
        <f>+H60-H62</f>
        <v>-24584.532692307694</v>
      </c>
      <c r="I64" s="13"/>
      <c r="J64" s="30">
        <f>IF(H$12=0,0,H64/H$12)</f>
        <v>0</v>
      </c>
      <c r="K64" s="15"/>
      <c r="L64" s="34">
        <f>D64-H64</f>
        <v>14228.472692307692</v>
      </c>
      <c r="M64" s="15"/>
      <c r="N64" s="30">
        <f>IF(H64=0,0,L64/H64)</f>
        <v>-0.57875709375430473</v>
      </c>
      <c r="O64" s="26"/>
      <c r="P64" s="34">
        <f>+P60-P62</f>
        <v>-10356.060000000001</v>
      </c>
      <c r="Q64" s="13"/>
      <c r="R64" s="30">
        <f>IF(P$12=0,0,P64/P$12)</f>
        <v>0</v>
      </c>
      <c r="S64" s="13"/>
      <c r="T64" s="34">
        <f>+T60-T62</f>
        <v>-24584.532692307694</v>
      </c>
      <c r="U64" s="13"/>
      <c r="V64" s="30">
        <f>IF(T$12=0,0,T64/T$12)</f>
        <v>0</v>
      </c>
      <c r="W64" s="15"/>
      <c r="X64" s="34">
        <f>P64-T64</f>
        <v>14228.472692307692</v>
      </c>
      <c r="Y64" s="15"/>
      <c r="Z64" s="30">
        <f>IF(T64=0,0,X64/T64)</f>
        <v>-0.57875709375430473</v>
      </c>
    </row>
    <row r="65" spans="1:26" ht="15.75" thickTop="1" x14ac:dyDescent="0.25">
      <c r="A65" s="9"/>
      <c r="B65" s="9"/>
      <c r="C65" s="9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x14ac:dyDescent="0.25">
      <c r="A66" s="9"/>
      <c r="B66" s="9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2" customFormat="1" ht="15.75" thickBot="1" x14ac:dyDescent="0.3">
      <c r="A67" s="10"/>
      <c r="B67" s="25" t="s">
        <v>5</v>
      </c>
      <c r="C67" s="25"/>
      <c r="D67" s="32">
        <f>SUM(D64:D66)</f>
        <v>-10356.060000000001</v>
      </c>
      <c r="E67" s="13"/>
      <c r="F67" s="33">
        <f>IF(D$12=0,0,D67/D$12)</f>
        <v>0</v>
      </c>
      <c r="G67" s="13"/>
      <c r="H67" s="32">
        <f>SUM(H64:H66)</f>
        <v>-24584.532692307694</v>
      </c>
      <c r="I67" s="13"/>
      <c r="J67" s="33">
        <f>IF(H$12=0,0,H67/H$12)</f>
        <v>0</v>
      </c>
      <c r="K67" s="15"/>
      <c r="L67" s="32">
        <f>+D67-H67</f>
        <v>14228.472692307692</v>
      </c>
      <c r="M67" s="15"/>
      <c r="N67" s="33">
        <f>IF(H67=0,0,L67/H67)</f>
        <v>-0.57875709375430473</v>
      </c>
      <c r="O67" s="26"/>
      <c r="P67" s="32">
        <f>SUM(P64:P66)</f>
        <v>-10356.060000000001</v>
      </c>
      <c r="Q67" s="13"/>
      <c r="R67" s="33">
        <f>IF(P$12=0,0,P67/P$12)</f>
        <v>0</v>
      </c>
      <c r="S67" s="13"/>
      <c r="T67" s="32">
        <f>SUM(T64:T66)</f>
        <v>-24584.532692307694</v>
      </c>
      <c r="U67" s="13"/>
      <c r="V67" s="33">
        <f>IF(T$12=0,0,T67/T$12)</f>
        <v>0</v>
      </c>
      <c r="W67" s="15"/>
      <c r="X67" s="32">
        <f>+P67-T67</f>
        <v>14228.472692307692</v>
      </c>
      <c r="Y67" s="15"/>
      <c r="Z67" s="33">
        <f>IF(T67=0,0,X67/T67)</f>
        <v>-0.57875709375430473</v>
      </c>
    </row>
    <row r="68" spans="1:26" ht="15.75" thickTop="1" x14ac:dyDescent="0.25">
      <c r="A68" s="9"/>
      <c r="C68" s="9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8">
        <v>44104.685796261576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6" t="s">
        <v>314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2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227667.24999999994</v>
      </c>
      <c r="E12" s="4"/>
      <c r="F12" s="11"/>
      <c r="G12" s="4"/>
      <c r="H12" s="4">
        <f>SUM(OSRRefH13x_0)</f>
        <v>302041</v>
      </c>
      <c r="I12" s="4"/>
      <c r="J12" s="11"/>
      <c r="K12" s="4"/>
      <c r="L12" s="4">
        <f t="shared" ref="L12:L59" si="0">+D12-H12</f>
        <v>-74373.750000000058</v>
      </c>
      <c r="M12" s="4"/>
      <c r="N12" s="11">
        <f t="shared" ref="N12:N59" si="1">IF(H12=0,0,L12/H12)</f>
        <v>-0.24623726580166289</v>
      </c>
      <c r="O12" s="10"/>
      <c r="P12" s="4">
        <f>SUM(OSRRefP13x_0)</f>
        <v>227667.24999999994</v>
      </c>
      <c r="Q12" s="4"/>
      <c r="R12" s="11"/>
      <c r="S12" s="4"/>
      <c r="T12" s="4">
        <f>SUM(OSRRefT13x_0)</f>
        <v>302041</v>
      </c>
      <c r="U12" s="4"/>
      <c r="V12" s="11"/>
      <c r="W12" s="4"/>
      <c r="X12" s="4">
        <f t="shared" ref="X12:X59" si="2">+P12-T12</f>
        <v>-74373.750000000058</v>
      </c>
      <c r="Y12" s="4"/>
      <c r="Z12" s="11">
        <f t="shared" ref="Z12:Z59" si="3">IF(T12=0,0,X12/T12)</f>
        <v>-0.24623726580166289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-10723.46</f>
        <v>-10723.46</v>
      </c>
      <c r="E13" s="3"/>
      <c r="F13" s="23"/>
      <c r="G13" s="3"/>
      <c r="H13" s="3">
        <v>301491</v>
      </c>
      <c r="I13" s="3"/>
      <c r="J13" s="23"/>
      <c r="K13" s="3"/>
      <c r="L13" s="3">
        <f t="shared" si="0"/>
        <v>-312214.46000000002</v>
      </c>
      <c r="M13" s="3"/>
      <c r="N13" s="23">
        <f t="shared" si="1"/>
        <v>-1.0355680932432478</v>
      </c>
      <c r="O13" s="12"/>
      <c r="P13" s="3">
        <f>-10723.46</f>
        <v>-10723.46</v>
      </c>
      <c r="Q13" s="3"/>
      <c r="R13" s="23"/>
      <c r="S13" s="3"/>
      <c r="T13" s="3">
        <v>301491</v>
      </c>
      <c r="U13" s="3"/>
      <c r="V13" s="23"/>
      <c r="W13" s="3"/>
      <c r="X13" s="3">
        <f t="shared" si="2"/>
        <v>-312214.46000000002</v>
      </c>
      <c r="Y13" s="3"/>
      <c r="Z13" s="23">
        <f t="shared" si="3"/>
        <v>-1.0355680932432478</v>
      </c>
    </row>
    <row r="14" spans="1:26" s="24" customFormat="1" hidden="1" outlineLevel="1" x14ac:dyDescent="0.25">
      <c r="A14" s="51"/>
      <c r="B14" s="12" t="str">
        <f>CONCATENATE("          ", "4001", " - ", "TAXABLE SALES-NEW TEXT")</f>
        <v xml:space="preserve">          4001 - TAXABLE SALES-NEW TEXT</v>
      </c>
      <c r="C14" s="12"/>
      <c r="D14" s="3">
        <f>--11947.85</f>
        <v>11947.85</v>
      </c>
      <c r="E14" s="3"/>
      <c r="F14" s="23"/>
      <c r="G14" s="3"/>
      <c r="H14" s="3"/>
      <c r="I14" s="3"/>
      <c r="J14" s="23"/>
      <c r="K14" s="3"/>
      <c r="L14" s="3">
        <f t="shared" si="0"/>
        <v>11947.85</v>
      </c>
      <c r="M14" s="3"/>
      <c r="N14" s="23">
        <f t="shared" si="1"/>
        <v>0</v>
      </c>
      <c r="O14" s="12"/>
      <c r="P14" s="3">
        <f>--11947.85</f>
        <v>11947.85</v>
      </c>
      <c r="Q14" s="3"/>
      <c r="R14" s="23"/>
      <c r="S14" s="3"/>
      <c r="T14" s="3"/>
      <c r="U14" s="3"/>
      <c r="V14" s="23"/>
      <c r="W14" s="3"/>
      <c r="X14" s="3">
        <f t="shared" si="2"/>
        <v>11947.85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"4002", " - ", "TAXABLE SALES-USED TEXT")</f>
        <v xml:space="preserve">          4002 - TAXABLE SALES-USED TEXT</v>
      </c>
      <c r="C15" s="12"/>
      <c r="D15" s="3">
        <f>--13029.34</f>
        <v>13029.34</v>
      </c>
      <c r="E15" s="3"/>
      <c r="F15" s="23"/>
      <c r="G15" s="3"/>
      <c r="H15" s="3"/>
      <c r="I15" s="3"/>
      <c r="J15" s="23"/>
      <c r="K15" s="3"/>
      <c r="L15" s="3">
        <f t="shared" si="0"/>
        <v>13029.34</v>
      </c>
      <c r="M15" s="3"/>
      <c r="N15" s="23">
        <f t="shared" si="1"/>
        <v>0</v>
      </c>
      <c r="O15" s="12"/>
      <c r="P15" s="3">
        <f>--13029.34</f>
        <v>13029.34</v>
      </c>
      <c r="Q15" s="3"/>
      <c r="R15" s="23"/>
      <c r="S15" s="3"/>
      <c r="T15" s="3"/>
      <c r="U15" s="3"/>
      <c r="V15" s="23"/>
      <c r="W15" s="3"/>
      <c r="X15" s="3">
        <f t="shared" si="2"/>
        <v>13029.34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"4014", " - ", "TAXABLE SALES-REMAINDERS")</f>
        <v xml:space="preserve">          4014 - TAXABLE SALES-REMAINDERS</v>
      </c>
      <c r="C16" s="12"/>
      <c r="D16" s="3">
        <f>--31.84</f>
        <v>31.84</v>
      </c>
      <c r="E16" s="3"/>
      <c r="F16" s="23"/>
      <c r="G16" s="3"/>
      <c r="H16" s="3"/>
      <c r="I16" s="3"/>
      <c r="J16" s="23"/>
      <c r="K16" s="3"/>
      <c r="L16" s="3">
        <f t="shared" si="0"/>
        <v>31.84</v>
      </c>
      <c r="M16" s="3"/>
      <c r="N16" s="23">
        <f t="shared" si="1"/>
        <v>0</v>
      </c>
      <c r="O16" s="12"/>
      <c r="P16" s="3">
        <f>--31.84</f>
        <v>31.84</v>
      </c>
      <c r="Q16" s="3"/>
      <c r="R16" s="23"/>
      <c r="S16" s="3"/>
      <c r="T16" s="3"/>
      <c r="U16" s="3"/>
      <c r="V16" s="23"/>
      <c r="W16" s="3"/>
      <c r="X16" s="3">
        <f t="shared" si="2"/>
        <v>31.84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"4018", " - ", "TAXABLE SALES-STUDY GUIDES")</f>
        <v xml:space="preserve">          4018 - TAXABLE SALES-STUDY GUIDES</v>
      </c>
      <c r="C17" s="12"/>
      <c r="D17" s="3">
        <f>--16.99</f>
        <v>16.989999999999998</v>
      </c>
      <c r="E17" s="3"/>
      <c r="F17" s="23"/>
      <c r="G17" s="3"/>
      <c r="H17" s="3"/>
      <c r="I17" s="3"/>
      <c r="J17" s="23"/>
      <c r="K17" s="3"/>
      <c r="L17" s="3">
        <f t="shared" si="0"/>
        <v>16.989999999999998</v>
      </c>
      <c r="M17" s="3"/>
      <c r="N17" s="23">
        <f t="shared" si="1"/>
        <v>0</v>
      </c>
      <c r="O17" s="12"/>
      <c r="P17" s="3">
        <f>--16.99</f>
        <v>16.989999999999998</v>
      </c>
      <c r="Q17" s="3"/>
      <c r="R17" s="23"/>
      <c r="S17" s="3"/>
      <c r="T17" s="3"/>
      <c r="U17" s="3"/>
      <c r="V17" s="23"/>
      <c r="W17" s="3"/>
      <c r="X17" s="3">
        <f t="shared" si="2"/>
        <v>16.989999999999998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"4026", " - ", "TAXABLE SALES-WRITING INSTRUME")</f>
        <v xml:space="preserve">          4026 - TAXABLE SALES-WRITING INSTRUME</v>
      </c>
      <c r="C18" s="12"/>
      <c r="D18" s="3">
        <f>--236.56</f>
        <v>236.56</v>
      </c>
      <c r="E18" s="3"/>
      <c r="F18" s="23"/>
      <c r="G18" s="3"/>
      <c r="H18" s="3"/>
      <c r="I18" s="3"/>
      <c r="J18" s="23"/>
      <c r="K18" s="3"/>
      <c r="L18" s="3">
        <f t="shared" si="0"/>
        <v>236.56</v>
      </c>
      <c r="M18" s="3"/>
      <c r="N18" s="23">
        <f t="shared" si="1"/>
        <v>0</v>
      </c>
      <c r="O18" s="12"/>
      <c r="P18" s="3">
        <f>--236.56</f>
        <v>236.56</v>
      </c>
      <c r="Q18" s="3"/>
      <c r="R18" s="23"/>
      <c r="S18" s="3"/>
      <c r="T18" s="3"/>
      <c r="U18" s="3"/>
      <c r="V18" s="23"/>
      <c r="W18" s="3"/>
      <c r="X18" s="3">
        <f t="shared" si="2"/>
        <v>236.56</v>
      </c>
      <c r="Y18" s="3"/>
      <c r="Z18" s="23">
        <f t="shared" si="3"/>
        <v>0</v>
      </c>
    </row>
    <row r="19" spans="1:26" s="24" customFormat="1" hidden="1" outlineLevel="1" x14ac:dyDescent="0.25">
      <c r="A19" s="51"/>
      <c r="B19" s="12" t="str">
        <f>CONCATENATE("          ", "4027", " - ", "TAXABLE SALES-SCHOOL SUPPLIES")</f>
        <v xml:space="preserve">          4027 - TAXABLE SALES-SCHOOL SUPPLIES</v>
      </c>
      <c r="C19" s="12"/>
      <c r="D19" s="3">
        <f>--1653.17</f>
        <v>1653.17</v>
      </c>
      <c r="E19" s="3"/>
      <c r="F19" s="23"/>
      <c r="G19" s="3"/>
      <c r="H19" s="3"/>
      <c r="I19" s="3"/>
      <c r="J19" s="23"/>
      <c r="K19" s="3"/>
      <c r="L19" s="3">
        <f t="shared" si="0"/>
        <v>1653.17</v>
      </c>
      <c r="M19" s="3"/>
      <c r="N19" s="23">
        <f t="shared" si="1"/>
        <v>0</v>
      </c>
      <c r="O19" s="12"/>
      <c r="P19" s="3">
        <f>--1653.17</f>
        <v>1653.17</v>
      </c>
      <c r="Q19" s="3"/>
      <c r="R19" s="23"/>
      <c r="S19" s="3"/>
      <c r="T19" s="3"/>
      <c r="U19" s="3"/>
      <c r="V19" s="23"/>
      <c r="W19" s="3"/>
      <c r="X19" s="3">
        <f t="shared" si="2"/>
        <v>1653.17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"4028", " - ", "TAXABLE SALES-ART/TECH")</f>
        <v xml:space="preserve">          4028 - TAXABLE SALES-ART/TECH</v>
      </c>
      <c r="C20" s="12"/>
      <c r="D20" s="3">
        <f>--19.85</f>
        <v>19.850000000000001</v>
      </c>
      <c r="E20" s="3"/>
      <c r="F20" s="23"/>
      <c r="G20" s="3"/>
      <c r="H20" s="3"/>
      <c r="I20" s="3"/>
      <c r="J20" s="23"/>
      <c r="K20" s="3"/>
      <c r="L20" s="3">
        <f t="shared" si="0"/>
        <v>19.850000000000001</v>
      </c>
      <c r="M20" s="3"/>
      <c r="N20" s="23">
        <f t="shared" si="1"/>
        <v>0</v>
      </c>
      <c r="O20" s="12"/>
      <c r="P20" s="3">
        <f>--19.85</f>
        <v>19.850000000000001</v>
      </c>
      <c r="Q20" s="3"/>
      <c r="R20" s="23"/>
      <c r="S20" s="3"/>
      <c r="T20" s="3"/>
      <c r="U20" s="3"/>
      <c r="V20" s="23"/>
      <c r="W20" s="3"/>
      <c r="X20" s="3">
        <f t="shared" si="2"/>
        <v>19.850000000000001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"4031", " - ", "TAXABLE SALES-FOOD")</f>
        <v xml:space="preserve">          4031 - TAXABLE SALES-FOOD</v>
      </c>
      <c r="C21" s="12"/>
      <c r="D21" s="3">
        <f>--19.75</f>
        <v>19.75</v>
      </c>
      <c r="E21" s="3"/>
      <c r="F21" s="23"/>
      <c r="G21" s="3"/>
      <c r="H21" s="3"/>
      <c r="I21" s="3"/>
      <c r="J21" s="23"/>
      <c r="K21" s="3"/>
      <c r="L21" s="3">
        <f t="shared" si="0"/>
        <v>19.75</v>
      </c>
      <c r="M21" s="3"/>
      <c r="N21" s="23">
        <f t="shared" si="1"/>
        <v>0</v>
      </c>
      <c r="O21" s="12"/>
      <c r="P21" s="3">
        <f>--19.75</f>
        <v>19.75</v>
      </c>
      <c r="Q21" s="3"/>
      <c r="R21" s="23"/>
      <c r="S21" s="3"/>
      <c r="T21" s="3"/>
      <c r="U21" s="3"/>
      <c r="V21" s="23"/>
      <c r="W21" s="3"/>
      <c r="X21" s="3">
        <f t="shared" si="2"/>
        <v>19.75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"4034", " - ", "TAXABLE SALES-SODA")</f>
        <v xml:space="preserve">          4034 - TAXABLE SALES-SODA</v>
      </c>
      <c r="C22" s="12"/>
      <c r="D22" s="3">
        <f>--6.78</f>
        <v>6.78</v>
      </c>
      <c r="E22" s="3"/>
      <c r="F22" s="23"/>
      <c r="G22" s="3"/>
      <c r="H22" s="3"/>
      <c r="I22" s="3"/>
      <c r="J22" s="23"/>
      <c r="K22" s="3"/>
      <c r="L22" s="3">
        <f t="shared" si="0"/>
        <v>6.78</v>
      </c>
      <c r="M22" s="3"/>
      <c r="N22" s="23">
        <f t="shared" si="1"/>
        <v>0</v>
      </c>
      <c r="O22" s="12"/>
      <c r="P22" s="3">
        <f>--6.78</f>
        <v>6.78</v>
      </c>
      <c r="Q22" s="3"/>
      <c r="R22" s="23"/>
      <c r="S22" s="3"/>
      <c r="T22" s="3"/>
      <c r="U22" s="3"/>
      <c r="V22" s="23"/>
      <c r="W22" s="3"/>
      <c r="X22" s="3">
        <f t="shared" si="2"/>
        <v>6.78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"4040", " - ", "TAXABLE SALES-LOGO CLOTHING")</f>
        <v xml:space="preserve">          4040 - TAXABLE SALES-LOGO CLOTHING</v>
      </c>
      <c r="C23" s="12"/>
      <c r="D23" s="3">
        <f>--72292.26</f>
        <v>72292.259999999995</v>
      </c>
      <c r="E23" s="3"/>
      <c r="F23" s="23"/>
      <c r="G23" s="3"/>
      <c r="H23" s="3"/>
      <c r="I23" s="3"/>
      <c r="J23" s="23"/>
      <c r="K23" s="3"/>
      <c r="L23" s="3">
        <f t="shared" si="0"/>
        <v>72292.259999999995</v>
      </c>
      <c r="M23" s="3"/>
      <c r="N23" s="23">
        <f t="shared" si="1"/>
        <v>0</v>
      </c>
      <c r="O23" s="12"/>
      <c r="P23" s="3">
        <f>--72292.26</f>
        <v>72292.259999999995</v>
      </c>
      <c r="Q23" s="3"/>
      <c r="R23" s="23"/>
      <c r="S23" s="3"/>
      <c r="T23" s="3"/>
      <c r="U23" s="3"/>
      <c r="V23" s="23"/>
      <c r="W23" s="3"/>
      <c r="X23" s="3">
        <f t="shared" si="2"/>
        <v>72292.259999999995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"4041", " - ", "TAXABLE SALES-LOGO GIFTS")</f>
        <v xml:space="preserve">          4041 - TAXABLE SALES-LOGO GIFTS</v>
      </c>
      <c r="C24" s="12"/>
      <c r="D24" s="3">
        <f>--21188.91</f>
        <v>21188.91</v>
      </c>
      <c r="E24" s="3"/>
      <c r="F24" s="23"/>
      <c r="G24" s="3"/>
      <c r="H24" s="3"/>
      <c r="I24" s="3"/>
      <c r="J24" s="23"/>
      <c r="K24" s="3"/>
      <c r="L24" s="3">
        <f t="shared" si="0"/>
        <v>21188.91</v>
      </c>
      <c r="M24" s="3"/>
      <c r="N24" s="23">
        <f t="shared" si="1"/>
        <v>0</v>
      </c>
      <c r="O24" s="12"/>
      <c r="P24" s="3">
        <f>--21188.91</f>
        <v>21188.91</v>
      </c>
      <c r="Q24" s="3"/>
      <c r="R24" s="23"/>
      <c r="S24" s="3"/>
      <c r="T24" s="3"/>
      <c r="U24" s="3"/>
      <c r="V24" s="23"/>
      <c r="W24" s="3"/>
      <c r="X24" s="3">
        <f t="shared" si="2"/>
        <v>21188.91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"4042", " - ", "TAXABLE SALES-EVERYDAY GIFTS")</f>
        <v xml:space="preserve">          4042 - TAXABLE SALES-EVERYDAY GIFTS</v>
      </c>
      <c r="C25" s="12"/>
      <c r="D25" s="3">
        <f>--9503.9</f>
        <v>9503.9</v>
      </c>
      <c r="E25" s="3"/>
      <c r="F25" s="23"/>
      <c r="G25" s="3"/>
      <c r="H25" s="3"/>
      <c r="I25" s="3"/>
      <c r="J25" s="23"/>
      <c r="K25" s="3"/>
      <c r="L25" s="3">
        <f t="shared" si="0"/>
        <v>9503.9</v>
      </c>
      <c r="M25" s="3"/>
      <c r="N25" s="23">
        <f t="shared" si="1"/>
        <v>0</v>
      </c>
      <c r="O25" s="12"/>
      <c r="P25" s="3">
        <f>--9503.9</f>
        <v>9503.9</v>
      </c>
      <c r="Q25" s="3"/>
      <c r="R25" s="23"/>
      <c r="S25" s="3"/>
      <c r="T25" s="3"/>
      <c r="U25" s="3"/>
      <c r="V25" s="23"/>
      <c r="W25" s="3"/>
      <c r="X25" s="3">
        <f t="shared" si="2"/>
        <v>9503.9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"4043", " - ", "TAXABLE SALES-CARDS")</f>
        <v xml:space="preserve">          4043 - TAXABLE SALES-CARDS</v>
      </c>
      <c r="C26" s="12"/>
      <c r="D26" s="3">
        <f>--217.36</f>
        <v>217.36</v>
      </c>
      <c r="E26" s="3"/>
      <c r="F26" s="23"/>
      <c r="G26" s="3"/>
      <c r="H26" s="3"/>
      <c r="I26" s="3"/>
      <c r="J26" s="23"/>
      <c r="K26" s="3"/>
      <c r="L26" s="3">
        <f t="shared" si="0"/>
        <v>217.36</v>
      </c>
      <c r="M26" s="3"/>
      <c r="N26" s="23">
        <f t="shared" si="1"/>
        <v>0</v>
      </c>
      <c r="O26" s="12"/>
      <c r="P26" s="3">
        <f>--217.36</f>
        <v>217.36</v>
      </c>
      <c r="Q26" s="3"/>
      <c r="R26" s="23"/>
      <c r="S26" s="3"/>
      <c r="T26" s="3"/>
      <c r="U26" s="3"/>
      <c r="V26" s="23"/>
      <c r="W26" s="3"/>
      <c r="X26" s="3">
        <f t="shared" si="2"/>
        <v>217.36</v>
      </c>
      <c r="Y26" s="3"/>
      <c r="Z26" s="23">
        <f t="shared" si="3"/>
        <v>0</v>
      </c>
    </row>
    <row r="27" spans="1:26" s="24" customFormat="1" hidden="1" outlineLevel="1" x14ac:dyDescent="0.25">
      <c r="A27" s="51"/>
      <c r="B27" s="12" t="str">
        <f>CONCATENATE("          ", "4044", " - ", "TAXABLE SALES-ACCESSORIES")</f>
        <v xml:space="preserve">          4044 - TAXABLE SALES-ACCESSORIES</v>
      </c>
      <c r="C27" s="12"/>
      <c r="D27" s="3">
        <f>--1800.68</f>
        <v>1800.68</v>
      </c>
      <c r="E27" s="3"/>
      <c r="F27" s="23"/>
      <c r="G27" s="3"/>
      <c r="H27" s="3"/>
      <c r="I27" s="3"/>
      <c r="J27" s="23"/>
      <c r="K27" s="3"/>
      <c r="L27" s="3">
        <f t="shared" si="0"/>
        <v>1800.68</v>
      </c>
      <c r="M27" s="3"/>
      <c r="N27" s="23">
        <f t="shared" si="1"/>
        <v>0</v>
      </c>
      <c r="O27" s="12"/>
      <c r="P27" s="3">
        <f>--1800.68</f>
        <v>1800.68</v>
      </c>
      <c r="Q27" s="3"/>
      <c r="R27" s="23"/>
      <c r="S27" s="3"/>
      <c r="T27" s="3"/>
      <c r="U27" s="3"/>
      <c r="V27" s="23"/>
      <c r="W27" s="3"/>
      <c r="X27" s="3">
        <f t="shared" si="2"/>
        <v>1800.68</v>
      </c>
      <c r="Y27" s="3"/>
      <c r="Z27" s="23">
        <f t="shared" si="3"/>
        <v>0</v>
      </c>
    </row>
    <row r="28" spans="1:26" s="24" customFormat="1" hidden="1" outlineLevel="1" x14ac:dyDescent="0.25">
      <c r="A28" s="51"/>
      <c r="B28" s="12" t="str">
        <f>CONCATENATE("          ", "4045", " - ", "TAXABLE SALES-SPECIAL ORDERS")</f>
        <v xml:space="preserve">          4045 - TAXABLE SALES-SPECIAL ORDERS</v>
      </c>
      <c r="C28" s="12"/>
      <c r="D28" s="3">
        <f>--43426.73</f>
        <v>43426.73</v>
      </c>
      <c r="E28" s="3"/>
      <c r="F28" s="23"/>
      <c r="G28" s="3"/>
      <c r="H28" s="3"/>
      <c r="I28" s="3"/>
      <c r="J28" s="23"/>
      <c r="K28" s="3"/>
      <c r="L28" s="3">
        <f t="shared" si="0"/>
        <v>43426.73</v>
      </c>
      <c r="M28" s="3"/>
      <c r="N28" s="23">
        <f t="shared" si="1"/>
        <v>0</v>
      </c>
      <c r="O28" s="12"/>
      <c r="P28" s="3">
        <f>--43426.73</f>
        <v>43426.73</v>
      </c>
      <c r="Q28" s="3"/>
      <c r="R28" s="23"/>
      <c r="S28" s="3"/>
      <c r="T28" s="3"/>
      <c r="U28" s="3"/>
      <c r="V28" s="23"/>
      <c r="W28" s="3"/>
      <c r="X28" s="3">
        <f t="shared" si="2"/>
        <v>43426.73</v>
      </c>
      <c r="Y28" s="3"/>
      <c r="Z28" s="23">
        <f t="shared" si="3"/>
        <v>0</v>
      </c>
    </row>
    <row r="29" spans="1:26" s="24" customFormat="1" hidden="1" outlineLevel="1" x14ac:dyDescent="0.25">
      <c r="A29" s="51"/>
      <c r="B29" s="12" t="str">
        <f>CONCATENATE("          ", "4100", " - ", "NON-TAXABLE SALES")</f>
        <v xml:space="preserve">          4100 - NON-TAXABLE SALES</v>
      </c>
      <c r="C29" s="12"/>
      <c r="D29" s="3">
        <f>--3038.3</f>
        <v>3038.3</v>
      </c>
      <c r="E29" s="3"/>
      <c r="F29" s="23"/>
      <c r="G29" s="3"/>
      <c r="H29" s="3">
        <v>550</v>
      </c>
      <c r="I29" s="3"/>
      <c r="J29" s="23"/>
      <c r="K29" s="3"/>
      <c r="L29" s="3">
        <f t="shared" si="0"/>
        <v>2488.3000000000002</v>
      </c>
      <c r="M29" s="3"/>
      <c r="N29" s="23">
        <f t="shared" si="1"/>
        <v>4.5241818181818187</v>
      </c>
      <c r="O29" s="12"/>
      <c r="P29" s="3">
        <f>--3038.3</f>
        <v>3038.3</v>
      </c>
      <c r="Q29" s="3"/>
      <c r="R29" s="23"/>
      <c r="S29" s="3"/>
      <c r="T29" s="3">
        <v>550</v>
      </c>
      <c r="U29" s="3"/>
      <c r="V29" s="23"/>
      <c r="W29" s="3"/>
      <c r="X29" s="3">
        <f t="shared" si="2"/>
        <v>2488.3000000000002</v>
      </c>
      <c r="Y29" s="3"/>
      <c r="Z29" s="23">
        <f t="shared" si="3"/>
        <v>4.5241818181818187</v>
      </c>
    </row>
    <row r="30" spans="1:26" s="24" customFormat="1" hidden="1" outlineLevel="1" x14ac:dyDescent="0.25">
      <c r="A30" s="51"/>
      <c r="B30" s="12" t="str">
        <f>CONCATENATE("          ", "4101", " - ", "NON-TAXABLE SALES-NEW TEXT")</f>
        <v xml:space="preserve">          4101 - NON-TAXABLE SALES-NEW TEXT</v>
      </c>
      <c r="C30" s="12"/>
      <c r="D30" s="3">
        <f>--10341.86</f>
        <v>10341.86</v>
      </c>
      <c r="E30" s="3"/>
      <c r="F30" s="23"/>
      <c r="G30" s="3"/>
      <c r="H30" s="3"/>
      <c r="I30" s="3"/>
      <c r="J30" s="23"/>
      <c r="K30" s="3"/>
      <c r="L30" s="3">
        <f t="shared" si="0"/>
        <v>10341.86</v>
      </c>
      <c r="M30" s="3"/>
      <c r="N30" s="23">
        <f t="shared" si="1"/>
        <v>0</v>
      </c>
      <c r="O30" s="12"/>
      <c r="P30" s="3">
        <f>--10341.86</f>
        <v>10341.86</v>
      </c>
      <c r="Q30" s="3"/>
      <c r="R30" s="23"/>
      <c r="S30" s="3"/>
      <c r="T30" s="3"/>
      <c r="U30" s="3"/>
      <c r="V30" s="23"/>
      <c r="W30" s="3"/>
      <c r="X30" s="3">
        <f t="shared" si="2"/>
        <v>10341.86</v>
      </c>
      <c r="Y30" s="3"/>
      <c r="Z30" s="23">
        <f t="shared" si="3"/>
        <v>0</v>
      </c>
    </row>
    <row r="31" spans="1:26" s="24" customFormat="1" hidden="1" outlineLevel="1" x14ac:dyDescent="0.25">
      <c r="A31" s="51"/>
      <c r="B31" s="12" t="str">
        <f>CONCATENATE("          ", "4102", " - ", "NON-TAXABLE SALES-USED TEXT")</f>
        <v xml:space="preserve">          4102 - NON-TAXABLE SALES-USED TEXT</v>
      </c>
      <c r="C31" s="12"/>
      <c r="D31" s="3">
        <f>--4190.44</f>
        <v>4190.4399999999996</v>
      </c>
      <c r="E31" s="3"/>
      <c r="F31" s="23"/>
      <c r="G31" s="3"/>
      <c r="H31" s="3"/>
      <c r="I31" s="3"/>
      <c r="J31" s="23"/>
      <c r="K31" s="3"/>
      <c r="L31" s="3">
        <f t="shared" si="0"/>
        <v>4190.4399999999996</v>
      </c>
      <c r="M31" s="3"/>
      <c r="N31" s="23">
        <f t="shared" si="1"/>
        <v>0</v>
      </c>
      <c r="O31" s="12"/>
      <c r="P31" s="3">
        <f>--4190.44</f>
        <v>4190.4399999999996</v>
      </c>
      <c r="Q31" s="3"/>
      <c r="R31" s="23"/>
      <c r="S31" s="3"/>
      <c r="T31" s="3"/>
      <c r="U31" s="3"/>
      <c r="V31" s="23"/>
      <c r="W31" s="3"/>
      <c r="X31" s="3">
        <f t="shared" si="2"/>
        <v>4190.4399999999996</v>
      </c>
      <c r="Y31" s="3"/>
      <c r="Z31" s="23">
        <f t="shared" si="3"/>
        <v>0</v>
      </c>
    </row>
    <row r="32" spans="1:26" s="24" customFormat="1" hidden="1" outlineLevel="1" x14ac:dyDescent="0.25">
      <c r="A32" s="51"/>
      <c r="B32" s="12" t="str">
        <f>CONCATENATE("          ", "4104", " - ", "NON-TAXABLE SALES-DIGITAL TEXT")</f>
        <v xml:space="preserve">          4104 - NON-TAXABLE SALES-DIGITAL TEXT</v>
      </c>
      <c r="C32" s="12"/>
      <c r="D32" s="3">
        <f>--7485.52</f>
        <v>7485.52</v>
      </c>
      <c r="E32" s="3"/>
      <c r="F32" s="23"/>
      <c r="G32" s="3"/>
      <c r="H32" s="3"/>
      <c r="I32" s="3"/>
      <c r="J32" s="23"/>
      <c r="K32" s="3"/>
      <c r="L32" s="3">
        <f t="shared" si="0"/>
        <v>7485.52</v>
      </c>
      <c r="M32" s="3"/>
      <c r="N32" s="23">
        <f t="shared" si="1"/>
        <v>0</v>
      </c>
      <c r="O32" s="12"/>
      <c r="P32" s="3">
        <f>--7485.52</f>
        <v>7485.52</v>
      </c>
      <c r="Q32" s="3"/>
      <c r="R32" s="23"/>
      <c r="S32" s="3"/>
      <c r="T32" s="3"/>
      <c r="U32" s="3"/>
      <c r="V32" s="23"/>
      <c r="W32" s="3"/>
      <c r="X32" s="3">
        <f t="shared" si="2"/>
        <v>7485.52</v>
      </c>
      <c r="Y32" s="3"/>
      <c r="Z32" s="23">
        <f t="shared" si="3"/>
        <v>0</v>
      </c>
    </row>
    <row r="33" spans="1:26" s="24" customFormat="1" hidden="1" outlineLevel="1" x14ac:dyDescent="0.25">
      <c r="A33" s="51"/>
      <c r="B33" s="12" t="str">
        <f>CONCATENATE("          ", "4118", " - ", "NON-TAXABLE SALES-STUDY GUIDES")</f>
        <v xml:space="preserve">          4118 - NON-TAXABLE SALES-STUDY GUIDES</v>
      </c>
      <c r="C33" s="12"/>
      <c r="D33" s="3">
        <f>--53.96</f>
        <v>53.96</v>
      </c>
      <c r="E33" s="3"/>
      <c r="F33" s="23"/>
      <c r="G33" s="3"/>
      <c r="H33" s="3"/>
      <c r="I33" s="3"/>
      <c r="J33" s="23"/>
      <c r="K33" s="3"/>
      <c r="L33" s="3">
        <f t="shared" si="0"/>
        <v>53.96</v>
      </c>
      <c r="M33" s="3"/>
      <c r="N33" s="23">
        <f t="shared" si="1"/>
        <v>0</v>
      </c>
      <c r="O33" s="12"/>
      <c r="P33" s="3">
        <f>--53.96</f>
        <v>53.96</v>
      </c>
      <c r="Q33" s="3"/>
      <c r="R33" s="23"/>
      <c r="S33" s="3"/>
      <c r="T33" s="3"/>
      <c r="U33" s="3"/>
      <c r="V33" s="23"/>
      <c r="W33" s="3"/>
      <c r="X33" s="3">
        <f t="shared" si="2"/>
        <v>53.96</v>
      </c>
      <c r="Y33" s="3"/>
      <c r="Z33" s="23">
        <f t="shared" si="3"/>
        <v>0</v>
      </c>
    </row>
    <row r="34" spans="1:26" s="24" customFormat="1" hidden="1" outlineLevel="1" x14ac:dyDescent="0.25">
      <c r="A34" s="51"/>
      <c r="B34" s="12" t="str">
        <f>CONCATENATE("          ", "4126", " - ", "NON-TAXABLE SALES-WRITING INST")</f>
        <v xml:space="preserve">          4126 - NON-TAXABLE SALES-WRITING INST</v>
      </c>
      <c r="C34" s="12"/>
      <c r="D34" s="3">
        <f>--52.68</f>
        <v>52.68</v>
      </c>
      <c r="E34" s="3"/>
      <c r="F34" s="23"/>
      <c r="G34" s="3"/>
      <c r="H34" s="3"/>
      <c r="I34" s="3"/>
      <c r="J34" s="23"/>
      <c r="K34" s="3"/>
      <c r="L34" s="3">
        <f t="shared" si="0"/>
        <v>52.68</v>
      </c>
      <c r="M34" s="3"/>
      <c r="N34" s="23">
        <f t="shared" si="1"/>
        <v>0</v>
      </c>
      <c r="O34" s="12"/>
      <c r="P34" s="3">
        <f>--52.68</f>
        <v>52.68</v>
      </c>
      <c r="Q34" s="3"/>
      <c r="R34" s="23"/>
      <c r="S34" s="3"/>
      <c r="T34" s="3"/>
      <c r="U34" s="3"/>
      <c r="V34" s="23"/>
      <c r="W34" s="3"/>
      <c r="X34" s="3">
        <f t="shared" si="2"/>
        <v>52.68</v>
      </c>
      <c r="Y34" s="3"/>
      <c r="Z34" s="23">
        <f t="shared" si="3"/>
        <v>0</v>
      </c>
    </row>
    <row r="35" spans="1:26" s="24" customFormat="1" hidden="1" outlineLevel="1" x14ac:dyDescent="0.25">
      <c r="A35" s="51"/>
      <c r="B35" s="12" t="str">
        <f>CONCATENATE("          ", "4127", " - ", "NON-TAXABLE SALES-SCHOOL SUPPL")</f>
        <v xml:space="preserve">          4127 - NON-TAXABLE SALES-SCHOOL SUPPL</v>
      </c>
      <c r="C35" s="12"/>
      <c r="D35" s="3">
        <f>--72.25</f>
        <v>72.25</v>
      </c>
      <c r="E35" s="3"/>
      <c r="F35" s="23"/>
      <c r="G35" s="3"/>
      <c r="H35" s="3"/>
      <c r="I35" s="3"/>
      <c r="J35" s="23"/>
      <c r="K35" s="3"/>
      <c r="L35" s="3">
        <f t="shared" si="0"/>
        <v>72.25</v>
      </c>
      <c r="M35" s="3"/>
      <c r="N35" s="23">
        <f t="shared" si="1"/>
        <v>0</v>
      </c>
      <c r="O35" s="12"/>
      <c r="P35" s="3">
        <f>--72.25</f>
        <v>72.25</v>
      </c>
      <c r="Q35" s="3"/>
      <c r="R35" s="23"/>
      <c r="S35" s="3"/>
      <c r="T35" s="3"/>
      <c r="U35" s="3"/>
      <c r="V35" s="23"/>
      <c r="W35" s="3"/>
      <c r="X35" s="3">
        <f t="shared" si="2"/>
        <v>72.25</v>
      </c>
      <c r="Y35" s="3"/>
      <c r="Z35" s="23">
        <f t="shared" si="3"/>
        <v>0</v>
      </c>
    </row>
    <row r="36" spans="1:26" s="24" customFormat="1" hidden="1" outlineLevel="1" x14ac:dyDescent="0.25">
      <c r="A36" s="51"/>
      <c r="B36" s="12" t="str">
        <f>CONCATENATE("          ", "4131", " - ", "NON-TAXABLE SALES-FOOD")</f>
        <v xml:space="preserve">          4131 - NON-TAXABLE SALES-FOOD</v>
      </c>
      <c r="C36" s="12"/>
      <c r="D36" s="3">
        <f>--259.43</f>
        <v>259.43</v>
      </c>
      <c r="E36" s="3"/>
      <c r="F36" s="23"/>
      <c r="G36" s="3"/>
      <c r="H36" s="3"/>
      <c r="I36" s="3"/>
      <c r="J36" s="23"/>
      <c r="K36" s="3"/>
      <c r="L36" s="3">
        <f t="shared" si="0"/>
        <v>259.43</v>
      </c>
      <c r="M36" s="3"/>
      <c r="N36" s="23">
        <f t="shared" si="1"/>
        <v>0</v>
      </c>
      <c r="O36" s="12"/>
      <c r="P36" s="3">
        <f>--259.43</f>
        <v>259.43</v>
      </c>
      <c r="Q36" s="3"/>
      <c r="R36" s="23"/>
      <c r="S36" s="3"/>
      <c r="T36" s="3"/>
      <c r="U36" s="3"/>
      <c r="V36" s="23"/>
      <c r="W36" s="3"/>
      <c r="X36" s="3">
        <f t="shared" si="2"/>
        <v>259.43</v>
      </c>
      <c r="Y36" s="3"/>
      <c r="Z36" s="23">
        <f t="shared" si="3"/>
        <v>0</v>
      </c>
    </row>
    <row r="37" spans="1:26" s="24" customFormat="1" hidden="1" outlineLevel="1" x14ac:dyDescent="0.25">
      <c r="A37" s="51"/>
      <c r="B37" s="12" t="str">
        <f>CONCATENATE("          ", "4132", " - ", "NON-TAXABLE SALES-JUICE")</f>
        <v xml:space="preserve">          4132 - NON-TAXABLE SALES-JUICE</v>
      </c>
      <c r="C37" s="12"/>
      <c r="D37" s="3">
        <f>--22.49</f>
        <v>22.49</v>
      </c>
      <c r="E37" s="3"/>
      <c r="F37" s="23"/>
      <c r="G37" s="3"/>
      <c r="H37" s="3"/>
      <c r="I37" s="3"/>
      <c r="J37" s="23"/>
      <c r="K37" s="3"/>
      <c r="L37" s="3">
        <f t="shared" si="0"/>
        <v>22.49</v>
      </c>
      <c r="M37" s="3"/>
      <c r="N37" s="23">
        <f t="shared" si="1"/>
        <v>0</v>
      </c>
      <c r="O37" s="12"/>
      <c r="P37" s="3">
        <f>--22.49</f>
        <v>22.49</v>
      </c>
      <c r="Q37" s="3"/>
      <c r="R37" s="23"/>
      <c r="S37" s="3"/>
      <c r="T37" s="3"/>
      <c r="U37" s="3"/>
      <c r="V37" s="23"/>
      <c r="W37" s="3"/>
      <c r="X37" s="3">
        <f t="shared" si="2"/>
        <v>22.49</v>
      </c>
      <c r="Y37" s="3"/>
      <c r="Z37" s="23">
        <f t="shared" si="3"/>
        <v>0</v>
      </c>
    </row>
    <row r="38" spans="1:26" s="24" customFormat="1" hidden="1" outlineLevel="1" x14ac:dyDescent="0.25">
      <c r="A38" s="51"/>
      <c r="B38" s="12" t="str">
        <f>CONCATENATE("          ", "4133", " - ", "NON-TAXABLE SALES-CANDY")</f>
        <v xml:space="preserve">          4133 - NON-TAXABLE SALES-CANDY</v>
      </c>
      <c r="C38" s="12"/>
      <c r="D38" s="3">
        <f>--68.28</f>
        <v>68.28</v>
      </c>
      <c r="E38" s="3"/>
      <c r="F38" s="23"/>
      <c r="G38" s="3"/>
      <c r="H38" s="3"/>
      <c r="I38" s="3"/>
      <c r="J38" s="23"/>
      <c r="K38" s="3"/>
      <c r="L38" s="3">
        <f t="shared" si="0"/>
        <v>68.28</v>
      </c>
      <c r="M38" s="3"/>
      <c r="N38" s="23">
        <f t="shared" si="1"/>
        <v>0</v>
      </c>
      <c r="O38" s="12"/>
      <c r="P38" s="3">
        <f>--68.28</f>
        <v>68.28</v>
      </c>
      <c r="Q38" s="3"/>
      <c r="R38" s="23"/>
      <c r="S38" s="3"/>
      <c r="T38" s="3"/>
      <c r="U38" s="3"/>
      <c r="V38" s="23"/>
      <c r="W38" s="3"/>
      <c r="X38" s="3">
        <f t="shared" si="2"/>
        <v>68.28</v>
      </c>
      <c r="Y38" s="3"/>
      <c r="Z38" s="23">
        <f t="shared" si="3"/>
        <v>0</v>
      </c>
    </row>
    <row r="39" spans="1:26" s="24" customFormat="1" hidden="1" outlineLevel="1" x14ac:dyDescent="0.25">
      <c r="A39" s="51"/>
      <c r="B39" s="12" t="str">
        <f>CONCATENATE("          ", "4134", " - ", "NON-TAXABLE SALES-SODA")</f>
        <v xml:space="preserve">          4134 - NON-TAXABLE SALES-SODA</v>
      </c>
      <c r="C39" s="12"/>
      <c r="D39" s="3">
        <f>--45.53</f>
        <v>45.53</v>
      </c>
      <c r="E39" s="3"/>
      <c r="F39" s="23"/>
      <c r="G39" s="3"/>
      <c r="H39" s="3"/>
      <c r="I39" s="3"/>
      <c r="J39" s="23"/>
      <c r="K39" s="3"/>
      <c r="L39" s="3">
        <f t="shared" si="0"/>
        <v>45.53</v>
      </c>
      <c r="M39" s="3"/>
      <c r="N39" s="23">
        <f t="shared" si="1"/>
        <v>0</v>
      </c>
      <c r="O39" s="12"/>
      <c r="P39" s="3">
        <f>--45.53</f>
        <v>45.53</v>
      </c>
      <c r="Q39" s="3"/>
      <c r="R39" s="23"/>
      <c r="S39" s="3"/>
      <c r="T39" s="3"/>
      <c r="U39" s="3"/>
      <c r="V39" s="23"/>
      <c r="W39" s="3"/>
      <c r="X39" s="3">
        <f t="shared" si="2"/>
        <v>45.53</v>
      </c>
      <c r="Y39" s="3"/>
      <c r="Z39" s="23">
        <f t="shared" si="3"/>
        <v>0</v>
      </c>
    </row>
    <row r="40" spans="1:26" s="24" customFormat="1" hidden="1" outlineLevel="1" x14ac:dyDescent="0.25">
      <c r="A40" s="51"/>
      <c r="B40" s="12" t="str">
        <f>CONCATENATE("          ", "4137", " - ", "NON-TAXABLE SALES-WATER")</f>
        <v xml:space="preserve">          4137 - NON-TAXABLE SALES-WATER</v>
      </c>
      <c r="C40" s="12"/>
      <c r="D40" s="3">
        <f>--68.25</f>
        <v>68.25</v>
      </c>
      <c r="E40" s="3"/>
      <c r="F40" s="23"/>
      <c r="G40" s="3"/>
      <c r="H40" s="3"/>
      <c r="I40" s="3"/>
      <c r="J40" s="23"/>
      <c r="K40" s="3"/>
      <c r="L40" s="3">
        <f t="shared" si="0"/>
        <v>68.25</v>
      </c>
      <c r="M40" s="3"/>
      <c r="N40" s="23">
        <f t="shared" si="1"/>
        <v>0</v>
      </c>
      <c r="O40" s="12"/>
      <c r="P40" s="3">
        <f>--68.25</f>
        <v>68.25</v>
      </c>
      <c r="Q40" s="3"/>
      <c r="R40" s="23"/>
      <c r="S40" s="3"/>
      <c r="T40" s="3"/>
      <c r="U40" s="3"/>
      <c r="V40" s="23"/>
      <c r="W40" s="3"/>
      <c r="X40" s="3">
        <f t="shared" si="2"/>
        <v>68.25</v>
      </c>
      <c r="Y40" s="3"/>
      <c r="Z40" s="23">
        <f t="shared" si="3"/>
        <v>0</v>
      </c>
    </row>
    <row r="41" spans="1:26" s="24" customFormat="1" hidden="1" outlineLevel="1" x14ac:dyDescent="0.25">
      <c r="A41" s="51"/>
      <c r="B41" s="12" t="str">
        <f>CONCATENATE("          ", "4140", " - ", "NON-TAXABLE SALES-LOGO CLOTHIN")</f>
        <v xml:space="preserve">          4140 - NON-TAXABLE SALES-LOGO CLOTHIN</v>
      </c>
      <c r="C41" s="12"/>
      <c r="D41" s="3">
        <f>--6846.24</f>
        <v>6846.24</v>
      </c>
      <c r="E41" s="3"/>
      <c r="F41" s="23"/>
      <c r="G41" s="3"/>
      <c r="H41" s="3"/>
      <c r="I41" s="3"/>
      <c r="J41" s="23"/>
      <c r="K41" s="3"/>
      <c r="L41" s="3">
        <f t="shared" si="0"/>
        <v>6846.24</v>
      </c>
      <c r="M41" s="3"/>
      <c r="N41" s="23">
        <f t="shared" si="1"/>
        <v>0</v>
      </c>
      <c r="O41" s="12"/>
      <c r="P41" s="3">
        <f>--6846.24</f>
        <v>6846.24</v>
      </c>
      <c r="Q41" s="3"/>
      <c r="R41" s="23"/>
      <c r="S41" s="3"/>
      <c r="T41" s="3"/>
      <c r="U41" s="3"/>
      <c r="V41" s="23"/>
      <c r="W41" s="3"/>
      <c r="X41" s="3">
        <f t="shared" si="2"/>
        <v>6846.24</v>
      </c>
      <c r="Y41" s="3"/>
      <c r="Z41" s="23">
        <f t="shared" si="3"/>
        <v>0</v>
      </c>
    </row>
    <row r="42" spans="1:26" s="24" customFormat="1" hidden="1" outlineLevel="1" x14ac:dyDescent="0.25">
      <c r="A42" s="51"/>
      <c r="B42" s="12" t="str">
        <f>CONCATENATE("          ", "4141", " - ", "NON-TAXABLE SALES-LOGO GIFTS")</f>
        <v xml:space="preserve">          4141 - NON-TAXABLE SALES-LOGO GIFTS</v>
      </c>
      <c r="C42" s="12"/>
      <c r="D42" s="3">
        <f>--1200.19</f>
        <v>1200.19</v>
      </c>
      <c r="E42" s="3"/>
      <c r="F42" s="23"/>
      <c r="G42" s="3"/>
      <c r="H42" s="3"/>
      <c r="I42" s="3"/>
      <c r="J42" s="23"/>
      <c r="K42" s="3"/>
      <c r="L42" s="3">
        <f t="shared" si="0"/>
        <v>1200.19</v>
      </c>
      <c r="M42" s="3"/>
      <c r="N42" s="23">
        <f t="shared" si="1"/>
        <v>0</v>
      </c>
      <c r="O42" s="12"/>
      <c r="P42" s="3">
        <f>--1200.19</f>
        <v>1200.19</v>
      </c>
      <c r="Q42" s="3"/>
      <c r="R42" s="23"/>
      <c r="S42" s="3"/>
      <c r="T42" s="3"/>
      <c r="U42" s="3"/>
      <c r="V42" s="23"/>
      <c r="W42" s="3"/>
      <c r="X42" s="3">
        <f t="shared" si="2"/>
        <v>1200.19</v>
      </c>
      <c r="Y42" s="3"/>
      <c r="Z42" s="23">
        <f t="shared" si="3"/>
        <v>0</v>
      </c>
    </row>
    <row r="43" spans="1:26" s="24" customFormat="1" hidden="1" outlineLevel="1" x14ac:dyDescent="0.25">
      <c r="A43" s="51"/>
      <c r="B43" s="12" t="str">
        <f>CONCATENATE("          ", "4142", " - ", "NON-TAXABLE SALES-EVERYDAY GIF")</f>
        <v xml:space="preserve">          4142 - NON-TAXABLE SALES-EVERYDAY GIF</v>
      </c>
      <c r="C43" s="12"/>
      <c r="D43" s="3">
        <f>--640.17</f>
        <v>640.16999999999996</v>
      </c>
      <c r="E43" s="3"/>
      <c r="F43" s="23"/>
      <c r="G43" s="3"/>
      <c r="H43" s="3"/>
      <c r="I43" s="3"/>
      <c r="J43" s="23"/>
      <c r="K43" s="3"/>
      <c r="L43" s="3">
        <f t="shared" si="0"/>
        <v>640.16999999999996</v>
      </c>
      <c r="M43" s="3"/>
      <c r="N43" s="23">
        <f t="shared" si="1"/>
        <v>0</v>
      </c>
      <c r="O43" s="12"/>
      <c r="P43" s="3">
        <f>--640.17</f>
        <v>640.16999999999996</v>
      </c>
      <c r="Q43" s="3"/>
      <c r="R43" s="23"/>
      <c r="S43" s="3"/>
      <c r="T43" s="3"/>
      <c r="U43" s="3"/>
      <c r="V43" s="23"/>
      <c r="W43" s="3"/>
      <c r="X43" s="3">
        <f t="shared" si="2"/>
        <v>640.16999999999996</v>
      </c>
      <c r="Y43" s="3"/>
      <c r="Z43" s="23">
        <f t="shared" si="3"/>
        <v>0</v>
      </c>
    </row>
    <row r="44" spans="1:26" s="24" customFormat="1" hidden="1" outlineLevel="1" x14ac:dyDescent="0.25">
      <c r="A44" s="51"/>
      <c r="B44" s="12" t="str">
        <f>CONCATENATE("          ", "4144", " - ", "NON-TAXABLE SALES-ACCESSORIES")</f>
        <v xml:space="preserve">          4144 - NON-TAXABLE SALES-ACCESSORIES</v>
      </c>
      <c r="C44" s="12"/>
      <c r="D44" s="3">
        <f>--47.85</f>
        <v>47.85</v>
      </c>
      <c r="E44" s="3"/>
      <c r="F44" s="23"/>
      <c r="G44" s="3"/>
      <c r="H44" s="3"/>
      <c r="I44" s="3"/>
      <c r="J44" s="23"/>
      <c r="K44" s="3"/>
      <c r="L44" s="3">
        <f t="shared" si="0"/>
        <v>47.85</v>
      </c>
      <c r="M44" s="3"/>
      <c r="N44" s="23">
        <f t="shared" si="1"/>
        <v>0</v>
      </c>
      <c r="O44" s="12"/>
      <c r="P44" s="3">
        <f>--47.85</f>
        <v>47.85</v>
      </c>
      <c r="Q44" s="3"/>
      <c r="R44" s="23"/>
      <c r="S44" s="3"/>
      <c r="T44" s="3"/>
      <c r="U44" s="3"/>
      <c r="V44" s="23"/>
      <c r="W44" s="3"/>
      <c r="X44" s="3">
        <f t="shared" si="2"/>
        <v>47.85</v>
      </c>
      <c r="Y44" s="3"/>
      <c r="Z44" s="23">
        <f t="shared" si="3"/>
        <v>0</v>
      </c>
    </row>
    <row r="45" spans="1:26" s="24" customFormat="1" hidden="1" outlineLevel="1" x14ac:dyDescent="0.25">
      <c r="A45" s="51"/>
      <c r="B45" s="12" t="str">
        <f>CONCATENATE("          ", "4145", " - ", "NON-TAXABLE SALES-SPECIAL ORDE")</f>
        <v xml:space="preserve">          4145 - NON-TAXABLE SALES-SPECIAL ORDE</v>
      </c>
      <c r="C45" s="12"/>
      <c r="D45" s="3">
        <f>--35496</f>
        <v>35496</v>
      </c>
      <c r="E45" s="3"/>
      <c r="F45" s="23"/>
      <c r="G45" s="3"/>
      <c r="H45" s="3"/>
      <c r="I45" s="3"/>
      <c r="J45" s="23"/>
      <c r="K45" s="3"/>
      <c r="L45" s="3">
        <f t="shared" si="0"/>
        <v>35496</v>
      </c>
      <c r="M45" s="3"/>
      <c r="N45" s="23">
        <f t="shared" si="1"/>
        <v>0</v>
      </c>
      <c r="O45" s="12"/>
      <c r="P45" s="3">
        <f>--35496</f>
        <v>35496</v>
      </c>
      <c r="Q45" s="3"/>
      <c r="R45" s="23"/>
      <c r="S45" s="3"/>
      <c r="T45" s="3"/>
      <c r="U45" s="3"/>
      <c r="V45" s="23"/>
      <c r="W45" s="3"/>
      <c r="X45" s="3">
        <f t="shared" si="2"/>
        <v>35496</v>
      </c>
      <c r="Y45" s="3"/>
      <c r="Z45" s="23">
        <f t="shared" si="3"/>
        <v>0</v>
      </c>
    </row>
    <row r="46" spans="1:26" s="24" customFormat="1" hidden="1" outlineLevel="1" x14ac:dyDescent="0.25">
      <c r="A46" s="51"/>
      <c r="B46" s="12" t="str">
        <f>CONCATENATE("          ", "4147", " - ", "NON-TAXABLE SALES-MISC")</f>
        <v xml:space="preserve">          4147 - NON-TAXABLE SALES-MISC</v>
      </c>
      <c r="C46" s="12"/>
      <c r="D46" s="3">
        <f>--1</f>
        <v>1</v>
      </c>
      <c r="E46" s="3"/>
      <c r="F46" s="23"/>
      <c r="G46" s="3"/>
      <c r="H46" s="3"/>
      <c r="I46" s="3"/>
      <c r="J46" s="23"/>
      <c r="K46" s="3"/>
      <c r="L46" s="3">
        <f t="shared" si="0"/>
        <v>1</v>
      </c>
      <c r="M46" s="3"/>
      <c r="N46" s="23">
        <f t="shared" si="1"/>
        <v>0</v>
      </c>
      <c r="O46" s="12"/>
      <c r="P46" s="3">
        <f>--1</f>
        <v>1</v>
      </c>
      <c r="Q46" s="3"/>
      <c r="R46" s="23"/>
      <c r="S46" s="3"/>
      <c r="T46" s="3"/>
      <c r="U46" s="3"/>
      <c r="V46" s="23"/>
      <c r="W46" s="3"/>
      <c r="X46" s="3">
        <f t="shared" si="2"/>
        <v>1</v>
      </c>
      <c r="Y46" s="3"/>
      <c r="Z46" s="23">
        <f t="shared" si="3"/>
        <v>0</v>
      </c>
    </row>
    <row r="47" spans="1:26" s="24" customFormat="1" hidden="1" outlineLevel="1" x14ac:dyDescent="0.25">
      <c r="A47" s="51"/>
      <c r="B47" s="12" t="str">
        <f>CONCATENATE("          ", "4201", " - ", "SALES RETURN TAXABLE-NEW TEXT")</f>
        <v xml:space="preserve">          4201 - SALES RETURN TAXABLE-NEW TEXT</v>
      </c>
      <c r="C47" s="12"/>
      <c r="D47" s="3">
        <f>-633.4</f>
        <v>-633.4</v>
      </c>
      <c r="E47" s="3"/>
      <c r="F47" s="23"/>
      <c r="G47" s="3"/>
      <c r="H47" s="3"/>
      <c r="I47" s="3"/>
      <c r="J47" s="23"/>
      <c r="K47" s="3"/>
      <c r="L47" s="3">
        <f t="shared" si="0"/>
        <v>-633.4</v>
      </c>
      <c r="M47" s="3"/>
      <c r="N47" s="23">
        <f t="shared" si="1"/>
        <v>0</v>
      </c>
      <c r="O47" s="12"/>
      <c r="P47" s="3">
        <f>-633.4</f>
        <v>-633.4</v>
      </c>
      <c r="Q47" s="3"/>
      <c r="R47" s="23"/>
      <c r="S47" s="3"/>
      <c r="T47" s="3"/>
      <c r="U47" s="3"/>
      <c r="V47" s="23"/>
      <c r="W47" s="3"/>
      <c r="X47" s="3">
        <f t="shared" si="2"/>
        <v>-633.4</v>
      </c>
      <c r="Y47" s="3"/>
      <c r="Z47" s="23">
        <f t="shared" si="3"/>
        <v>0</v>
      </c>
    </row>
    <row r="48" spans="1:26" s="24" customFormat="1" hidden="1" outlineLevel="1" x14ac:dyDescent="0.25">
      <c r="A48" s="51"/>
      <c r="B48" s="12" t="str">
        <f>CONCATENATE("          ", "4202", " - ", "SALES RETURN TAXABLE-USED TEXT")</f>
        <v xml:space="preserve">          4202 - SALES RETURN TAXABLE-USED TEXT</v>
      </c>
      <c r="C48" s="12"/>
      <c r="D48" s="3">
        <f>-178.35</f>
        <v>-178.35</v>
      </c>
      <c r="E48" s="3"/>
      <c r="F48" s="23"/>
      <c r="G48" s="3"/>
      <c r="H48" s="3"/>
      <c r="I48" s="3"/>
      <c r="J48" s="23"/>
      <c r="K48" s="3"/>
      <c r="L48" s="3">
        <f t="shared" si="0"/>
        <v>-178.35</v>
      </c>
      <c r="M48" s="3"/>
      <c r="N48" s="23">
        <f t="shared" si="1"/>
        <v>0</v>
      </c>
      <c r="O48" s="12"/>
      <c r="P48" s="3">
        <f>-178.35</f>
        <v>-178.35</v>
      </c>
      <c r="Q48" s="3"/>
      <c r="R48" s="23"/>
      <c r="S48" s="3"/>
      <c r="T48" s="3"/>
      <c r="U48" s="3"/>
      <c r="V48" s="23"/>
      <c r="W48" s="3"/>
      <c r="X48" s="3">
        <f t="shared" si="2"/>
        <v>-178.35</v>
      </c>
      <c r="Y48" s="3"/>
      <c r="Z48" s="23">
        <f t="shared" si="3"/>
        <v>0</v>
      </c>
    </row>
    <row r="49" spans="1:26" s="24" customFormat="1" hidden="1" outlineLevel="1" x14ac:dyDescent="0.25">
      <c r="A49" s="51"/>
      <c r="B49" s="12" t="str">
        <f>CONCATENATE("          ", "4226", " - ", "SALES RETURN TAXABLE-WRITING I")</f>
        <v xml:space="preserve">          4226 - SALES RETURN TAXABLE-WRITING I</v>
      </c>
      <c r="C49" s="12"/>
      <c r="D49" s="3">
        <f>-6.38</f>
        <v>-6.38</v>
      </c>
      <c r="E49" s="3"/>
      <c r="F49" s="23"/>
      <c r="G49" s="3"/>
      <c r="H49" s="3"/>
      <c r="I49" s="3"/>
      <c r="J49" s="23"/>
      <c r="K49" s="3"/>
      <c r="L49" s="3">
        <f t="shared" si="0"/>
        <v>-6.38</v>
      </c>
      <c r="M49" s="3"/>
      <c r="N49" s="23">
        <f t="shared" si="1"/>
        <v>0</v>
      </c>
      <c r="O49" s="12"/>
      <c r="P49" s="3">
        <f>-6.38</f>
        <v>-6.38</v>
      </c>
      <c r="Q49" s="3"/>
      <c r="R49" s="23"/>
      <c r="S49" s="3"/>
      <c r="T49" s="3"/>
      <c r="U49" s="3"/>
      <c r="V49" s="23"/>
      <c r="W49" s="3"/>
      <c r="X49" s="3">
        <f t="shared" si="2"/>
        <v>-6.38</v>
      </c>
      <c r="Y49" s="3"/>
      <c r="Z49" s="23">
        <f t="shared" si="3"/>
        <v>0</v>
      </c>
    </row>
    <row r="50" spans="1:26" s="24" customFormat="1" hidden="1" outlineLevel="1" x14ac:dyDescent="0.25">
      <c r="A50" s="51"/>
      <c r="B50" s="12" t="str">
        <f>CONCATENATE("          ", "4227", " - ", "SALES RETURN TAXABLE-SCHOOL SU")</f>
        <v xml:space="preserve">          4227 - SALES RETURN TAXABLE-SCHOOL SU</v>
      </c>
      <c r="C50" s="12"/>
      <c r="D50" s="3">
        <f>-56.77</f>
        <v>-56.77</v>
      </c>
      <c r="E50" s="3"/>
      <c r="F50" s="23"/>
      <c r="G50" s="3"/>
      <c r="H50" s="3"/>
      <c r="I50" s="3"/>
      <c r="J50" s="23"/>
      <c r="K50" s="3"/>
      <c r="L50" s="3">
        <f t="shared" si="0"/>
        <v>-56.77</v>
      </c>
      <c r="M50" s="3"/>
      <c r="N50" s="23">
        <f t="shared" si="1"/>
        <v>0</v>
      </c>
      <c r="O50" s="12"/>
      <c r="P50" s="3">
        <f>-56.77</f>
        <v>-56.77</v>
      </c>
      <c r="Q50" s="3"/>
      <c r="R50" s="23"/>
      <c r="S50" s="3"/>
      <c r="T50" s="3"/>
      <c r="U50" s="3"/>
      <c r="V50" s="23"/>
      <c r="W50" s="3"/>
      <c r="X50" s="3">
        <f t="shared" si="2"/>
        <v>-56.77</v>
      </c>
      <c r="Y50" s="3"/>
      <c r="Z50" s="23">
        <f t="shared" si="3"/>
        <v>0</v>
      </c>
    </row>
    <row r="51" spans="1:26" s="24" customFormat="1" hidden="1" outlineLevel="1" x14ac:dyDescent="0.25">
      <c r="A51" s="51"/>
      <c r="B51" s="12" t="str">
        <f>CONCATENATE("          ", "4240", " - ", "SALES RETURN TAXABLE-LOGO CLOT")</f>
        <v xml:space="preserve">          4240 - SALES RETURN TAXABLE-LOGO CLOT</v>
      </c>
      <c r="C51" s="12"/>
      <c r="D51" s="3">
        <f>-3368.1</f>
        <v>-3368.1</v>
      </c>
      <c r="E51" s="3"/>
      <c r="F51" s="23"/>
      <c r="G51" s="3"/>
      <c r="H51" s="3"/>
      <c r="I51" s="3"/>
      <c r="J51" s="23"/>
      <c r="K51" s="3"/>
      <c r="L51" s="3">
        <f t="shared" si="0"/>
        <v>-3368.1</v>
      </c>
      <c r="M51" s="3"/>
      <c r="N51" s="23">
        <f t="shared" si="1"/>
        <v>0</v>
      </c>
      <c r="O51" s="12"/>
      <c r="P51" s="3">
        <f>-3368.1</f>
        <v>-3368.1</v>
      </c>
      <c r="Q51" s="3"/>
      <c r="R51" s="23"/>
      <c r="S51" s="3"/>
      <c r="T51" s="3"/>
      <c r="U51" s="3"/>
      <c r="V51" s="23"/>
      <c r="W51" s="3"/>
      <c r="X51" s="3">
        <f t="shared" si="2"/>
        <v>-3368.1</v>
      </c>
      <c r="Y51" s="3"/>
      <c r="Z51" s="23">
        <f t="shared" si="3"/>
        <v>0</v>
      </c>
    </row>
    <row r="52" spans="1:26" s="24" customFormat="1" hidden="1" outlineLevel="1" x14ac:dyDescent="0.25">
      <c r="A52" s="51"/>
      <c r="B52" s="12" t="str">
        <f>CONCATENATE("          ", "4241", " - ", "SALES RETURN TAXABLE-LOGO GIFT")</f>
        <v xml:space="preserve">          4241 - SALES RETURN TAXABLE-LOGO GIFT</v>
      </c>
      <c r="C52" s="12"/>
      <c r="D52" s="3">
        <f>-341.98</f>
        <v>-341.98</v>
      </c>
      <c r="E52" s="3"/>
      <c r="F52" s="23"/>
      <c r="G52" s="3"/>
      <c r="H52" s="3"/>
      <c r="I52" s="3"/>
      <c r="J52" s="23"/>
      <c r="K52" s="3"/>
      <c r="L52" s="3">
        <f t="shared" si="0"/>
        <v>-341.98</v>
      </c>
      <c r="M52" s="3"/>
      <c r="N52" s="23">
        <f t="shared" si="1"/>
        <v>0</v>
      </c>
      <c r="O52" s="12"/>
      <c r="P52" s="3">
        <f>-341.98</f>
        <v>-341.98</v>
      </c>
      <c r="Q52" s="3"/>
      <c r="R52" s="23"/>
      <c r="S52" s="3"/>
      <c r="T52" s="3"/>
      <c r="U52" s="3"/>
      <c r="V52" s="23"/>
      <c r="W52" s="3"/>
      <c r="X52" s="3">
        <f t="shared" si="2"/>
        <v>-341.98</v>
      </c>
      <c r="Y52" s="3"/>
      <c r="Z52" s="23">
        <f t="shared" si="3"/>
        <v>0</v>
      </c>
    </row>
    <row r="53" spans="1:26" s="24" customFormat="1" hidden="1" outlineLevel="1" x14ac:dyDescent="0.25">
      <c r="A53" s="51"/>
      <c r="B53" s="12" t="str">
        <f>CONCATENATE("          ", "4242", " - ", "SALES RETURN TAXABLE-EVERYDAY")</f>
        <v xml:space="preserve">          4242 - SALES RETURN TAXABLE-EVERYDAY</v>
      </c>
      <c r="C53" s="12"/>
      <c r="D53" s="3">
        <f>-178.96</f>
        <v>-178.96</v>
      </c>
      <c r="E53" s="3"/>
      <c r="F53" s="23"/>
      <c r="G53" s="3"/>
      <c r="H53" s="3"/>
      <c r="I53" s="3"/>
      <c r="J53" s="23"/>
      <c r="K53" s="3"/>
      <c r="L53" s="3">
        <f t="shared" si="0"/>
        <v>-178.96</v>
      </c>
      <c r="M53" s="3"/>
      <c r="N53" s="23">
        <f t="shared" si="1"/>
        <v>0</v>
      </c>
      <c r="O53" s="12"/>
      <c r="P53" s="3">
        <f>-178.96</f>
        <v>-178.96</v>
      </c>
      <c r="Q53" s="3"/>
      <c r="R53" s="23"/>
      <c r="S53" s="3"/>
      <c r="T53" s="3"/>
      <c r="U53" s="3"/>
      <c r="V53" s="23"/>
      <c r="W53" s="3"/>
      <c r="X53" s="3">
        <f t="shared" si="2"/>
        <v>-178.96</v>
      </c>
      <c r="Y53" s="3"/>
      <c r="Z53" s="23">
        <f t="shared" si="3"/>
        <v>0</v>
      </c>
    </row>
    <row r="54" spans="1:26" s="24" customFormat="1" hidden="1" outlineLevel="1" x14ac:dyDescent="0.25">
      <c r="A54" s="51"/>
      <c r="B54" s="12" t="str">
        <f>CONCATENATE("          ", "4245", " - ", "SALES RETURN TAXABLE-SPECIAL O")</f>
        <v xml:space="preserve">          4245 - SALES RETURN TAXABLE-SPECIAL O</v>
      </c>
      <c r="C54" s="12"/>
      <c r="D54" s="3">
        <f>-1121</f>
        <v>-1121</v>
      </c>
      <c r="E54" s="3"/>
      <c r="F54" s="23"/>
      <c r="G54" s="3"/>
      <c r="H54" s="3"/>
      <c r="I54" s="3"/>
      <c r="J54" s="23"/>
      <c r="K54" s="3"/>
      <c r="L54" s="3">
        <f t="shared" si="0"/>
        <v>-1121</v>
      </c>
      <c r="M54" s="3"/>
      <c r="N54" s="23">
        <f t="shared" si="1"/>
        <v>0</v>
      </c>
      <c r="O54" s="12"/>
      <c r="P54" s="3">
        <f>-1121</f>
        <v>-1121</v>
      </c>
      <c r="Q54" s="3"/>
      <c r="R54" s="23"/>
      <c r="S54" s="3"/>
      <c r="T54" s="3"/>
      <c r="U54" s="3"/>
      <c r="V54" s="23"/>
      <c r="W54" s="3"/>
      <c r="X54" s="3">
        <f t="shared" si="2"/>
        <v>-1121</v>
      </c>
      <c r="Y54" s="3"/>
      <c r="Z54" s="23">
        <f t="shared" si="3"/>
        <v>0</v>
      </c>
    </row>
    <row r="55" spans="1:26" s="24" customFormat="1" hidden="1" outlineLevel="1" x14ac:dyDescent="0.25">
      <c r="A55" s="51"/>
      <c r="B55" s="12" t="str">
        <f>CONCATENATE("          ", "4302", " - ", "SALES RETURN NON TAXABLE-TEXT")</f>
        <v xml:space="preserve">          4302 - SALES RETURN NON TAXABLE-TEXT</v>
      </c>
      <c r="C55" s="12"/>
      <c r="D55" s="3">
        <f>-63.67</f>
        <v>-63.67</v>
      </c>
      <c r="E55" s="3"/>
      <c r="F55" s="23"/>
      <c r="G55" s="3"/>
      <c r="H55" s="3"/>
      <c r="I55" s="3"/>
      <c r="J55" s="23"/>
      <c r="K55" s="3"/>
      <c r="L55" s="3">
        <f t="shared" si="0"/>
        <v>-63.67</v>
      </c>
      <c r="M55" s="3"/>
      <c r="N55" s="23">
        <f t="shared" si="1"/>
        <v>0</v>
      </c>
      <c r="O55" s="12"/>
      <c r="P55" s="3">
        <f>-63.67</f>
        <v>-63.67</v>
      </c>
      <c r="Q55" s="3"/>
      <c r="R55" s="23"/>
      <c r="S55" s="3"/>
      <c r="T55" s="3"/>
      <c r="U55" s="3"/>
      <c r="V55" s="23"/>
      <c r="W55" s="3"/>
      <c r="X55" s="3">
        <f t="shared" si="2"/>
        <v>-63.67</v>
      </c>
      <c r="Y55" s="3"/>
      <c r="Z55" s="23">
        <f t="shared" si="3"/>
        <v>0</v>
      </c>
    </row>
    <row r="56" spans="1:26" s="24" customFormat="1" hidden="1" outlineLevel="1" x14ac:dyDescent="0.25">
      <c r="A56" s="51"/>
      <c r="B56" s="12" t="str">
        <f>CONCATENATE("          ", "4304", " - ", "SALES RETURN NON TAXABLE-DIGIT")</f>
        <v xml:space="preserve">          4304 - SALES RETURN NON TAXABLE-DIGIT</v>
      </c>
      <c r="C56" s="12"/>
      <c r="D56" s="3">
        <f>-452.05</f>
        <v>-452.05</v>
      </c>
      <c r="E56" s="3"/>
      <c r="F56" s="23"/>
      <c r="G56" s="3"/>
      <c r="H56" s="3"/>
      <c r="I56" s="3"/>
      <c r="J56" s="23"/>
      <c r="K56" s="3"/>
      <c r="L56" s="3">
        <f t="shared" si="0"/>
        <v>-452.05</v>
      </c>
      <c r="M56" s="3"/>
      <c r="N56" s="23">
        <f t="shared" si="1"/>
        <v>0</v>
      </c>
      <c r="O56" s="12"/>
      <c r="P56" s="3">
        <f>-452.05</f>
        <v>-452.05</v>
      </c>
      <c r="Q56" s="3"/>
      <c r="R56" s="23"/>
      <c r="S56" s="3"/>
      <c r="T56" s="3"/>
      <c r="U56" s="3"/>
      <c r="V56" s="23"/>
      <c r="W56" s="3"/>
      <c r="X56" s="3">
        <f t="shared" si="2"/>
        <v>-452.05</v>
      </c>
      <c r="Y56" s="3"/>
      <c r="Z56" s="23">
        <f t="shared" si="3"/>
        <v>0</v>
      </c>
    </row>
    <row r="57" spans="1:26" s="24" customFormat="1" hidden="1" outlineLevel="1" x14ac:dyDescent="0.25">
      <c r="A57" s="51"/>
      <c r="B57" s="12" t="str">
        <f>CONCATENATE("          ", "4340", " - ", "SALES RETURN NON TAXABLE-LOGO")</f>
        <v xml:space="preserve">          4340 - SALES RETURN NON TAXABLE-LOGO</v>
      </c>
      <c r="C57" s="12"/>
      <c r="D57" s="3">
        <f>-434.24</f>
        <v>-434.24</v>
      </c>
      <c r="E57" s="3"/>
      <c r="F57" s="23"/>
      <c r="G57" s="3"/>
      <c r="H57" s="3"/>
      <c r="I57" s="3"/>
      <c r="J57" s="23"/>
      <c r="K57" s="3"/>
      <c r="L57" s="3">
        <f t="shared" si="0"/>
        <v>-434.24</v>
      </c>
      <c r="M57" s="3"/>
      <c r="N57" s="23">
        <f t="shared" si="1"/>
        <v>0</v>
      </c>
      <c r="O57" s="12"/>
      <c r="P57" s="3">
        <f>-434.24</f>
        <v>-434.24</v>
      </c>
      <c r="Q57" s="3"/>
      <c r="R57" s="23"/>
      <c r="S57" s="3"/>
      <c r="T57" s="3"/>
      <c r="U57" s="3"/>
      <c r="V57" s="23"/>
      <c r="W57" s="3"/>
      <c r="X57" s="3">
        <f t="shared" si="2"/>
        <v>-434.24</v>
      </c>
      <c r="Y57" s="3"/>
      <c r="Z57" s="23">
        <f t="shared" si="3"/>
        <v>0</v>
      </c>
    </row>
    <row r="58" spans="1:26" s="24" customFormat="1" hidden="1" outlineLevel="1" x14ac:dyDescent="0.25">
      <c r="A58" s="51"/>
      <c r="B58" s="12" t="str">
        <f>CONCATENATE("          ", "4341", " - ", "SALES RETURN NON TAXABLE-LOGO")</f>
        <v xml:space="preserve">          4341 - SALES RETURN NON TAXABLE-LOGO</v>
      </c>
      <c r="C58" s="12"/>
      <c r="D58" s="3">
        <f>-16.95</f>
        <v>-16.95</v>
      </c>
      <c r="E58" s="3"/>
      <c r="F58" s="23"/>
      <c r="G58" s="3"/>
      <c r="H58" s="3"/>
      <c r="I58" s="3"/>
      <c r="J58" s="23"/>
      <c r="K58" s="3"/>
      <c r="L58" s="3">
        <f t="shared" si="0"/>
        <v>-16.95</v>
      </c>
      <c r="M58" s="3"/>
      <c r="N58" s="23">
        <f t="shared" si="1"/>
        <v>0</v>
      </c>
      <c r="O58" s="12"/>
      <c r="P58" s="3">
        <f>-16.95</f>
        <v>-16.95</v>
      </c>
      <c r="Q58" s="3"/>
      <c r="R58" s="23"/>
      <c r="S58" s="3"/>
      <c r="T58" s="3"/>
      <c r="U58" s="3"/>
      <c r="V58" s="23"/>
      <c r="W58" s="3"/>
      <c r="X58" s="3">
        <f t="shared" si="2"/>
        <v>-16.95</v>
      </c>
      <c r="Y58" s="3"/>
      <c r="Z58" s="23">
        <f t="shared" si="3"/>
        <v>0</v>
      </c>
    </row>
    <row r="59" spans="1:26" s="24" customFormat="1" hidden="1" outlineLevel="1" x14ac:dyDescent="0.25">
      <c r="A59" s="51"/>
      <c r="B59" s="12" t="str">
        <f>CONCATENATE("          ", "4342", " - ", "SALES RETURN NON TAXABLE-EVERY")</f>
        <v xml:space="preserve">          4342 - SALES RETURN NON TAXABLE-EVERY</v>
      </c>
      <c r="C59" s="12"/>
      <c r="D59" s="3">
        <f>-79.85</f>
        <v>-79.849999999999994</v>
      </c>
      <c r="E59" s="3"/>
      <c r="F59" s="23"/>
      <c r="G59" s="3"/>
      <c r="H59" s="3"/>
      <c r="I59" s="3"/>
      <c r="J59" s="23"/>
      <c r="K59" s="3"/>
      <c r="L59" s="3">
        <f t="shared" si="0"/>
        <v>-79.849999999999994</v>
      </c>
      <c r="M59" s="3"/>
      <c r="N59" s="23">
        <f t="shared" si="1"/>
        <v>0</v>
      </c>
      <c r="O59" s="12"/>
      <c r="P59" s="3">
        <f>-79.85</f>
        <v>-79.849999999999994</v>
      </c>
      <c r="Q59" s="3"/>
      <c r="R59" s="23"/>
      <c r="S59" s="3"/>
      <c r="T59" s="3"/>
      <c r="U59" s="3"/>
      <c r="V59" s="23"/>
      <c r="W59" s="3"/>
      <c r="X59" s="3">
        <f t="shared" si="2"/>
        <v>-79.849999999999994</v>
      </c>
      <c r="Y59" s="3"/>
      <c r="Z59" s="23">
        <f t="shared" si="3"/>
        <v>0</v>
      </c>
    </row>
    <row r="60" spans="1:26" x14ac:dyDescent="0.25">
      <c r="A60" s="9"/>
      <c r="B60" s="10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2" customFormat="1" collapsed="1" x14ac:dyDescent="0.25">
      <c r="A61" s="10"/>
      <c r="B61" s="26" t="s">
        <v>8</v>
      </c>
      <c r="C61" s="10"/>
      <c r="D61" s="4">
        <f>SUM(OSRRefD16x_0)</f>
        <v>141168.40000000002</v>
      </c>
      <c r="E61" s="4"/>
      <c r="F61" s="11">
        <f t="shared" ref="F61:F84" si="4">IF(D$12=0,0,D61/D$12)</f>
        <v>0.62006458987843027</v>
      </c>
      <c r="G61" s="4"/>
      <c r="H61" s="4">
        <f>SUM(OSRRefH16x_0)</f>
        <v>155121</v>
      </c>
      <c r="I61" s="4"/>
      <c r="J61" s="11">
        <f t="shared" ref="J61:J84" si="5">IF(H$12=0,0,H61/H$12)</f>
        <v>0.51357597147407141</v>
      </c>
      <c r="K61" s="4"/>
      <c r="L61" s="4">
        <f t="shared" ref="L61:L84" si="6">+D61-H61</f>
        <v>-13952.599999999977</v>
      </c>
      <c r="M61" s="4"/>
      <c r="N61" s="11">
        <f t="shared" ref="N61:N84" si="7">IF(H61=0,0,L61/H61)</f>
        <v>-8.9946557848389175E-2</v>
      </c>
      <c r="O61" s="10"/>
      <c r="P61" s="4">
        <f>SUM(OSRRefP16x_0)</f>
        <v>141168.40000000002</v>
      </c>
      <c r="Q61" s="4"/>
      <c r="R61" s="11">
        <f t="shared" ref="R61:R84" si="8">IF(P$12=0,0,P61/P$12)</f>
        <v>0.62006458987843027</v>
      </c>
      <c r="S61" s="4"/>
      <c r="T61" s="4">
        <f>SUM(OSRRefT16x_0)</f>
        <v>155121</v>
      </c>
      <c r="U61" s="4"/>
      <c r="V61" s="11">
        <f t="shared" ref="V61:V84" si="9">IF(T$12=0,0,T61/T$12)</f>
        <v>0.51357597147407141</v>
      </c>
      <c r="W61" s="4"/>
      <c r="X61" s="4">
        <f t="shared" ref="X61:X84" si="10">+P61-T61</f>
        <v>-13952.599999999977</v>
      </c>
      <c r="Y61" s="4"/>
      <c r="Z61" s="11">
        <f t="shared" ref="Z61:Z84" si="11">IF(T61=0,0,X61/T61)</f>
        <v>-8.9946557848389175E-2</v>
      </c>
    </row>
    <row r="62" spans="1:26" s="24" customFormat="1" hidden="1" outlineLevel="1" x14ac:dyDescent="0.25">
      <c r="A62" s="51"/>
      <c r="B62" s="12" t="str">
        <f>CONCATENATE("          ", "5000", " - ", "PURCHASES @ COST")</f>
        <v xml:space="preserve">          5000 - PURCHASES @ COST</v>
      </c>
      <c r="C62" s="12"/>
      <c r="D62" s="3"/>
      <c r="E62" s="3"/>
      <c r="F62" s="23">
        <f t="shared" si="4"/>
        <v>0</v>
      </c>
      <c r="G62" s="3"/>
      <c r="H62" s="3">
        <v>155121</v>
      </c>
      <c r="I62" s="3"/>
      <c r="J62" s="23">
        <f t="shared" si="5"/>
        <v>0.51357597147407141</v>
      </c>
      <c r="K62" s="3"/>
      <c r="L62" s="3">
        <f t="shared" si="6"/>
        <v>-155121</v>
      </c>
      <c r="M62" s="3"/>
      <c r="N62" s="23">
        <f t="shared" si="7"/>
        <v>-1</v>
      </c>
      <c r="O62" s="12"/>
      <c r="P62" s="3"/>
      <c r="Q62" s="3"/>
      <c r="R62" s="23">
        <f t="shared" si="8"/>
        <v>0</v>
      </c>
      <c r="S62" s="3"/>
      <c r="T62" s="3">
        <v>155121</v>
      </c>
      <c r="U62" s="3"/>
      <c r="V62" s="23">
        <f t="shared" si="9"/>
        <v>0.51357597147407141</v>
      </c>
      <c r="W62" s="3"/>
      <c r="X62" s="3">
        <f t="shared" si="10"/>
        <v>-155121</v>
      </c>
      <c r="Y62" s="3"/>
      <c r="Z62" s="23">
        <f t="shared" si="11"/>
        <v>-1</v>
      </c>
    </row>
    <row r="63" spans="1:26" s="24" customFormat="1" hidden="1" outlineLevel="1" x14ac:dyDescent="0.25">
      <c r="A63" s="51"/>
      <c r="B63" s="12" t="str">
        <f>CONCATENATE("          ", "5001", " - ", "PURCHASES @ COST-NEW TEXT")</f>
        <v xml:space="preserve">          5001 - PURCHASES @ COST-NEW TEXT</v>
      </c>
      <c r="C63" s="12"/>
      <c r="D63" s="3">
        <v>153110.63</v>
      </c>
      <c r="E63" s="3"/>
      <c r="F63" s="23">
        <f t="shared" si="4"/>
        <v>0.67251934566785532</v>
      </c>
      <c r="G63" s="3"/>
      <c r="H63" s="3"/>
      <c r="I63" s="3"/>
      <c r="J63" s="23">
        <f t="shared" si="5"/>
        <v>0</v>
      </c>
      <c r="K63" s="3"/>
      <c r="L63" s="3">
        <f t="shared" si="6"/>
        <v>153110.63</v>
      </c>
      <c r="M63" s="3"/>
      <c r="N63" s="23">
        <f t="shared" si="7"/>
        <v>0</v>
      </c>
      <c r="O63" s="12"/>
      <c r="P63" s="3">
        <v>153110.63</v>
      </c>
      <c r="Q63" s="3"/>
      <c r="R63" s="23">
        <f t="shared" si="8"/>
        <v>0.67251934566785532</v>
      </c>
      <c r="S63" s="3"/>
      <c r="T63" s="3"/>
      <c r="U63" s="3"/>
      <c r="V63" s="23">
        <f t="shared" si="9"/>
        <v>0</v>
      </c>
      <c r="W63" s="3"/>
      <c r="X63" s="3">
        <f t="shared" si="10"/>
        <v>153110.63</v>
      </c>
      <c r="Y63" s="3"/>
      <c r="Z63" s="23">
        <f t="shared" si="11"/>
        <v>0</v>
      </c>
    </row>
    <row r="64" spans="1:26" s="24" customFormat="1" hidden="1" outlineLevel="1" x14ac:dyDescent="0.25">
      <c r="A64" s="51"/>
      <c r="B64" s="12" t="str">
        <f>CONCATENATE("          ", "5002", " - ", "PURCHASES @ COST-USED TEXT")</f>
        <v xml:space="preserve">          5002 - PURCHASES @ COST-USED TEXT</v>
      </c>
      <c r="C64" s="12"/>
      <c r="D64" s="3">
        <v>60324.850000000006</v>
      </c>
      <c r="E64" s="3"/>
      <c r="F64" s="23">
        <f t="shared" si="4"/>
        <v>0.26496937965385897</v>
      </c>
      <c r="G64" s="3"/>
      <c r="H64" s="3"/>
      <c r="I64" s="3"/>
      <c r="J64" s="23">
        <f t="shared" si="5"/>
        <v>0</v>
      </c>
      <c r="K64" s="3"/>
      <c r="L64" s="3">
        <f t="shared" si="6"/>
        <v>60324.850000000006</v>
      </c>
      <c r="M64" s="3"/>
      <c r="N64" s="23">
        <f t="shared" si="7"/>
        <v>0</v>
      </c>
      <c r="O64" s="12"/>
      <c r="P64" s="3">
        <v>60324.850000000006</v>
      </c>
      <c r="Q64" s="3"/>
      <c r="R64" s="23">
        <f t="shared" si="8"/>
        <v>0.26496937965385897</v>
      </c>
      <c r="S64" s="3"/>
      <c r="T64" s="3"/>
      <c r="U64" s="3"/>
      <c r="V64" s="23">
        <f t="shared" si="9"/>
        <v>0</v>
      </c>
      <c r="W64" s="3"/>
      <c r="X64" s="3">
        <f t="shared" si="10"/>
        <v>60324.850000000006</v>
      </c>
      <c r="Y64" s="3"/>
      <c r="Z64" s="23">
        <f t="shared" si="11"/>
        <v>0</v>
      </c>
    </row>
    <row r="65" spans="1:26" s="24" customFormat="1" hidden="1" outlineLevel="1" x14ac:dyDescent="0.25">
      <c r="A65" s="51"/>
      <c r="B65" s="12" t="str">
        <f>CONCATENATE("          ", "5003", " - ", "PURCHASES @ COST-RENTAL TEXT")</f>
        <v xml:space="preserve">          5003 - PURCHASES @ COST-RENTAL TEXT</v>
      </c>
      <c r="C65" s="12"/>
      <c r="D65" s="3">
        <v>-11926.64</v>
      </c>
      <c r="E65" s="3"/>
      <c r="F65" s="23">
        <f t="shared" si="4"/>
        <v>-5.2386278658876066E-2</v>
      </c>
      <c r="G65" s="3"/>
      <c r="H65" s="3"/>
      <c r="I65" s="3"/>
      <c r="J65" s="23">
        <f t="shared" si="5"/>
        <v>0</v>
      </c>
      <c r="K65" s="3"/>
      <c r="L65" s="3">
        <f t="shared" si="6"/>
        <v>-11926.64</v>
      </c>
      <c r="M65" s="3"/>
      <c r="N65" s="23">
        <f t="shared" si="7"/>
        <v>0</v>
      </c>
      <c r="O65" s="12"/>
      <c r="P65" s="3">
        <v>-11926.64</v>
      </c>
      <c r="Q65" s="3"/>
      <c r="R65" s="23">
        <f t="shared" si="8"/>
        <v>-5.2386278658876066E-2</v>
      </c>
      <c r="S65" s="3"/>
      <c r="T65" s="3"/>
      <c r="U65" s="3"/>
      <c r="V65" s="23">
        <f t="shared" si="9"/>
        <v>0</v>
      </c>
      <c r="W65" s="3"/>
      <c r="X65" s="3">
        <f t="shared" si="10"/>
        <v>-11926.64</v>
      </c>
      <c r="Y65" s="3"/>
      <c r="Z65" s="23">
        <f t="shared" si="11"/>
        <v>0</v>
      </c>
    </row>
    <row r="66" spans="1:26" s="24" customFormat="1" hidden="1" outlineLevel="1" x14ac:dyDescent="0.25">
      <c r="A66" s="51"/>
      <c r="B66" s="12" t="str">
        <f>CONCATENATE("          ", "5004", " - ", "PURCHASES @ COST-DIGITAL TEXT")</f>
        <v xml:space="preserve">          5004 - PURCHASES @ COST-DIGITAL TEXT</v>
      </c>
      <c r="C66" s="12"/>
      <c r="D66" s="3">
        <v>4925.4799999999996</v>
      </c>
      <c r="E66" s="3"/>
      <c r="F66" s="23">
        <f t="shared" si="4"/>
        <v>2.163455657324451E-2</v>
      </c>
      <c r="G66" s="3"/>
      <c r="H66" s="3"/>
      <c r="I66" s="3"/>
      <c r="J66" s="23">
        <f t="shared" si="5"/>
        <v>0</v>
      </c>
      <c r="K66" s="3"/>
      <c r="L66" s="3">
        <f t="shared" si="6"/>
        <v>4925.4799999999996</v>
      </c>
      <c r="M66" s="3"/>
      <c r="N66" s="23">
        <f t="shared" si="7"/>
        <v>0</v>
      </c>
      <c r="O66" s="12"/>
      <c r="P66" s="3">
        <v>4925.4799999999996</v>
      </c>
      <c r="Q66" s="3"/>
      <c r="R66" s="23">
        <f t="shared" si="8"/>
        <v>2.163455657324451E-2</v>
      </c>
      <c r="S66" s="3"/>
      <c r="T66" s="3"/>
      <c r="U66" s="3"/>
      <c r="V66" s="23">
        <f t="shared" si="9"/>
        <v>0</v>
      </c>
      <c r="W66" s="3"/>
      <c r="X66" s="3">
        <f t="shared" si="10"/>
        <v>4925.4799999999996</v>
      </c>
      <c r="Y66" s="3"/>
      <c r="Z66" s="23">
        <f t="shared" si="11"/>
        <v>0</v>
      </c>
    </row>
    <row r="67" spans="1:26" s="24" customFormat="1" hidden="1" outlineLevel="1" x14ac:dyDescent="0.25">
      <c r="A67" s="51"/>
      <c r="B67" s="12" t="str">
        <f>CONCATENATE("          ", "5013", " - ", "PURCHASES @ COST-TRADE BOOKS")</f>
        <v xml:space="preserve">          5013 - PURCHASES @ COST-TRADE BOOKS</v>
      </c>
      <c r="C67" s="12"/>
      <c r="D67" s="3">
        <v>108.54</v>
      </c>
      <c r="E67" s="3"/>
      <c r="F67" s="23">
        <f t="shared" si="4"/>
        <v>4.7674841243086142E-4</v>
      </c>
      <c r="G67" s="3"/>
      <c r="H67" s="3"/>
      <c r="I67" s="3"/>
      <c r="J67" s="23">
        <f t="shared" si="5"/>
        <v>0</v>
      </c>
      <c r="K67" s="3"/>
      <c r="L67" s="3">
        <f t="shared" si="6"/>
        <v>108.54</v>
      </c>
      <c r="M67" s="3"/>
      <c r="N67" s="23">
        <f t="shared" si="7"/>
        <v>0</v>
      </c>
      <c r="O67" s="12"/>
      <c r="P67" s="3">
        <v>108.54</v>
      </c>
      <c r="Q67" s="3"/>
      <c r="R67" s="23">
        <f t="shared" si="8"/>
        <v>4.7674841243086142E-4</v>
      </c>
      <c r="S67" s="3"/>
      <c r="T67" s="3"/>
      <c r="U67" s="3"/>
      <c r="V67" s="23">
        <f t="shared" si="9"/>
        <v>0</v>
      </c>
      <c r="W67" s="3"/>
      <c r="X67" s="3">
        <f t="shared" si="10"/>
        <v>108.54</v>
      </c>
      <c r="Y67" s="3"/>
      <c r="Z67" s="23">
        <f t="shared" si="11"/>
        <v>0</v>
      </c>
    </row>
    <row r="68" spans="1:26" s="24" customFormat="1" hidden="1" outlineLevel="1" x14ac:dyDescent="0.25">
      <c r="A68" s="51"/>
      <c r="B68" s="12" t="str">
        <f>CONCATENATE("          ", "5014", " - ", "PURCHASES @ COST-REMAINDERS")</f>
        <v xml:space="preserve">          5014 - PURCHASES @ COST-REMAINDERS</v>
      </c>
      <c r="C68" s="12"/>
      <c r="D68" s="3">
        <v>-12.51</v>
      </c>
      <c r="E68" s="3"/>
      <c r="F68" s="23">
        <f t="shared" si="4"/>
        <v>-5.494861469974273E-5</v>
      </c>
      <c r="G68" s="3"/>
      <c r="H68" s="3"/>
      <c r="I68" s="3"/>
      <c r="J68" s="23">
        <f t="shared" si="5"/>
        <v>0</v>
      </c>
      <c r="K68" s="3"/>
      <c r="L68" s="3">
        <f t="shared" si="6"/>
        <v>-12.51</v>
      </c>
      <c r="M68" s="3"/>
      <c r="N68" s="23">
        <f t="shared" si="7"/>
        <v>0</v>
      </c>
      <c r="O68" s="12"/>
      <c r="P68" s="3">
        <v>-12.51</v>
      </c>
      <c r="Q68" s="3"/>
      <c r="R68" s="23">
        <f t="shared" si="8"/>
        <v>-5.494861469974273E-5</v>
      </c>
      <c r="S68" s="3"/>
      <c r="T68" s="3"/>
      <c r="U68" s="3"/>
      <c r="V68" s="23">
        <f t="shared" si="9"/>
        <v>0</v>
      </c>
      <c r="W68" s="3"/>
      <c r="X68" s="3">
        <f t="shared" si="10"/>
        <v>-12.51</v>
      </c>
      <c r="Y68" s="3"/>
      <c r="Z68" s="23">
        <f t="shared" si="11"/>
        <v>0</v>
      </c>
    </row>
    <row r="69" spans="1:26" s="24" customFormat="1" hidden="1" outlineLevel="1" x14ac:dyDescent="0.25">
      <c r="A69" s="51"/>
      <c r="B69" s="12" t="str">
        <f>CONCATENATE("          ", "5027", " - ", "PURCHASES @ COST-SCHOOL SUPPLI")</f>
        <v xml:space="preserve">          5027 - PURCHASES @ COST-SCHOOL SUPPLI</v>
      </c>
      <c r="C69" s="12"/>
      <c r="D69" s="3">
        <v>8503.4</v>
      </c>
      <c r="E69" s="3"/>
      <c r="F69" s="23">
        <f t="shared" si="4"/>
        <v>3.7350123919887478E-2</v>
      </c>
      <c r="G69" s="3"/>
      <c r="H69" s="3"/>
      <c r="I69" s="3"/>
      <c r="J69" s="23">
        <f t="shared" si="5"/>
        <v>0</v>
      </c>
      <c r="K69" s="3"/>
      <c r="L69" s="3">
        <f t="shared" si="6"/>
        <v>8503.4</v>
      </c>
      <c r="M69" s="3"/>
      <c r="N69" s="23">
        <f t="shared" si="7"/>
        <v>0</v>
      </c>
      <c r="O69" s="12"/>
      <c r="P69" s="3">
        <v>8503.4</v>
      </c>
      <c r="Q69" s="3"/>
      <c r="R69" s="23">
        <f t="shared" si="8"/>
        <v>3.7350123919887478E-2</v>
      </c>
      <c r="S69" s="3"/>
      <c r="T69" s="3"/>
      <c r="U69" s="3"/>
      <c r="V69" s="23">
        <f t="shared" si="9"/>
        <v>0</v>
      </c>
      <c r="W69" s="3"/>
      <c r="X69" s="3">
        <f t="shared" si="10"/>
        <v>8503.4</v>
      </c>
      <c r="Y69" s="3"/>
      <c r="Z69" s="23">
        <f t="shared" si="11"/>
        <v>0</v>
      </c>
    </row>
    <row r="70" spans="1:26" s="24" customFormat="1" hidden="1" outlineLevel="1" x14ac:dyDescent="0.25">
      <c r="A70" s="51"/>
      <c r="B70" s="12" t="str">
        <f>CONCATENATE("          ", "5040", " - ", "PURCHASES @ COST-LOGO CLOTHING")</f>
        <v xml:space="preserve">          5040 - PURCHASES @ COST-LOGO CLOTHING</v>
      </c>
      <c r="C70" s="12"/>
      <c r="D70" s="3">
        <v>1723.07</v>
      </c>
      <c r="E70" s="3"/>
      <c r="F70" s="23">
        <f t="shared" si="4"/>
        <v>7.5683700664017353E-3</v>
      </c>
      <c r="G70" s="3"/>
      <c r="H70" s="3"/>
      <c r="I70" s="3"/>
      <c r="J70" s="23">
        <f t="shared" si="5"/>
        <v>0</v>
      </c>
      <c r="K70" s="3"/>
      <c r="L70" s="3">
        <f t="shared" si="6"/>
        <v>1723.07</v>
      </c>
      <c r="M70" s="3"/>
      <c r="N70" s="23">
        <f t="shared" si="7"/>
        <v>0</v>
      </c>
      <c r="O70" s="12"/>
      <c r="P70" s="3">
        <v>1723.07</v>
      </c>
      <c r="Q70" s="3"/>
      <c r="R70" s="23">
        <f t="shared" si="8"/>
        <v>7.5683700664017353E-3</v>
      </c>
      <c r="S70" s="3"/>
      <c r="T70" s="3"/>
      <c r="U70" s="3"/>
      <c r="V70" s="23">
        <f t="shared" si="9"/>
        <v>0</v>
      </c>
      <c r="W70" s="3"/>
      <c r="X70" s="3">
        <f t="shared" si="10"/>
        <v>1723.07</v>
      </c>
      <c r="Y70" s="3"/>
      <c r="Z70" s="23">
        <f t="shared" si="11"/>
        <v>0</v>
      </c>
    </row>
    <row r="71" spans="1:26" s="24" customFormat="1" hidden="1" outlineLevel="1" x14ac:dyDescent="0.25">
      <c r="A71" s="51"/>
      <c r="B71" s="12" t="str">
        <f>CONCATENATE("          ", "5041", " - ", "PURCHASES @ COST-LOGO GIFTS")</f>
        <v xml:space="preserve">          5041 - PURCHASES @ COST-LOGO GIFTS</v>
      </c>
      <c r="C71" s="12"/>
      <c r="D71" s="3">
        <v>-713.75</v>
      </c>
      <c r="E71" s="3"/>
      <c r="F71" s="23">
        <f t="shared" si="4"/>
        <v>-3.1350578530728516E-3</v>
      </c>
      <c r="G71" s="3"/>
      <c r="H71" s="3"/>
      <c r="I71" s="3"/>
      <c r="J71" s="23">
        <f t="shared" si="5"/>
        <v>0</v>
      </c>
      <c r="K71" s="3"/>
      <c r="L71" s="3">
        <f t="shared" si="6"/>
        <v>-713.75</v>
      </c>
      <c r="M71" s="3"/>
      <c r="N71" s="23">
        <f t="shared" si="7"/>
        <v>0</v>
      </c>
      <c r="O71" s="12"/>
      <c r="P71" s="3">
        <v>-713.75</v>
      </c>
      <c r="Q71" s="3"/>
      <c r="R71" s="23">
        <f t="shared" si="8"/>
        <v>-3.1350578530728516E-3</v>
      </c>
      <c r="S71" s="3"/>
      <c r="T71" s="3"/>
      <c r="U71" s="3"/>
      <c r="V71" s="23">
        <f t="shared" si="9"/>
        <v>0</v>
      </c>
      <c r="W71" s="3"/>
      <c r="X71" s="3">
        <f t="shared" si="10"/>
        <v>-713.75</v>
      </c>
      <c r="Y71" s="3"/>
      <c r="Z71" s="23">
        <f t="shared" si="11"/>
        <v>0</v>
      </c>
    </row>
    <row r="72" spans="1:26" s="24" customFormat="1" hidden="1" outlineLevel="1" x14ac:dyDescent="0.25">
      <c r="A72" s="51"/>
      <c r="B72" s="12" t="str">
        <f>CONCATENATE("          ", "5042", " - ", "PURCHASES @ COST-EVERYDAY GIFT")</f>
        <v xml:space="preserve">          5042 - PURCHASES @ COST-EVERYDAY GIFT</v>
      </c>
      <c r="C72" s="12"/>
      <c r="D72" s="3">
        <v>236.16</v>
      </c>
      <c r="E72" s="3"/>
      <c r="F72" s="23">
        <f t="shared" si="4"/>
        <v>1.0373033451232009E-3</v>
      </c>
      <c r="G72" s="3"/>
      <c r="H72" s="3"/>
      <c r="I72" s="3"/>
      <c r="J72" s="23">
        <f t="shared" si="5"/>
        <v>0</v>
      </c>
      <c r="K72" s="3"/>
      <c r="L72" s="3">
        <f t="shared" si="6"/>
        <v>236.16</v>
      </c>
      <c r="M72" s="3"/>
      <c r="N72" s="23">
        <f t="shared" si="7"/>
        <v>0</v>
      </c>
      <c r="O72" s="12"/>
      <c r="P72" s="3">
        <v>236.16</v>
      </c>
      <c r="Q72" s="3"/>
      <c r="R72" s="23">
        <f t="shared" si="8"/>
        <v>1.0373033451232009E-3</v>
      </c>
      <c r="S72" s="3"/>
      <c r="T72" s="3"/>
      <c r="U72" s="3"/>
      <c r="V72" s="23">
        <f t="shared" si="9"/>
        <v>0</v>
      </c>
      <c r="W72" s="3"/>
      <c r="X72" s="3">
        <f t="shared" si="10"/>
        <v>236.16</v>
      </c>
      <c r="Y72" s="3"/>
      <c r="Z72" s="23">
        <f t="shared" si="11"/>
        <v>0</v>
      </c>
    </row>
    <row r="73" spans="1:26" s="24" customFormat="1" hidden="1" outlineLevel="1" x14ac:dyDescent="0.25">
      <c r="A73" s="51"/>
      <c r="B73" s="12" t="str">
        <f>CONCATENATE("          ", "5043", " - ", "PURCHASES @ COST-CARDS")</f>
        <v xml:space="preserve">          5043 - PURCHASES @ COST-CARDS</v>
      </c>
      <c r="C73" s="12"/>
      <c r="D73" s="3">
        <v>308.7</v>
      </c>
      <c r="E73" s="3"/>
      <c r="F73" s="23">
        <f t="shared" si="4"/>
        <v>1.355926247626745E-3</v>
      </c>
      <c r="G73" s="3"/>
      <c r="H73" s="3"/>
      <c r="I73" s="3"/>
      <c r="J73" s="23">
        <f t="shared" si="5"/>
        <v>0</v>
      </c>
      <c r="K73" s="3"/>
      <c r="L73" s="3">
        <f t="shared" si="6"/>
        <v>308.7</v>
      </c>
      <c r="M73" s="3"/>
      <c r="N73" s="23">
        <f t="shared" si="7"/>
        <v>0</v>
      </c>
      <c r="O73" s="12"/>
      <c r="P73" s="3">
        <v>308.7</v>
      </c>
      <c r="Q73" s="3"/>
      <c r="R73" s="23">
        <f t="shared" si="8"/>
        <v>1.355926247626745E-3</v>
      </c>
      <c r="S73" s="3"/>
      <c r="T73" s="3"/>
      <c r="U73" s="3"/>
      <c r="V73" s="23">
        <f t="shared" si="9"/>
        <v>0</v>
      </c>
      <c r="W73" s="3"/>
      <c r="X73" s="3">
        <f t="shared" si="10"/>
        <v>308.7</v>
      </c>
      <c r="Y73" s="3"/>
      <c r="Z73" s="23">
        <f t="shared" si="11"/>
        <v>0</v>
      </c>
    </row>
    <row r="74" spans="1:26" s="24" customFormat="1" hidden="1" outlineLevel="1" x14ac:dyDescent="0.25">
      <c r="A74" s="51"/>
      <c r="B74" s="12" t="str">
        <f>CONCATENATE("          ", "5045", " - ", "PURCHASES @ COST-SPECIAL ORDER")</f>
        <v xml:space="preserve">          5045 - PURCHASES @ COST-SPECIAL ORDER</v>
      </c>
      <c r="C74" s="12"/>
      <c r="D74" s="3">
        <v>2756.21</v>
      </c>
      <c r="E74" s="3"/>
      <c r="F74" s="23">
        <f t="shared" si="4"/>
        <v>1.2106308658799194E-2</v>
      </c>
      <c r="G74" s="3"/>
      <c r="H74" s="3"/>
      <c r="I74" s="3"/>
      <c r="J74" s="23">
        <f t="shared" si="5"/>
        <v>0</v>
      </c>
      <c r="K74" s="3"/>
      <c r="L74" s="3">
        <f t="shared" si="6"/>
        <v>2756.21</v>
      </c>
      <c r="M74" s="3"/>
      <c r="N74" s="23">
        <f t="shared" si="7"/>
        <v>0</v>
      </c>
      <c r="O74" s="12"/>
      <c r="P74" s="3">
        <v>2756.21</v>
      </c>
      <c r="Q74" s="3"/>
      <c r="R74" s="23">
        <f t="shared" si="8"/>
        <v>1.2106308658799194E-2</v>
      </c>
      <c r="S74" s="3"/>
      <c r="T74" s="3"/>
      <c r="U74" s="3"/>
      <c r="V74" s="23">
        <f t="shared" si="9"/>
        <v>0</v>
      </c>
      <c r="W74" s="3"/>
      <c r="X74" s="3">
        <f t="shared" si="10"/>
        <v>2756.21</v>
      </c>
      <c r="Y74" s="3"/>
      <c r="Z74" s="23">
        <f t="shared" si="11"/>
        <v>0</v>
      </c>
    </row>
    <row r="75" spans="1:26" s="24" customFormat="1" hidden="1" outlineLevel="1" x14ac:dyDescent="0.25">
      <c r="A75" s="51"/>
      <c r="B75" s="12" t="str">
        <f>CONCATENATE("          ", "5053", " - ", "PURCHASES @ COST-FOOD")</f>
        <v xml:space="preserve">          5053 - PURCHASES @ COST-FOOD</v>
      </c>
      <c r="C75" s="12"/>
      <c r="D75" s="3">
        <v>-226.87</v>
      </c>
      <c r="E75" s="3"/>
      <c r="F75" s="23">
        <f t="shared" si="4"/>
        <v>-9.9649817881140162E-4</v>
      </c>
      <c r="G75" s="3"/>
      <c r="H75" s="3"/>
      <c r="I75" s="3"/>
      <c r="J75" s="23">
        <f t="shared" si="5"/>
        <v>0</v>
      </c>
      <c r="K75" s="3"/>
      <c r="L75" s="3">
        <f t="shared" si="6"/>
        <v>-226.87</v>
      </c>
      <c r="M75" s="3"/>
      <c r="N75" s="23">
        <f t="shared" si="7"/>
        <v>0</v>
      </c>
      <c r="O75" s="12"/>
      <c r="P75" s="3">
        <v>-226.87</v>
      </c>
      <c r="Q75" s="3"/>
      <c r="R75" s="23">
        <f t="shared" si="8"/>
        <v>-9.9649817881140162E-4</v>
      </c>
      <c r="S75" s="3"/>
      <c r="T75" s="3"/>
      <c r="U75" s="3"/>
      <c r="V75" s="23">
        <f t="shared" si="9"/>
        <v>0</v>
      </c>
      <c r="W75" s="3"/>
      <c r="X75" s="3">
        <f t="shared" si="10"/>
        <v>-226.87</v>
      </c>
      <c r="Y75" s="3"/>
      <c r="Z75" s="23">
        <f t="shared" si="11"/>
        <v>0</v>
      </c>
    </row>
    <row r="76" spans="1:26" s="24" customFormat="1" hidden="1" outlineLevel="1" x14ac:dyDescent="0.25">
      <c r="A76" s="51"/>
      <c r="B76" s="12" t="str">
        <f>CONCATENATE("          ", "5200", " - ", "PURCHASES OFFSET")</f>
        <v xml:space="preserve">          5200 - PURCHASES OFFSET</v>
      </c>
      <c r="C76" s="12"/>
      <c r="D76" s="3">
        <v>-215765.28</v>
      </c>
      <c r="E76" s="3"/>
      <c r="F76" s="23">
        <f t="shared" si="4"/>
        <v>-0.94772208123917712</v>
      </c>
      <c r="G76" s="3"/>
      <c r="H76" s="3"/>
      <c r="I76" s="3"/>
      <c r="J76" s="23">
        <f t="shared" si="5"/>
        <v>0</v>
      </c>
      <c r="K76" s="3"/>
      <c r="L76" s="3">
        <f t="shared" si="6"/>
        <v>-215765.28</v>
      </c>
      <c r="M76" s="3"/>
      <c r="N76" s="23">
        <f t="shared" si="7"/>
        <v>0</v>
      </c>
      <c r="O76" s="12"/>
      <c r="P76" s="3">
        <v>-215765.28</v>
      </c>
      <c r="Q76" s="3"/>
      <c r="R76" s="23">
        <f t="shared" si="8"/>
        <v>-0.94772208123917712</v>
      </c>
      <c r="S76" s="3"/>
      <c r="T76" s="3"/>
      <c r="U76" s="3"/>
      <c r="V76" s="23">
        <f t="shared" si="9"/>
        <v>0</v>
      </c>
      <c r="W76" s="3"/>
      <c r="X76" s="3">
        <f t="shared" si="10"/>
        <v>-215765.28</v>
      </c>
      <c r="Y76" s="3"/>
      <c r="Z76" s="23">
        <f t="shared" si="11"/>
        <v>0</v>
      </c>
    </row>
    <row r="77" spans="1:26" s="24" customFormat="1" hidden="1" outlineLevel="1" x14ac:dyDescent="0.25">
      <c r="A77" s="51"/>
      <c r="B77" s="12" t="str">
        <f>CONCATENATE("          ", "5300", " - ", "COG$ OFFSET")</f>
        <v xml:space="preserve">          5300 - COG$ OFFSET</v>
      </c>
      <c r="C77" s="12"/>
      <c r="D77" s="3">
        <v>135628</v>
      </c>
      <c r="E77" s="3"/>
      <c r="F77" s="23">
        <f t="shared" si="4"/>
        <v>0.59572907390061602</v>
      </c>
      <c r="G77" s="3"/>
      <c r="H77" s="3"/>
      <c r="I77" s="3"/>
      <c r="J77" s="23">
        <f t="shared" si="5"/>
        <v>0</v>
      </c>
      <c r="K77" s="3"/>
      <c r="L77" s="3">
        <f t="shared" si="6"/>
        <v>135628</v>
      </c>
      <c r="M77" s="3"/>
      <c r="N77" s="23">
        <f t="shared" si="7"/>
        <v>0</v>
      </c>
      <c r="O77" s="12"/>
      <c r="P77" s="3">
        <v>135628</v>
      </c>
      <c r="Q77" s="3"/>
      <c r="R77" s="23">
        <f t="shared" si="8"/>
        <v>0.59572907390061602</v>
      </c>
      <c r="S77" s="3"/>
      <c r="T77" s="3"/>
      <c r="U77" s="3"/>
      <c r="V77" s="23">
        <f t="shared" si="9"/>
        <v>0</v>
      </c>
      <c r="W77" s="3"/>
      <c r="X77" s="3">
        <f t="shared" si="10"/>
        <v>135628</v>
      </c>
      <c r="Y77" s="3"/>
      <c r="Z77" s="23">
        <f t="shared" si="11"/>
        <v>0</v>
      </c>
    </row>
    <row r="78" spans="1:26" s="24" customFormat="1" hidden="1" outlineLevel="1" x14ac:dyDescent="0.25">
      <c r="A78" s="51"/>
      <c r="B78" s="12" t="str">
        <f>CONCATENATE("          ", "5501", " - ", "FREIGHT-IN-NEW TEXT")</f>
        <v xml:space="preserve">          5501 - FREIGHT-IN-NEW TEXT</v>
      </c>
      <c r="C78" s="12"/>
      <c r="D78" s="3">
        <v>802.72</v>
      </c>
      <c r="E78" s="3"/>
      <c r="F78" s="23">
        <f t="shared" si="4"/>
        <v>3.5258474813571134E-3</v>
      </c>
      <c r="G78" s="3"/>
      <c r="H78" s="3"/>
      <c r="I78" s="3"/>
      <c r="J78" s="23">
        <f t="shared" si="5"/>
        <v>0</v>
      </c>
      <c r="K78" s="3"/>
      <c r="L78" s="3">
        <f t="shared" si="6"/>
        <v>802.72</v>
      </c>
      <c r="M78" s="3"/>
      <c r="N78" s="23">
        <f t="shared" si="7"/>
        <v>0</v>
      </c>
      <c r="O78" s="12"/>
      <c r="P78" s="3">
        <v>802.72</v>
      </c>
      <c r="Q78" s="3"/>
      <c r="R78" s="23">
        <f t="shared" si="8"/>
        <v>3.5258474813571134E-3</v>
      </c>
      <c r="S78" s="3"/>
      <c r="T78" s="3"/>
      <c r="U78" s="3"/>
      <c r="V78" s="23">
        <f t="shared" si="9"/>
        <v>0</v>
      </c>
      <c r="W78" s="3"/>
      <c r="X78" s="3">
        <f t="shared" si="10"/>
        <v>802.72</v>
      </c>
      <c r="Y78" s="3"/>
      <c r="Z78" s="23">
        <f t="shared" si="11"/>
        <v>0</v>
      </c>
    </row>
    <row r="79" spans="1:26" s="24" customFormat="1" hidden="1" outlineLevel="1" x14ac:dyDescent="0.25">
      <c r="A79" s="51"/>
      <c r="B79" s="12" t="str">
        <f>CONCATENATE("          ", "5502", " - ", "FREIGHT-IN-USED TEXT")</f>
        <v xml:space="preserve">          5502 - FREIGHT-IN-USED TEXT</v>
      </c>
      <c r="C79" s="12"/>
      <c r="D79" s="3">
        <v>47.89</v>
      </c>
      <c r="E79" s="3"/>
      <c r="F79" s="23">
        <f t="shared" si="4"/>
        <v>2.1035085195608949E-4</v>
      </c>
      <c r="G79" s="3"/>
      <c r="H79" s="3"/>
      <c r="I79" s="3"/>
      <c r="J79" s="23">
        <f t="shared" si="5"/>
        <v>0</v>
      </c>
      <c r="K79" s="3"/>
      <c r="L79" s="3">
        <f t="shared" si="6"/>
        <v>47.89</v>
      </c>
      <c r="M79" s="3"/>
      <c r="N79" s="23">
        <f t="shared" si="7"/>
        <v>0</v>
      </c>
      <c r="O79" s="12"/>
      <c r="P79" s="3">
        <v>47.89</v>
      </c>
      <c r="Q79" s="3"/>
      <c r="R79" s="23">
        <f t="shared" si="8"/>
        <v>2.1035085195608949E-4</v>
      </c>
      <c r="S79" s="3"/>
      <c r="T79" s="3"/>
      <c r="U79" s="3"/>
      <c r="V79" s="23">
        <f t="shared" si="9"/>
        <v>0</v>
      </c>
      <c r="W79" s="3"/>
      <c r="X79" s="3">
        <f t="shared" si="10"/>
        <v>47.89</v>
      </c>
      <c r="Y79" s="3"/>
      <c r="Z79" s="23">
        <f t="shared" si="11"/>
        <v>0</v>
      </c>
    </row>
    <row r="80" spans="1:26" s="24" customFormat="1" hidden="1" outlineLevel="1" x14ac:dyDescent="0.25">
      <c r="A80" s="51"/>
      <c r="B80" s="12" t="str">
        <f>CONCATENATE("          ", "5528", " - ", "FREIGHT-IN-ART/TECH")</f>
        <v xml:space="preserve">          5528 - FREIGHT-IN-ART/TECH</v>
      </c>
      <c r="C80" s="12"/>
      <c r="D80" s="3">
        <v>38.049999999999997</v>
      </c>
      <c r="E80" s="3"/>
      <c r="F80" s="23">
        <f t="shared" si="4"/>
        <v>1.6712987924262277E-4</v>
      </c>
      <c r="G80" s="3"/>
      <c r="H80" s="3"/>
      <c r="I80" s="3"/>
      <c r="J80" s="23">
        <f t="shared" si="5"/>
        <v>0</v>
      </c>
      <c r="K80" s="3"/>
      <c r="L80" s="3">
        <f t="shared" si="6"/>
        <v>38.049999999999997</v>
      </c>
      <c r="M80" s="3"/>
      <c r="N80" s="23">
        <f t="shared" si="7"/>
        <v>0</v>
      </c>
      <c r="O80" s="12"/>
      <c r="P80" s="3">
        <v>38.049999999999997</v>
      </c>
      <c r="Q80" s="3"/>
      <c r="R80" s="23">
        <f t="shared" si="8"/>
        <v>1.6712987924262277E-4</v>
      </c>
      <c r="S80" s="3"/>
      <c r="T80" s="3"/>
      <c r="U80" s="3"/>
      <c r="V80" s="23">
        <f t="shared" si="9"/>
        <v>0</v>
      </c>
      <c r="W80" s="3"/>
      <c r="X80" s="3">
        <f t="shared" si="10"/>
        <v>38.049999999999997</v>
      </c>
      <c r="Y80" s="3"/>
      <c r="Z80" s="23">
        <f t="shared" si="11"/>
        <v>0</v>
      </c>
    </row>
    <row r="81" spans="1:26" s="24" customFormat="1" hidden="1" outlineLevel="1" x14ac:dyDescent="0.25">
      <c r="A81" s="51"/>
      <c r="B81" s="12" t="str">
        <f>CONCATENATE("          ", "5540", " - ", "FREIGHT-IN-LOGO CLOTHING")</f>
        <v xml:space="preserve">          5540 - FREIGHT-IN-LOGO CLOTHING</v>
      </c>
      <c r="C81" s="12"/>
      <c r="D81" s="3">
        <v>909.83</v>
      </c>
      <c r="E81" s="3"/>
      <c r="F81" s="23">
        <f t="shared" si="4"/>
        <v>3.9963147971436392E-3</v>
      </c>
      <c r="G81" s="3"/>
      <c r="H81" s="3"/>
      <c r="I81" s="3"/>
      <c r="J81" s="23">
        <f t="shared" si="5"/>
        <v>0</v>
      </c>
      <c r="K81" s="3"/>
      <c r="L81" s="3">
        <f t="shared" si="6"/>
        <v>909.83</v>
      </c>
      <c r="M81" s="3"/>
      <c r="N81" s="23">
        <f t="shared" si="7"/>
        <v>0</v>
      </c>
      <c r="O81" s="12"/>
      <c r="P81" s="3">
        <v>909.83</v>
      </c>
      <c r="Q81" s="3"/>
      <c r="R81" s="23">
        <f t="shared" si="8"/>
        <v>3.9963147971436392E-3</v>
      </c>
      <c r="S81" s="3"/>
      <c r="T81" s="3"/>
      <c r="U81" s="3"/>
      <c r="V81" s="23">
        <f t="shared" si="9"/>
        <v>0</v>
      </c>
      <c r="W81" s="3"/>
      <c r="X81" s="3">
        <f t="shared" si="10"/>
        <v>909.83</v>
      </c>
      <c r="Y81" s="3"/>
      <c r="Z81" s="23">
        <f t="shared" si="11"/>
        <v>0</v>
      </c>
    </row>
    <row r="82" spans="1:26" s="24" customFormat="1" hidden="1" outlineLevel="1" x14ac:dyDescent="0.25">
      <c r="A82" s="51"/>
      <c r="B82" s="12" t="str">
        <f>CONCATENATE("          ", "5541", " - ", "FREIGHT-IN-LOGO GIFTS")</f>
        <v xml:space="preserve">          5541 - FREIGHT-IN-LOGO GIFTS</v>
      </c>
      <c r="C82" s="12"/>
      <c r="D82" s="3">
        <v>83.58</v>
      </c>
      <c r="E82" s="3"/>
      <c r="F82" s="23">
        <f t="shared" si="4"/>
        <v>3.6711472554792148E-4</v>
      </c>
      <c r="G82" s="3"/>
      <c r="H82" s="3"/>
      <c r="I82" s="3"/>
      <c r="J82" s="23">
        <f t="shared" si="5"/>
        <v>0</v>
      </c>
      <c r="K82" s="3"/>
      <c r="L82" s="3">
        <f t="shared" si="6"/>
        <v>83.58</v>
      </c>
      <c r="M82" s="3"/>
      <c r="N82" s="23">
        <f t="shared" si="7"/>
        <v>0</v>
      </c>
      <c r="O82" s="12"/>
      <c r="P82" s="3">
        <v>83.58</v>
      </c>
      <c r="Q82" s="3"/>
      <c r="R82" s="23">
        <f t="shared" si="8"/>
        <v>3.6711472554792148E-4</v>
      </c>
      <c r="S82" s="3"/>
      <c r="T82" s="3"/>
      <c r="U82" s="3"/>
      <c r="V82" s="23">
        <f t="shared" si="9"/>
        <v>0</v>
      </c>
      <c r="W82" s="3"/>
      <c r="X82" s="3">
        <f t="shared" si="10"/>
        <v>83.58</v>
      </c>
      <c r="Y82" s="3"/>
      <c r="Z82" s="23">
        <f t="shared" si="11"/>
        <v>0</v>
      </c>
    </row>
    <row r="83" spans="1:26" s="24" customFormat="1" hidden="1" outlineLevel="1" x14ac:dyDescent="0.25">
      <c r="A83" s="51"/>
      <c r="B83" s="12" t="str">
        <f>CONCATENATE("          ", "5542", " - ", "FREIGHT-IN-EVERYDAY GIFTS")</f>
        <v xml:space="preserve">          5542 - FREIGHT-IN-EVERYDAY GIFTS</v>
      </c>
      <c r="C83" s="12"/>
      <c r="D83" s="3">
        <v>5.94</v>
      </c>
      <c r="E83" s="3"/>
      <c r="F83" s="23">
        <f t="shared" si="4"/>
        <v>2.6090709138007341E-5</v>
      </c>
      <c r="G83" s="3"/>
      <c r="H83" s="3"/>
      <c r="I83" s="3"/>
      <c r="J83" s="23">
        <f t="shared" si="5"/>
        <v>0</v>
      </c>
      <c r="K83" s="3"/>
      <c r="L83" s="3">
        <f t="shared" si="6"/>
        <v>5.94</v>
      </c>
      <c r="M83" s="3"/>
      <c r="N83" s="23">
        <f t="shared" si="7"/>
        <v>0</v>
      </c>
      <c r="O83" s="12"/>
      <c r="P83" s="3">
        <v>5.94</v>
      </c>
      <c r="Q83" s="3"/>
      <c r="R83" s="23">
        <f t="shared" si="8"/>
        <v>2.6090709138007341E-5</v>
      </c>
      <c r="S83" s="3"/>
      <c r="T83" s="3"/>
      <c r="U83" s="3"/>
      <c r="V83" s="23">
        <f t="shared" si="9"/>
        <v>0</v>
      </c>
      <c r="W83" s="3"/>
      <c r="X83" s="3">
        <f t="shared" si="10"/>
        <v>5.94</v>
      </c>
      <c r="Y83" s="3"/>
      <c r="Z83" s="23">
        <f t="shared" si="11"/>
        <v>0</v>
      </c>
    </row>
    <row r="84" spans="1:26" s="24" customFormat="1" hidden="1" outlineLevel="1" x14ac:dyDescent="0.25">
      <c r="A84" s="51"/>
      <c r="B84" s="12" t="str">
        <f>CONCATENATE("          ", "5545", " - ", "FREIGHT-IN-SPECIAL ORDERS")</f>
        <v xml:space="preserve">          5545 - FREIGHT-IN-SPECIAL ORDERS</v>
      </c>
      <c r="C84" s="12"/>
      <c r="D84" s="3">
        <v>300.39999999999998</v>
      </c>
      <c r="E84" s="3"/>
      <c r="F84" s="23">
        <f t="shared" si="4"/>
        <v>1.3194695328379469E-3</v>
      </c>
      <c r="G84" s="3"/>
      <c r="H84" s="3"/>
      <c r="I84" s="3"/>
      <c r="J84" s="23">
        <f t="shared" si="5"/>
        <v>0</v>
      </c>
      <c r="K84" s="3"/>
      <c r="L84" s="3">
        <f t="shared" si="6"/>
        <v>300.39999999999998</v>
      </c>
      <c r="M84" s="3"/>
      <c r="N84" s="23">
        <f t="shared" si="7"/>
        <v>0</v>
      </c>
      <c r="O84" s="12"/>
      <c r="P84" s="3">
        <v>300.39999999999998</v>
      </c>
      <c r="Q84" s="3"/>
      <c r="R84" s="23">
        <f t="shared" si="8"/>
        <v>1.3194695328379469E-3</v>
      </c>
      <c r="S84" s="3"/>
      <c r="T84" s="3"/>
      <c r="U84" s="3"/>
      <c r="V84" s="23">
        <f t="shared" si="9"/>
        <v>0</v>
      </c>
      <c r="W84" s="3"/>
      <c r="X84" s="3">
        <f t="shared" si="10"/>
        <v>300.39999999999998</v>
      </c>
      <c r="Y84" s="3"/>
      <c r="Z84" s="23">
        <f t="shared" si="11"/>
        <v>0</v>
      </c>
    </row>
    <row r="85" spans="1:26" x14ac:dyDescent="0.25">
      <c r="A85" s="9"/>
      <c r="B85" s="10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10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2" customFormat="1" x14ac:dyDescent="0.25">
      <c r="A86" s="10"/>
      <c r="B86" s="25" t="s">
        <v>6</v>
      </c>
      <c r="C86" s="25"/>
      <c r="D86" s="21">
        <f>D12-D61</f>
        <v>86498.849999999919</v>
      </c>
      <c r="E86" s="13"/>
      <c r="F86" s="20">
        <f>IF(D$12=0,0,D86/D$12)</f>
        <v>0.37993541012156973</v>
      </c>
      <c r="G86" s="13"/>
      <c r="H86" s="21">
        <f>H12-H61</f>
        <v>146920</v>
      </c>
      <c r="I86" s="13"/>
      <c r="J86" s="20">
        <f>IF(H$12=0,0,H86/H$12)</f>
        <v>0.48642402852592859</v>
      </c>
      <c r="K86" s="15"/>
      <c r="L86" s="21">
        <f>+D86-H86</f>
        <v>-60421.150000000081</v>
      </c>
      <c r="M86" s="15"/>
      <c r="N86" s="20">
        <f>IF(H86=0,0,L86/H86)</f>
        <v>-0.41125204192758019</v>
      </c>
      <c r="O86" s="26"/>
      <c r="P86" s="21">
        <f>P12-P61</f>
        <v>86498.849999999919</v>
      </c>
      <c r="Q86" s="13"/>
      <c r="R86" s="20">
        <f>IF(P$12=0,0,P86/P$12)</f>
        <v>0.37993541012156973</v>
      </c>
      <c r="S86" s="13"/>
      <c r="T86" s="21">
        <f>T12-T61</f>
        <v>146920</v>
      </c>
      <c r="U86" s="13"/>
      <c r="V86" s="20">
        <f>IF(T$12=0,0,T86/T$12)</f>
        <v>0.48642402852592859</v>
      </c>
      <c r="W86" s="15"/>
      <c r="X86" s="21">
        <f>+P86-T86</f>
        <v>-60421.150000000081</v>
      </c>
      <c r="Y86" s="15"/>
      <c r="Z86" s="20">
        <f>IF(T86=0,0,X86/T86)</f>
        <v>-0.41125204192758019</v>
      </c>
    </row>
    <row r="87" spans="1:26" x14ac:dyDescent="0.25">
      <c r="A87" s="9"/>
      <c r="B87" s="10"/>
      <c r="C87" s="9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2" customFormat="1" x14ac:dyDescent="0.25">
      <c r="A88" s="10"/>
      <c r="B88" s="26" t="s">
        <v>9</v>
      </c>
      <c r="C88" s="10"/>
      <c r="D88" s="19">
        <f>SUM(OSRRefD22x_0)</f>
        <v>353875.88</v>
      </c>
      <c r="E88" s="19"/>
      <c r="F88" s="31">
        <f t="shared" ref="F88:F99" si="12">IF(D$12=0,0,D88/D$12)</f>
        <v>1.554355665999392</v>
      </c>
      <c r="G88" s="19"/>
      <c r="H88" s="19">
        <f>SUM(OSRRefH22x_0)</f>
        <v>425143.53746014432</v>
      </c>
      <c r="I88" s="19"/>
      <c r="J88" s="31">
        <f t="shared" ref="J88:J99" si="13">IF(H$12=0,0,H88/H$12)</f>
        <v>1.4075689640152971</v>
      </c>
      <c r="K88" s="4"/>
      <c r="L88" s="19">
        <f t="shared" ref="L88:L99" si="14">+D88-H88</f>
        <v>-71267.657460144314</v>
      </c>
      <c r="M88" s="4"/>
      <c r="N88" s="31">
        <f t="shared" ref="N88:N99" si="15">IF(H88=0,0,L88/H88)</f>
        <v>-0.16763199056465819</v>
      </c>
      <c r="O88" s="10"/>
      <c r="P88" s="19">
        <f>SUM(OSRRefP22x_0)</f>
        <v>353875.88</v>
      </c>
      <c r="Q88" s="19"/>
      <c r="R88" s="31">
        <f t="shared" ref="R88:R99" si="16">IF(P$12=0,0,P88/P$12)</f>
        <v>1.554355665999392</v>
      </c>
      <c r="S88" s="19"/>
      <c r="T88" s="19">
        <f>SUM(OSRRefT22x_0)</f>
        <v>425143.53746014432</v>
      </c>
      <c r="U88" s="19"/>
      <c r="V88" s="31">
        <f t="shared" ref="V88:V99" si="17">IF(T$12=0,0,T88/T$12)</f>
        <v>1.4075689640152971</v>
      </c>
      <c r="W88" s="4"/>
      <c r="X88" s="19">
        <f t="shared" ref="X88:X99" si="18">+P88-T88</f>
        <v>-71267.657460144314</v>
      </c>
      <c r="Y88" s="4"/>
      <c r="Z88" s="31">
        <f t="shared" ref="Z88:Z99" si="19">IF(T88=0,0,X88/T88)</f>
        <v>-0.16763199056465819</v>
      </c>
    </row>
    <row r="89" spans="1:26" s="29" customFormat="1" outlineLevel="1" collapsed="1" x14ac:dyDescent="0.25">
      <c r="A89" s="28"/>
      <c r="B89" s="14" t="str">
        <f>CONCATENATE("     ","*Benefits                                         ")</f>
        <v xml:space="preserve">     *Benefits                                         </v>
      </c>
      <c r="C89" s="14"/>
      <c r="D89" s="1">
        <f>SUM(OSRRefD22_0x_0)</f>
        <v>49661.67</v>
      </c>
      <c r="E89" s="1"/>
      <c r="F89" s="5">
        <f t="shared" si="12"/>
        <v>0.21813269146089309</v>
      </c>
      <c r="G89" s="1"/>
      <c r="H89" s="1">
        <f>SUM(OSRRefH22_0x_0)</f>
        <v>58982.515232451908</v>
      </c>
      <c r="I89" s="1"/>
      <c r="J89" s="5">
        <f t="shared" si="13"/>
        <v>0.19527983032916693</v>
      </c>
      <c r="K89" s="1"/>
      <c r="L89" s="1">
        <f t="shared" si="14"/>
        <v>-9320.8452324519094</v>
      </c>
      <c r="M89" s="1"/>
      <c r="N89" s="5">
        <f t="shared" si="15"/>
        <v>-0.15802725936183243</v>
      </c>
      <c r="O89" s="14"/>
      <c r="P89" s="1">
        <f>SUM(OSRRefP22_0x_0)</f>
        <v>49661.67</v>
      </c>
      <c r="Q89" s="1"/>
      <c r="R89" s="5">
        <f t="shared" si="16"/>
        <v>0.21813269146089309</v>
      </c>
      <c r="S89" s="1"/>
      <c r="T89" s="1">
        <f>SUM(OSRRefT22_0x_0)</f>
        <v>58982.515232451908</v>
      </c>
      <c r="U89" s="1"/>
      <c r="V89" s="5">
        <f t="shared" si="17"/>
        <v>0.19527983032916693</v>
      </c>
      <c r="W89" s="1"/>
      <c r="X89" s="1">
        <f t="shared" si="18"/>
        <v>-9320.8452324519094</v>
      </c>
      <c r="Y89" s="1"/>
      <c r="Z89" s="5">
        <f t="shared" si="19"/>
        <v>-0.15802725936183243</v>
      </c>
    </row>
    <row r="90" spans="1:26" s="24" customFormat="1" hidden="1" outlineLevel="2" x14ac:dyDescent="0.25">
      <c r="A90" s="27"/>
      <c r="B90" s="12" t="str">
        <f>CONCATENATE("          ", "6111", " - ", "F.I.C.A.")</f>
        <v xml:space="preserve">          6111 - F.I.C.A.</v>
      </c>
      <c r="C90" s="12"/>
      <c r="D90" s="7">
        <v>8428.1200000000008</v>
      </c>
      <c r="E90" s="3"/>
      <c r="F90" s="8">
        <f t="shared" si="12"/>
        <v>3.7019465909128357E-2</v>
      </c>
      <c r="G90" s="3"/>
      <c r="H90" s="7">
        <v>13693.831161778844</v>
      </c>
      <c r="I90" s="3"/>
      <c r="J90" s="8">
        <f t="shared" si="13"/>
        <v>4.5337656681638729E-2</v>
      </c>
      <c r="K90" s="3"/>
      <c r="L90" s="7">
        <f t="shared" si="14"/>
        <v>-5265.7111617788432</v>
      </c>
      <c r="M90" s="3"/>
      <c r="N90" s="8">
        <f t="shared" si="15"/>
        <v>-0.38453162592482421</v>
      </c>
      <c r="O90" s="12"/>
      <c r="P90" s="7">
        <v>8428.1200000000008</v>
      </c>
      <c r="Q90" s="3"/>
      <c r="R90" s="8">
        <f t="shared" si="16"/>
        <v>3.7019465909128357E-2</v>
      </c>
      <c r="S90" s="3"/>
      <c r="T90" s="7">
        <v>13693.831161778844</v>
      </c>
      <c r="U90" s="3"/>
      <c r="V90" s="8">
        <f t="shared" si="17"/>
        <v>4.5337656681638729E-2</v>
      </c>
      <c r="W90" s="3"/>
      <c r="X90" s="7">
        <f t="shared" si="18"/>
        <v>-5265.7111617788432</v>
      </c>
      <c r="Y90" s="3"/>
      <c r="Z90" s="8">
        <f t="shared" si="19"/>
        <v>-0.38453162592482421</v>
      </c>
    </row>
    <row r="91" spans="1:26" s="24" customFormat="1" hidden="1" outlineLevel="2" x14ac:dyDescent="0.25">
      <c r="A91" s="27"/>
      <c r="B91" s="12" t="str">
        <f>CONCATENATE("          ", "6112", " - ", "COMPENSATION INSURANCE")</f>
        <v xml:space="preserve">          6112 - COMPENSATION INSURANCE</v>
      </c>
      <c r="C91" s="12"/>
      <c r="D91" s="7">
        <v>1948.81</v>
      </c>
      <c r="E91" s="3"/>
      <c r="F91" s="8">
        <f t="shared" si="12"/>
        <v>8.5599048611515287E-3</v>
      </c>
      <c r="G91" s="3"/>
      <c r="H91" s="7">
        <v>3471.1440600961541</v>
      </c>
      <c r="I91" s="3"/>
      <c r="J91" s="8">
        <f t="shared" si="13"/>
        <v>1.1492294291490738E-2</v>
      </c>
      <c r="K91" s="3"/>
      <c r="L91" s="7">
        <f t="shared" si="14"/>
        <v>-1522.3340600961542</v>
      </c>
      <c r="M91" s="3"/>
      <c r="N91" s="8">
        <f t="shared" si="15"/>
        <v>-0.43856838948193466</v>
      </c>
      <c r="O91" s="12"/>
      <c r="P91" s="7">
        <v>1948.81</v>
      </c>
      <c r="Q91" s="3"/>
      <c r="R91" s="8">
        <f t="shared" si="16"/>
        <v>8.5599048611515287E-3</v>
      </c>
      <c r="S91" s="3"/>
      <c r="T91" s="7">
        <v>3471.1440600961541</v>
      </c>
      <c r="U91" s="3"/>
      <c r="V91" s="8">
        <f t="shared" si="17"/>
        <v>1.1492294291490738E-2</v>
      </c>
      <c r="W91" s="3"/>
      <c r="X91" s="7">
        <f t="shared" si="18"/>
        <v>-1522.3340600961542</v>
      </c>
      <c r="Y91" s="3"/>
      <c r="Z91" s="8">
        <f t="shared" si="19"/>
        <v>-0.43856838948193466</v>
      </c>
    </row>
    <row r="92" spans="1:26" s="24" customFormat="1" hidden="1" outlineLevel="2" x14ac:dyDescent="0.25">
      <c r="A92" s="27"/>
      <c r="B92" s="12" t="str">
        <f>CONCATENATE("          ", "6113", " - ", "GROUP INSURANCE")</f>
        <v xml:space="preserve">          6113 - GROUP INSURANCE</v>
      </c>
      <c r="C92" s="12"/>
      <c r="D92" s="7">
        <v>18089.25</v>
      </c>
      <c r="E92" s="3"/>
      <c r="F92" s="8">
        <f t="shared" si="12"/>
        <v>7.945477445702008E-2</v>
      </c>
      <c r="G92" s="3"/>
      <c r="H92" s="7">
        <v>22027.499999999989</v>
      </c>
      <c r="I92" s="3"/>
      <c r="J92" s="8">
        <f t="shared" si="13"/>
        <v>7.2928840786515708E-2</v>
      </c>
      <c r="K92" s="3"/>
      <c r="L92" s="7">
        <f t="shared" si="14"/>
        <v>-3938.2499999999891</v>
      </c>
      <c r="M92" s="3"/>
      <c r="N92" s="8">
        <f t="shared" si="15"/>
        <v>-0.17878787878787838</v>
      </c>
      <c r="O92" s="12"/>
      <c r="P92" s="7">
        <v>18089.25</v>
      </c>
      <c r="Q92" s="3"/>
      <c r="R92" s="8">
        <f t="shared" si="16"/>
        <v>7.945477445702008E-2</v>
      </c>
      <c r="S92" s="3"/>
      <c r="T92" s="7">
        <v>22027.499999999989</v>
      </c>
      <c r="U92" s="3"/>
      <c r="V92" s="8">
        <f t="shared" si="17"/>
        <v>7.2928840786515708E-2</v>
      </c>
      <c r="W92" s="3"/>
      <c r="X92" s="7">
        <f t="shared" si="18"/>
        <v>-3938.2499999999891</v>
      </c>
      <c r="Y92" s="3"/>
      <c r="Z92" s="8">
        <f t="shared" si="19"/>
        <v>-0.17878787878787838</v>
      </c>
    </row>
    <row r="93" spans="1:26" s="24" customFormat="1" hidden="1" outlineLevel="2" x14ac:dyDescent="0.25">
      <c r="A93" s="27"/>
      <c r="B93" s="12" t="str">
        <f>CONCATENATE("          ", "6114", " - ", "STATE UNEMPLOYMENT INSURANCE")</f>
        <v xml:space="preserve">          6114 - STATE UNEMPLOYMENT INSURANCE</v>
      </c>
      <c r="C93" s="12"/>
      <c r="D93" s="7">
        <v>298.95</v>
      </c>
      <c r="E93" s="3"/>
      <c r="F93" s="8">
        <f t="shared" si="12"/>
        <v>1.3131005886880965E-3</v>
      </c>
      <c r="G93" s="3"/>
      <c r="H93" s="7">
        <v>487.83646249999993</v>
      </c>
      <c r="I93" s="3"/>
      <c r="J93" s="8">
        <f t="shared" si="13"/>
        <v>1.6151332517770763E-3</v>
      </c>
      <c r="K93" s="3"/>
      <c r="L93" s="7">
        <f t="shared" si="14"/>
        <v>-188.88646249999994</v>
      </c>
      <c r="M93" s="3"/>
      <c r="N93" s="8">
        <f t="shared" si="15"/>
        <v>-0.38719217815744955</v>
      </c>
      <c r="O93" s="12"/>
      <c r="P93" s="7">
        <v>298.95</v>
      </c>
      <c r="Q93" s="3"/>
      <c r="R93" s="8">
        <f t="shared" si="16"/>
        <v>1.3131005886880965E-3</v>
      </c>
      <c r="S93" s="3"/>
      <c r="T93" s="7">
        <v>487.83646249999993</v>
      </c>
      <c r="U93" s="3"/>
      <c r="V93" s="8">
        <f t="shared" si="17"/>
        <v>1.6151332517770763E-3</v>
      </c>
      <c r="W93" s="3"/>
      <c r="X93" s="7">
        <f t="shared" si="18"/>
        <v>-188.88646249999994</v>
      </c>
      <c r="Y93" s="3"/>
      <c r="Z93" s="8">
        <f t="shared" si="19"/>
        <v>-0.38719217815744955</v>
      </c>
    </row>
    <row r="94" spans="1:26" s="24" customFormat="1" hidden="1" outlineLevel="2" x14ac:dyDescent="0.25">
      <c r="A94" s="27"/>
      <c r="B94" s="12" t="str">
        <f>CONCATENATE("          ", "6115", " - ", "P.E.R.S.")</f>
        <v xml:space="preserve">          6115 - P.E.R.S.</v>
      </c>
      <c r="C94" s="12"/>
      <c r="D94" s="7">
        <v>10020.82</v>
      </c>
      <c r="E94" s="3"/>
      <c r="F94" s="8">
        <f t="shared" si="12"/>
        <v>4.401520201082941E-2</v>
      </c>
      <c r="G94" s="3"/>
      <c r="H94" s="7">
        <v>6911.489644230769</v>
      </c>
      <c r="I94" s="3"/>
      <c r="J94" s="8">
        <f t="shared" si="13"/>
        <v>2.2882620717819002E-2</v>
      </c>
      <c r="K94" s="3"/>
      <c r="L94" s="7">
        <f t="shared" si="14"/>
        <v>3109.3303557692307</v>
      </c>
      <c r="M94" s="3"/>
      <c r="N94" s="8">
        <f t="shared" si="15"/>
        <v>0.4498784655439198</v>
      </c>
      <c r="O94" s="12"/>
      <c r="P94" s="7">
        <v>10020.82</v>
      </c>
      <c r="Q94" s="3"/>
      <c r="R94" s="8">
        <f t="shared" si="16"/>
        <v>4.401520201082941E-2</v>
      </c>
      <c r="S94" s="3"/>
      <c r="T94" s="7">
        <v>6911.489644230769</v>
      </c>
      <c r="U94" s="3"/>
      <c r="V94" s="8">
        <f t="shared" si="17"/>
        <v>2.2882620717819002E-2</v>
      </c>
      <c r="W94" s="3"/>
      <c r="X94" s="7">
        <f t="shared" si="18"/>
        <v>3109.3303557692307</v>
      </c>
      <c r="Y94" s="3"/>
      <c r="Z94" s="8">
        <f t="shared" si="19"/>
        <v>0.4498784655439198</v>
      </c>
    </row>
    <row r="95" spans="1:26" s="24" customFormat="1" hidden="1" outlineLevel="2" x14ac:dyDescent="0.25">
      <c r="A95" s="27"/>
      <c r="B95" s="12" t="str">
        <f>CONCATENATE("          ", "6116", " - ", "EDUCATIONAL BENEFITS")</f>
        <v xml:space="preserve">          6116 - EDUCATIONAL BENEFITS</v>
      </c>
      <c r="C95" s="12"/>
      <c r="D95" s="7">
        <v>0</v>
      </c>
      <c r="E95" s="3"/>
      <c r="F95" s="8">
        <f t="shared" si="12"/>
        <v>0</v>
      </c>
      <c r="G95" s="3"/>
      <c r="H95" s="7">
        <v>0</v>
      </c>
      <c r="I95" s="3"/>
      <c r="J95" s="8">
        <f t="shared" si="13"/>
        <v>0</v>
      </c>
      <c r="K95" s="3"/>
      <c r="L95" s="7">
        <f t="shared" si="14"/>
        <v>0</v>
      </c>
      <c r="M95" s="3"/>
      <c r="N95" s="8">
        <f t="shared" si="15"/>
        <v>0</v>
      </c>
      <c r="O95" s="12"/>
      <c r="P95" s="7">
        <v>0</v>
      </c>
      <c r="Q95" s="3"/>
      <c r="R95" s="8">
        <f t="shared" si="16"/>
        <v>0</v>
      </c>
      <c r="S95" s="3"/>
      <c r="T95" s="7">
        <v>0</v>
      </c>
      <c r="U95" s="3"/>
      <c r="V95" s="8">
        <f t="shared" si="17"/>
        <v>0</v>
      </c>
      <c r="W95" s="3"/>
      <c r="X95" s="7">
        <f t="shared" si="18"/>
        <v>0</v>
      </c>
      <c r="Y95" s="3"/>
      <c r="Z95" s="8">
        <f t="shared" si="19"/>
        <v>0</v>
      </c>
    </row>
    <row r="96" spans="1:26" s="24" customFormat="1" hidden="1" outlineLevel="2" x14ac:dyDescent="0.25">
      <c r="A96" s="27"/>
      <c r="B96" s="12" t="str">
        <f>CONCATENATE("          ", "6117", " - ", "RETIREMENT STAFF HOURLY")</f>
        <v xml:space="preserve">          6117 - RETIREMENT STAFF HOURLY</v>
      </c>
      <c r="C96" s="12"/>
      <c r="D96" s="7">
        <v>333.14</v>
      </c>
      <c r="E96" s="3"/>
      <c r="F96" s="8">
        <f t="shared" si="12"/>
        <v>1.4632758993662904E-3</v>
      </c>
      <c r="G96" s="3"/>
      <c r="H96" s="7"/>
      <c r="I96" s="3"/>
      <c r="J96" s="8">
        <f t="shared" si="13"/>
        <v>0</v>
      </c>
      <c r="K96" s="3"/>
      <c r="L96" s="7">
        <f t="shared" si="14"/>
        <v>333.14</v>
      </c>
      <c r="M96" s="3"/>
      <c r="N96" s="8">
        <f t="shared" si="15"/>
        <v>0</v>
      </c>
      <c r="O96" s="12"/>
      <c r="P96" s="7">
        <v>333.14</v>
      </c>
      <c r="Q96" s="3"/>
      <c r="R96" s="8">
        <f t="shared" si="16"/>
        <v>1.4632758993662904E-3</v>
      </c>
      <c r="S96" s="3"/>
      <c r="T96" s="7"/>
      <c r="U96" s="3"/>
      <c r="V96" s="8">
        <f t="shared" si="17"/>
        <v>0</v>
      </c>
      <c r="W96" s="3"/>
      <c r="X96" s="7">
        <f t="shared" si="18"/>
        <v>333.14</v>
      </c>
      <c r="Y96" s="3"/>
      <c r="Z96" s="8">
        <f t="shared" si="19"/>
        <v>0</v>
      </c>
    </row>
    <row r="97" spans="1:26" s="24" customFormat="1" hidden="1" outlineLevel="2" x14ac:dyDescent="0.25">
      <c r="A97" s="27"/>
      <c r="B97" s="12" t="str">
        <f>CONCATENATE("          ", "6118", " - ", "VACATION")</f>
        <v xml:space="preserve">          6118 - VACATION</v>
      </c>
      <c r="C97" s="12"/>
      <c r="D97" s="7">
        <v>5532.58</v>
      </c>
      <c r="E97" s="3"/>
      <c r="F97" s="8">
        <f t="shared" si="12"/>
        <v>2.4301167603157686E-2</v>
      </c>
      <c r="G97" s="3"/>
      <c r="H97" s="7">
        <v>5400.9042749999953</v>
      </c>
      <c r="I97" s="3"/>
      <c r="J97" s="8">
        <f t="shared" si="13"/>
        <v>1.7881361388023466E-2</v>
      </c>
      <c r="K97" s="3"/>
      <c r="L97" s="7">
        <f t="shared" si="14"/>
        <v>131.6757250000046</v>
      </c>
      <c r="M97" s="3"/>
      <c r="N97" s="8">
        <f t="shared" si="15"/>
        <v>2.4380310832301265E-2</v>
      </c>
      <c r="O97" s="12"/>
      <c r="P97" s="7">
        <v>5532.58</v>
      </c>
      <c r="Q97" s="3"/>
      <c r="R97" s="8">
        <f t="shared" si="16"/>
        <v>2.4301167603157686E-2</v>
      </c>
      <c r="S97" s="3"/>
      <c r="T97" s="7">
        <v>5400.9042749999953</v>
      </c>
      <c r="U97" s="3"/>
      <c r="V97" s="8">
        <f t="shared" si="17"/>
        <v>1.7881361388023466E-2</v>
      </c>
      <c r="W97" s="3"/>
      <c r="X97" s="7">
        <f t="shared" si="18"/>
        <v>131.6757250000046</v>
      </c>
      <c r="Y97" s="3"/>
      <c r="Z97" s="8">
        <f t="shared" si="19"/>
        <v>2.4380310832301265E-2</v>
      </c>
    </row>
    <row r="98" spans="1:26" s="24" customFormat="1" hidden="1" outlineLevel="2" x14ac:dyDescent="0.25">
      <c r="A98" s="27"/>
      <c r="B98" s="12" t="str">
        <f>CONCATENATE("          ", "6119", " - ", "SICK LEAVE")</f>
        <v xml:space="preserve">          6119 - SICK LEAVE</v>
      </c>
      <c r="C98" s="12"/>
      <c r="D98" s="7">
        <v>3988.6</v>
      </c>
      <c r="E98" s="3"/>
      <c r="F98" s="8">
        <f t="shared" si="12"/>
        <v>1.7519428024891596E-2</v>
      </c>
      <c r="G98" s="3"/>
      <c r="H98" s="7">
        <v>5189.8096288461475</v>
      </c>
      <c r="I98" s="3"/>
      <c r="J98" s="8">
        <f t="shared" si="13"/>
        <v>1.7182467376436139E-2</v>
      </c>
      <c r="K98" s="3"/>
      <c r="L98" s="7">
        <f t="shared" si="14"/>
        <v>-1201.2096288461476</v>
      </c>
      <c r="M98" s="3"/>
      <c r="N98" s="8">
        <f t="shared" si="15"/>
        <v>-0.23145543184658451</v>
      </c>
      <c r="O98" s="12"/>
      <c r="P98" s="7">
        <v>3988.6</v>
      </c>
      <c r="Q98" s="3"/>
      <c r="R98" s="8">
        <f t="shared" si="16"/>
        <v>1.7519428024891596E-2</v>
      </c>
      <c r="S98" s="3"/>
      <c r="T98" s="7">
        <v>5189.8096288461475</v>
      </c>
      <c r="U98" s="3"/>
      <c r="V98" s="8">
        <f t="shared" si="17"/>
        <v>1.7182467376436139E-2</v>
      </c>
      <c r="W98" s="3"/>
      <c r="X98" s="7">
        <f t="shared" si="18"/>
        <v>-1201.2096288461476</v>
      </c>
      <c r="Y98" s="3"/>
      <c r="Z98" s="8">
        <f t="shared" si="19"/>
        <v>-0.23145543184658451</v>
      </c>
    </row>
    <row r="99" spans="1:26" s="24" customFormat="1" hidden="1" outlineLevel="2" x14ac:dyDescent="0.25">
      <c r="A99" s="27"/>
      <c r="B99" s="12" t="str">
        <f>CONCATENATE("          ", "6156", " - ", "EMPLOYEE MEALS")</f>
        <v xml:space="preserve">          6156 - EMPLOYEE MEALS</v>
      </c>
      <c r="C99" s="12"/>
      <c r="D99" s="7">
        <v>1021.4</v>
      </c>
      <c r="E99" s="3"/>
      <c r="F99" s="8">
        <f t="shared" si="12"/>
        <v>4.4863721066600495E-3</v>
      </c>
      <c r="G99" s="3"/>
      <c r="H99" s="7">
        <v>1800</v>
      </c>
      <c r="I99" s="3"/>
      <c r="J99" s="8">
        <f t="shared" si="13"/>
        <v>5.959455835466046E-3</v>
      </c>
      <c r="K99" s="3"/>
      <c r="L99" s="7">
        <f t="shared" si="14"/>
        <v>-778.6</v>
      </c>
      <c r="M99" s="3"/>
      <c r="N99" s="8">
        <f t="shared" si="15"/>
        <v>-0.43255555555555558</v>
      </c>
      <c r="O99" s="12"/>
      <c r="P99" s="7">
        <v>1021.4</v>
      </c>
      <c r="Q99" s="3"/>
      <c r="R99" s="8">
        <f t="shared" si="16"/>
        <v>4.4863721066600495E-3</v>
      </c>
      <c r="S99" s="3"/>
      <c r="T99" s="7">
        <v>1800</v>
      </c>
      <c r="U99" s="3"/>
      <c r="V99" s="8">
        <f t="shared" si="17"/>
        <v>5.959455835466046E-3</v>
      </c>
      <c r="W99" s="3"/>
      <c r="X99" s="7">
        <f t="shared" si="18"/>
        <v>-778.6</v>
      </c>
      <c r="Y99" s="3"/>
      <c r="Z99" s="8">
        <f t="shared" si="19"/>
        <v>-0.43255555555555558</v>
      </c>
    </row>
    <row r="100" spans="1:26" s="29" customFormat="1" outlineLevel="1" collapsed="1" x14ac:dyDescent="0.25">
      <c r="A100" s="28"/>
      <c r="B100" s="14" t="str">
        <f>CONCATENATE("     ","*Payroll                                          ")</f>
        <v xml:space="preserve">     *Payroll                                          </v>
      </c>
      <c r="C100" s="14"/>
      <c r="D100" s="1">
        <f>SUM(OSRRefD22_1x_0)</f>
        <v>131954.59000000003</v>
      </c>
      <c r="E100" s="1"/>
      <c r="F100" s="5">
        <f t="shared" ref="F100:F110" si="20">IF(D$12=0,0,D100/D$12)</f>
        <v>0.57959407863889101</v>
      </c>
      <c r="G100" s="1"/>
      <c r="H100" s="1">
        <f>SUM(OSRRefH22_1x_0)</f>
        <v>174636.02222769239</v>
      </c>
      <c r="I100" s="1"/>
      <c r="J100" s="5">
        <f t="shared" ref="J100:J110" si="21">IF(H$12=0,0,H100/H$12)</f>
        <v>0.57818647874855533</v>
      </c>
      <c r="K100" s="1"/>
      <c r="L100" s="1">
        <f t="shared" ref="L100:L110" si="22">+D100-H100</f>
        <v>-42681.432227692363</v>
      </c>
      <c r="M100" s="1"/>
      <c r="N100" s="5">
        <f t="shared" ref="N100:N110" si="23">IF(H100=0,0,L100/H100)</f>
        <v>-0.24440222402709011</v>
      </c>
      <c r="O100" s="14"/>
      <c r="P100" s="1">
        <f>SUM(OSRRefP22_1x_0)</f>
        <v>131954.59000000003</v>
      </c>
      <c r="Q100" s="1"/>
      <c r="R100" s="5">
        <f t="shared" ref="R100:R110" si="24">IF(P$12=0,0,P100/P$12)</f>
        <v>0.57959407863889101</v>
      </c>
      <c r="S100" s="1"/>
      <c r="T100" s="1">
        <f>SUM(OSRRefT22_1x_0)</f>
        <v>174636.02222769239</v>
      </c>
      <c r="U100" s="1"/>
      <c r="V100" s="5">
        <f t="shared" ref="V100:V110" si="25">IF(T$12=0,0,T100/T$12)</f>
        <v>0.57818647874855533</v>
      </c>
      <c r="W100" s="1"/>
      <c r="X100" s="1">
        <f t="shared" ref="X100:X110" si="26">+P100-T100</f>
        <v>-42681.432227692363</v>
      </c>
      <c r="Y100" s="1"/>
      <c r="Z100" s="5">
        <f t="shared" ref="Z100:Z110" si="27">IF(T100=0,0,X100/T100)</f>
        <v>-0.24440222402709011</v>
      </c>
    </row>
    <row r="101" spans="1:26" s="24" customFormat="1" hidden="1" outlineLevel="2" x14ac:dyDescent="0.25">
      <c r="A101" s="27"/>
      <c r="B101" s="12" t="str">
        <f>CONCATENATE("          ", "6001", " - ", "ADMINISTRATIVE SALARIES")</f>
        <v xml:space="preserve">          6001 - ADMINISTRATIVE SALARIES</v>
      </c>
      <c r="C101" s="12"/>
      <c r="D101" s="7">
        <v>4525.8500000000004</v>
      </c>
      <c r="E101" s="3"/>
      <c r="F101" s="8">
        <f t="shared" si="20"/>
        <v>1.9879231641793019E-2</v>
      </c>
      <c r="G101" s="3"/>
      <c r="H101" s="7">
        <v>16309.24038461539</v>
      </c>
      <c r="I101" s="3"/>
      <c r="J101" s="8">
        <f t="shared" si="21"/>
        <v>5.3996776545619268E-2</v>
      </c>
      <c r="K101" s="3"/>
      <c r="L101" s="7">
        <f t="shared" si="22"/>
        <v>-11783.39038461539</v>
      </c>
      <c r="M101" s="3"/>
      <c r="N101" s="8">
        <f t="shared" si="23"/>
        <v>-0.72249780533805463</v>
      </c>
      <c r="O101" s="12"/>
      <c r="P101" s="7">
        <v>4525.8500000000004</v>
      </c>
      <c r="Q101" s="3"/>
      <c r="R101" s="8">
        <f t="shared" si="24"/>
        <v>1.9879231641793019E-2</v>
      </c>
      <c r="S101" s="3"/>
      <c r="T101" s="7">
        <v>16309.24038461539</v>
      </c>
      <c r="U101" s="3"/>
      <c r="V101" s="8">
        <f t="shared" si="25"/>
        <v>5.3996776545619268E-2</v>
      </c>
      <c r="W101" s="3"/>
      <c r="X101" s="7">
        <f t="shared" si="26"/>
        <v>-11783.39038461539</v>
      </c>
      <c r="Y101" s="3"/>
      <c r="Z101" s="8">
        <f t="shared" si="27"/>
        <v>-0.72249780533805463</v>
      </c>
    </row>
    <row r="102" spans="1:26" s="24" customFormat="1" hidden="1" outlineLevel="2" x14ac:dyDescent="0.25">
      <c r="A102" s="27"/>
      <c r="B102" s="12" t="str">
        <f>CONCATENATE("          ", "6002", " - ", "STAFF SALARIES")</f>
        <v xml:space="preserve">          6002 - STAFF SALARIES</v>
      </c>
      <c r="C102" s="12"/>
      <c r="D102" s="7">
        <v>75913.430000000008</v>
      </c>
      <c r="E102" s="3"/>
      <c r="F102" s="8">
        <f t="shared" si="20"/>
        <v>0.33344027303004725</v>
      </c>
      <c r="G102" s="3"/>
      <c r="H102" s="7">
        <v>56189.094243076994</v>
      </c>
      <c r="I102" s="3"/>
      <c r="J102" s="8">
        <f t="shared" si="21"/>
        <v>0.18603134754247599</v>
      </c>
      <c r="K102" s="3"/>
      <c r="L102" s="7">
        <f t="shared" si="22"/>
        <v>19724.335756923014</v>
      </c>
      <c r="M102" s="3"/>
      <c r="N102" s="8">
        <f t="shared" si="23"/>
        <v>0.3510349476643011</v>
      </c>
      <c r="O102" s="12"/>
      <c r="P102" s="7">
        <v>75913.430000000008</v>
      </c>
      <c r="Q102" s="3"/>
      <c r="R102" s="8">
        <f t="shared" si="24"/>
        <v>0.33344027303004725</v>
      </c>
      <c r="S102" s="3"/>
      <c r="T102" s="7">
        <v>56189.094243076994</v>
      </c>
      <c r="U102" s="3"/>
      <c r="V102" s="8">
        <f t="shared" si="25"/>
        <v>0.18603134754247599</v>
      </c>
      <c r="W102" s="3"/>
      <c r="X102" s="7">
        <f t="shared" si="26"/>
        <v>19724.335756923014</v>
      </c>
      <c r="Y102" s="3"/>
      <c r="Z102" s="8">
        <f t="shared" si="27"/>
        <v>0.3510349476643011</v>
      </c>
    </row>
    <row r="103" spans="1:26" s="24" customFormat="1" hidden="1" outlineLevel="2" x14ac:dyDescent="0.25">
      <c r="A103" s="27"/>
      <c r="B103" s="12" t="str">
        <f>CONCATENATE("          ", "6003", " - ", "STAFF HOURLY-9 MONTH")</f>
        <v xml:space="preserve">          6003 - STAFF HOURLY-9 MONTH</v>
      </c>
      <c r="C103" s="12"/>
      <c r="D103" s="7"/>
      <c r="E103" s="3"/>
      <c r="F103" s="8">
        <f t="shared" si="20"/>
        <v>0</v>
      </c>
      <c r="G103" s="3"/>
      <c r="H103" s="7">
        <v>0</v>
      </c>
      <c r="I103" s="3"/>
      <c r="J103" s="8">
        <f t="shared" si="21"/>
        <v>0</v>
      </c>
      <c r="K103" s="3"/>
      <c r="L103" s="7">
        <f t="shared" si="22"/>
        <v>0</v>
      </c>
      <c r="M103" s="3"/>
      <c r="N103" s="8">
        <f t="shared" si="23"/>
        <v>0</v>
      </c>
      <c r="O103" s="12"/>
      <c r="P103" s="7"/>
      <c r="Q103" s="3"/>
      <c r="R103" s="8">
        <f t="shared" si="24"/>
        <v>0</v>
      </c>
      <c r="S103" s="3"/>
      <c r="T103" s="7">
        <v>0</v>
      </c>
      <c r="U103" s="3"/>
      <c r="V103" s="8">
        <f t="shared" si="25"/>
        <v>0</v>
      </c>
      <c r="W103" s="3"/>
      <c r="X103" s="7">
        <f t="shared" si="26"/>
        <v>0</v>
      </c>
      <c r="Y103" s="3"/>
      <c r="Z103" s="8">
        <f t="shared" si="27"/>
        <v>0</v>
      </c>
    </row>
    <row r="104" spans="1:26" s="24" customFormat="1" hidden="1" outlineLevel="2" x14ac:dyDescent="0.25">
      <c r="A104" s="27"/>
      <c r="B104" s="12" t="str">
        <f>CONCATENATE("          ", "6004", " - ", "STAFF HOURLY")</f>
        <v xml:space="preserve">          6004 - STAFF HOURLY</v>
      </c>
      <c r="C104" s="12"/>
      <c r="D104" s="7">
        <v>15713.52</v>
      </c>
      <c r="E104" s="3"/>
      <c r="F104" s="8">
        <f t="shared" si="20"/>
        <v>6.9019676743141606E-2</v>
      </c>
      <c r="G104" s="3"/>
      <c r="H104" s="7">
        <v>30028.437600000005</v>
      </c>
      <c r="I104" s="3"/>
      <c r="J104" s="8">
        <f t="shared" si="21"/>
        <v>9.9418415380693362E-2</v>
      </c>
      <c r="K104" s="3"/>
      <c r="L104" s="7">
        <f t="shared" si="22"/>
        <v>-14314.917600000004</v>
      </c>
      <c r="M104" s="3"/>
      <c r="N104" s="8">
        <f t="shared" si="23"/>
        <v>-0.47671203512766186</v>
      </c>
      <c r="O104" s="12"/>
      <c r="P104" s="7">
        <v>15713.52</v>
      </c>
      <c r="Q104" s="3"/>
      <c r="R104" s="8">
        <f t="shared" si="24"/>
        <v>6.9019676743141606E-2</v>
      </c>
      <c r="S104" s="3"/>
      <c r="T104" s="7">
        <v>30028.437600000005</v>
      </c>
      <c r="U104" s="3"/>
      <c r="V104" s="8">
        <f t="shared" si="25"/>
        <v>9.9418415380693362E-2</v>
      </c>
      <c r="W104" s="3"/>
      <c r="X104" s="7">
        <f t="shared" si="26"/>
        <v>-14314.917600000004</v>
      </c>
      <c r="Y104" s="3"/>
      <c r="Z104" s="8">
        <f t="shared" si="27"/>
        <v>-0.47671203512766186</v>
      </c>
    </row>
    <row r="105" spans="1:26" s="24" customFormat="1" hidden="1" outlineLevel="2" x14ac:dyDescent="0.25">
      <c r="A105" s="27"/>
      <c r="B105" s="12" t="str">
        <f>CONCATENATE("          ", "6005", " - ", "TEMPORARY WAGES-HOURLY")</f>
        <v xml:space="preserve">          6005 - TEMPORARY WAGES-HOURLY</v>
      </c>
      <c r="C105" s="12"/>
      <c r="D105" s="7">
        <v>12385.55</v>
      </c>
      <c r="E105" s="3"/>
      <c r="F105" s="8">
        <f t="shared" si="20"/>
        <v>5.4401983596674544E-2</v>
      </c>
      <c r="G105" s="3"/>
      <c r="H105" s="7">
        <v>3676.5</v>
      </c>
      <c r="I105" s="3"/>
      <c r="J105" s="8">
        <f t="shared" si="21"/>
        <v>1.2172188543939399E-2</v>
      </c>
      <c r="K105" s="3"/>
      <c r="L105" s="7">
        <f t="shared" si="22"/>
        <v>8709.0499999999993</v>
      </c>
      <c r="M105" s="3"/>
      <c r="N105" s="8">
        <f t="shared" si="23"/>
        <v>2.3688426492588057</v>
      </c>
      <c r="O105" s="12"/>
      <c r="P105" s="7">
        <v>12385.55</v>
      </c>
      <c r="Q105" s="3"/>
      <c r="R105" s="8">
        <f t="shared" si="24"/>
        <v>5.4401983596674544E-2</v>
      </c>
      <c r="S105" s="3"/>
      <c r="T105" s="7">
        <v>3676.5</v>
      </c>
      <c r="U105" s="3"/>
      <c r="V105" s="8">
        <f t="shared" si="25"/>
        <v>1.2172188543939399E-2</v>
      </c>
      <c r="W105" s="3"/>
      <c r="X105" s="7">
        <f t="shared" si="26"/>
        <v>8709.0499999999993</v>
      </c>
      <c r="Y105" s="3"/>
      <c r="Z105" s="8">
        <f t="shared" si="27"/>
        <v>2.3688426492588057</v>
      </c>
    </row>
    <row r="106" spans="1:26" s="24" customFormat="1" hidden="1" outlineLevel="2" x14ac:dyDescent="0.25">
      <c r="A106" s="27"/>
      <c r="B106" s="12" t="str">
        <f>CONCATENATE("          ", "6006", " - ", "TEMPORARY PART TIME")</f>
        <v xml:space="preserve">          6006 - TEMPORARY PART TIME</v>
      </c>
      <c r="C106" s="12"/>
      <c r="D106" s="7">
        <v>2048.21</v>
      </c>
      <c r="E106" s="3"/>
      <c r="F106" s="8">
        <f t="shared" si="20"/>
        <v>8.9965069635619555E-3</v>
      </c>
      <c r="G106" s="3"/>
      <c r="H106" s="7">
        <v>0</v>
      </c>
      <c r="I106" s="3"/>
      <c r="J106" s="8">
        <f t="shared" si="21"/>
        <v>0</v>
      </c>
      <c r="K106" s="3"/>
      <c r="L106" s="7">
        <f t="shared" si="22"/>
        <v>2048.21</v>
      </c>
      <c r="M106" s="3"/>
      <c r="N106" s="8">
        <f t="shared" si="23"/>
        <v>0</v>
      </c>
      <c r="O106" s="12"/>
      <c r="P106" s="7">
        <v>2048.21</v>
      </c>
      <c r="Q106" s="3"/>
      <c r="R106" s="8">
        <f t="shared" si="24"/>
        <v>8.9965069635619555E-3</v>
      </c>
      <c r="S106" s="3"/>
      <c r="T106" s="7">
        <v>0</v>
      </c>
      <c r="U106" s="3"/>
      <c r="V106" s="8">
        <f t="shared" si="25"/>
        <v>0</v>
      </c>
      <c r="W106" s="3"/>
      <c r="X106" s="7">
        <f t="shared" si="26"/>
        <v>2048.21</v>
      </c>
      <c r="Y106" s="3"/>
      <c r="Z106" s="8">
        <f t="shared" si="27"/>
        <v>0</v>
      </c>
    </row>
    <row r="107" spans="1:26" s="24" customFormat="1" hidden="1" outlineLevel="2" x14ac:dyDescent="0.25">
      <c r="A107" s="27"/>
      <c r="B107" s="12" t="str">
        <f>CONCATENATE("          ", "6007", " - ", "STUDENT HOURLY")</f>
        <v xml:space="preserve">          6007 - STUDENT HOURLY</v>
      </c>
      <c r="C107" s="12"/>
      <c r="D107" s="7">
        <v>21368.030000000002</v>
      </c>
      <c r="E107" s="3"/>
      <c r="F107" s="8">
        <f t="shared" si="20"/>
        <v>9.3856406663672565E-2</v>
      </c>
      <c r="G107" s="3"/>
      <c r="H107" s="7">
        <v>63414</v>
      </c>
      <c r="I107" s="3"/>
      <c r="J107" s="8">
        <f t="shared" si="21"/>
        <v>0.20995162908346879</v>
      </c>
      <c r="K107" s="3"/>
      <c r="L107" s="7">
        <f t="shared" si="22"/>
        <v>-42045.97</v>
      </c>
      <c r="M107" s="3"/>
      <c r="N107" s="8">
        <f t="shared" si="23"/>
        <v>-0.6630392342384962</v>
      </c>
      <c r="O107" s="12"/>
      <c r="P107" s="7">
        <v>21368.030000000002</v>
      </c>
      <c r="Q107" s="3"/>
      <c r="R107" s="8">
        <f t="shared" si="24"/>
        <v>9.3856406663672565E-2</v>
      </c>
      <c r="S107" s="3"/>
      <c r="T107" s="7">
        <v>63414</v>
      </c>
      <c r="U107" s="3"/>
      <c r="V107" s="8">
        <f t="shared" si="25"/>
        <v>0.20995162908346879</v>
      </c>
      <c r="W107" s="3"/>
      <c r="X107" s="7">
        <f t="shared" si="26"/>
        <v>-42045.97</v>
      </c>
      <c r="Y107" s="3"/>
      <c r="Z107" s="8">
        <f t="shared" si="27"/>
        <v>-0.6630392342384962</v>
      </c>
    </row>
    <row r="108" spans="1:26" s="24" customFormat="1" hidden="1" outlineLevel="2" x14ac:dyDescent="0.25">
      <c r="A108" s="27"/>
      <c r="B108" s="12" t="str">
        <f>CONCATENATE("          ", "6008", " - ", "STUDENT HOURLY-FICA EXEMPT")</f>
        <v xml:space="preserve">          6008 - STUDENT HOURLY-FICA EXEMPT</v>
      </c>
      <c r="C108" s="12"/>
      <c r="D108" s="7"/>
      <c r="E108" s="3"/>
      <c r="F108" s="8">
        <f t="shared" si="20"/>
        <v>0</v>
      </c>
      <c r="G108" s="3"/>
      <c r="H108" s="7">
        <v>5018.75</v>
      </c>
      <c r="I108" s="3"/>
      <c r="J108" s="8">
        <f t="shared" si="21"/>
        <v>1.6616121652358453E-2</v>
      </c>
      <c r="K108" s="3"/>
      <c r="L108" s="7">
        <f t="shared" si="22"/>
        <v>-5018.75</v>
      </c>
      <c r="M108" s="3"/>
      <c r="N108" s="8">
        <f t="shared" si="23"/>
        <v>-1</v>
      </c>
      <c r="O108" s="12"/>
      <c r="P108" s="7"/>
      <c r="Q108" s="3"/>
      <c r="R108" s="8">
        <f t="shared" si="24"/>
        <v>0</v>
      </c>
      <c r="S108" s="3"/>
      <c r="T108" s="7">
        <v>5018.75</v>
      </c>
      <c r="U108" s="3"/>
      <c r="V108" s="8">
        <f t="shared" si="25"/>
        <v>1.6616121652358453E-2</v>
      </c>
      <c r="W108" s="3"/>
      <c r="X108" s="7">
        <f t="shared" si="26"/>
        <v>-5018.75</v>
      </c>
      <c r="Y108" s="3"/>
      <c r="Z108" s="8">
        <f t="shared" si="27"/>
        <v>-1</v>
      </c>
    </row>
    <row r="109" spans="1:26" s="24" customFormat="1" hidden="1" outlineLevel="2" x14ac:dyDescent="0.25">
      <c r="A109" s="27"/>
      <c r="B109" s="12" t="str">
        <f>CONCATENATE("          ", "6009", " - ", "TEMPORARY-SEASONAL")</f>
        <v xml:space="preserve">          6009 - TEMPORARY-SEASONAL</v>
      </c>
      <c r="C109" s="12"/>
      <c r="D109" s="7"/>
      <c r="E109" s="3"/>
      <c r="F109" s="8">
        <f t="shared" si="20"/>
        <v>0</v>
      </c>
      <c r="G109" s="3"/>
      <c r="H109" s="7">
        <v>0</v>
      </c>
      <c r="I109" s="3"/>
      <c r="J109" s="8">
        <f t="shared" si="21"/>
        <v>0</v>
      </c>
      <c r="K109" s="3"/>
      <c r="L109" s="7">
        <f t="shared" si="22"/>
        <v>0</v>
      </c>
      <c r="M109" s="3"/>
      <c r="N109" s="8">
        <f t="shared" si="23"/>
        <v>0</v>
      </c>
      <c r="O109" s="12"/>
      <c r="P109" s="7"/>
      <c r="Q109" s="3"/>
      <c r="R109" s="8">
        <f t="shared" si="24"/>
        <v>0</v>
      </c>
      <c r="S109" s="3"/>
      <c r="T109" s="7">
        <v>0</v>
      </c>
      <c r="U109" s="3"/>
      <c r="V109" s="8">
        <f t="shared" si="25"/>
        <v>0</v>
      </c>
      <c r="W109" s="3"/>
      <c r="X109" s="7">
        <f t="shared" si="26"/>
        <v>0</v>
      </c>
      <c r="Y109" s="3"/>
      <c r="Z109" s="8">
        <f t="shared" si="27"/>
        <v>0</v>
      </c>
    </row>
    <row r="110" spans="1:26" s="24" customFormat="1" hidden="1" outlineLevel="2" x14ac:dyDescent="0.25">
      <c r="A110" s="27"/>
      <c r="B110" s="12" t="str">
        <f>CONCATENATE("          ", "6010", " - ", "GRATUITY")</f>
        <v xml:space="preserve">          6010 - GRATUITY</v>
      </c>
      <c r="C110" s="12"/>
      <c r="D110" s="7"/>
      <c r="E110" s="3"/>
      <c r="F110" s="8">
        <f t="shared" si="20"/>
        <v>0</v>
      </c>
      <c r="G110" s="3"/>
      <c r="H110" s="7">
        <v>0</v>
      </c>
      <c r="I110" s="3"/>
      <c r="J110" s="8">
        <f t="shared" si="21"/>
        <v>0</v>
      </c>
      <c r="K110" s="3"/>
      <c r="L110" s="7">
        <f t="shared" si="22"/>
        <v>0</v>
      </c>
      <c r="M110" s="3"/>
      <c r="N110" s="8">
        <f t="shared" si="23"/>
        <v>0</v>
      </c>
      <c r="O110" s="12"/>
      <c r="P110" s="7"/>
      <c r="Q110" s="3"/>
      <c r="R110" s="8">
        <f t="shared" si="24"/>
        <v>0</v>
      </c>
      <c r="S110" s="3"/>
      <c r="T110" s="7">
        <v>0</v>
      </c>
      <c r="U110" s="3"/>
      <c r="V110" s="8">
        <f t="shared" si="25"/>
        <v>0</v>
      </c>
      <c r="W110" s="3"/>
      <c r="X110" s="7">
        <f t="shared" si="26"/>
        <v>0</v>
      </c>
      <c r="Y110" s="3"/>
      <c r="Z110" s="8">
        <f t="shared" si="27"/>
        <v>0</v>
      </c>
    </row>
    <row r="111" spans="1:26" s="29" customFormat="1" outlineLevel="1" collapsed="1" x14ac:dyDescent="0.25">
      <c r="A111" s="28"/>
      <c r="B111" s="14" t="str">
        <f>CONCATENATE("     ","Advertising/Promo                                 ")</f>
        <v xml:space="preserve">     Advertising/Promo                                 </v>
      </c>
      <c r="C111" s="14"/>
      <c r="D111" s="1">
        <f>SUM(OSRRefD22_2x_0)</f>
        <v>2590.83</v>
      </c>
      <c r="E111" s="1"/>
      <c r="F111" s="5">
        <f t="shared" ref="F111:F115" si="28">IF(D$12=0,0,D111/D$12)</f>
        <v>1.13798976356942E-2</v>
      </c>
      <c r="G111" s="1"/>
      <c r="H111" s="1">
        <f>SUM(OSRRefH22_2x_0)</f>
        <v>880</v>
      </c>
      <c r="I111" s="1"/>
      <c r="J111" s="5">
        <f t="shared" ref="J111:J115" si="29">IF(H$12=0,0,H111/H$12)</f>
        <v>2.9135117417834005E-3</v>
      </c>
      <c r="K111" s="1"/>
      <c r="L111" s="1">
        <f t="shared" ref="L111:L115" si="30">+D111-H111</f>
        <v>1710.83</v>
      </c>
      <c r="M111" s="1"/>
      <c r="N111" s="5">
        <f t="shared" ref="N111:N115" si="31">IF(H111=0,0,L111/H111)</f>
        <v>1.9441249999999999</v>
      </c>
      <c r="O111" s="14"/>
      <c r="P111" s="1">
        <f>SUM(OSRRefP22_2x_0)</f>
        <v>2590.83</v>
      </c>
      <c r="Q111" s="1"/>
      <c r="R111" s="5">
        <f t="shared" ref="R111:R115" si="32">IF(P$12=0,0,P111/P$12)</f>
        <v>1.13798976356942E-2</v>
      </c>
      <c r="S111" s="1"/>
      <c r="T111" s="1">
        <f>SUM(OSRRefT22_2x_0)</f>
        <v>880</v>
      </c>
      <c r="U111" s="1"/>
      <c r="V111" s="5">
        <f t="shared" ref="V111:V115" si="33">IF(T$12=0,0,T111/T$12)</f>
        <v>2.9135117417834005E-3</v>
      </c>
      <c r="W111" s="1"/>
      <c r="X111" s="1">
        <f t="shared" ref="X111:X115" si="34">+P111-T111</f>
        <v>1710.83</v>
      </c>
      <c r="Y111" s="1"/>
      <c r="Z111" s="5">
        <f t="shared" ref="Z111:Z115" si="35">IF(T111=0,0,X111/T111)</f>
        <v>1.9441249999999999</v>
      </c>
    </row>
    <row r="112" spans="1:26" s="24" customFormat="1" hidden="1" outlineLevel="2" x14ac:dyDescent="0.25">
      <c r="A112" s="27"/>
      <c r="B112" s="12" t="str">
        <f>CONCATENATE("          ", "6362", " - ", "ADVERTISING EXPENSE")</f>
        <v xml:space="preserve">          6362 - ADVERTISING EXPENSE</v>
      </c>
      <c r="C112" s="12"/>
      <c r="D112" s="7">
        <v>2590.83</v>
      </c>
      <c r="E112" s="3"/>
      <c r="F112" s="8">
        <f t="shared" si="28"/>
        <v>1.13798976356942E-2</v>
      </c>
      <c r="G112" s="3"/>
      <c r="H112" s="7">
        <v>880</v>
      </c>
      <c r="I112" s="3"/>
      <c r="J112" s="8">
        <f t="shared" si="29"/>
        <v>2.9135117417834005E-3</v>
      </c>
      <c r="K112" s="3"/>
      <c r="L112" s="7">
        <f t="shared" si="30"/>
        <v>1710.83</v>
      </c>
      <c r="M112" s="3"/>
      <c r="N112" s="8">
        <f t="shared" si="31"/>
        <v>1.9441249999999999</v>
      </c>
      <c r="O112" s="12"/>
      <c r="P112" s="7">
        <v>2590.83</v>
      </c>
      <c r="Q112" s="3"/>
      <c r="R112" s="8">
        <f t="shared" si="32"/>
        <v>1.13798976356942E-2</v>
      </c>
      <c r="S112" s="3"/>
      <c r="T112" s="7">
        <v>880</v>
      </c>
      <c r="U112" s="3"/>
      <c r="V112" s="8">
        <f t="shared" si="33"/>
        <v>2.9135117417834005E-3</v>
      </c>
      <c r="W112" s="3"/>
      <c r="X112" s="7">
        <f t="shared" si="34"/>
        <v>1710.83</v>
      </c>
      <c r="Y112" s="3"/>
      <c r="Z112" s="8">
        <f t="shared" si="35"/>
        <v>1.9441249999999999</v>
      </c>
    </row>
    <row r="113" spans="1:26" s="29" customFormat="1" outlineLevel="1" collapsed="1" x14ac:dyDescent="0.25">
      <c r="A113" s="28"/>
      <c r="B113" s="14" t="str">
        <f>CONCATENATE("     ","Bad Debts/Over/Short                              ")</f>
        <v xml:space="preserve">     Bad Debts/Over/Short                              </v>
      </c>
      <c r="C113" s="14"/>
      <c r="D113" s="1">
        <f>SUM(OSRRefD22_3x_0)</f>
        <v>4.9800000000000004</v>
      </c>
      <c r="E113" s="1"/>
      <c r="F113" s="5">
        <f t="shared" si="28"/>
        <v>2.1874028873278884E-5</v>
      </c>
      <c r="G113" s="1"/>
      <c r="H113" s="1">
        <f>SUM(OSRRefH22_3x_0)</f>
        <v>115</v>
      </c>
      <c r="I113" s="1"/>
      <c r="J113" s="5">
        <f t="shared" si="29"/>
        <v>3.8074301171033074E-4</v>
      </c>
      <c r="K113" s="1"/>
      <c r="L113" s="1">
        <f t="shared" si="30"/>
        <v>-110.02</v>
      </c>
      <c r="M113" s="1"/>
      <c r="N113" s="5">
        <f t="shared" si="31"/>
        <v>-0.95669565217391306</v>
      </c>
      <c r="O113" s="14"/>
      <c r="P113" s="1">
        <f>SUM(OSRRefP22_3x_0)</f>
        <v>4.9800000000000004</v>
      </c>
      <c r="Q113" s="1"/>
      <c r="R113" s="5">
        <f t="shared" si="32"/>
        <v>2.1874028873278884E-5</v>
      </c>
      <c r="S113" s="1"/>
      <c r="T113" s="1">
        <f>SUM(OSRRefT22_3x_0)</f>
        <v>115</v>
      </c>
      <c r="U113" s="1"/>
      <c r="V113" s="5">
        <f t="shared" si="33"/>
        <v>3.8074301171033074E-4</v>
      </c>
      <c r="W113" s="1"/>
      <c r="X113" s="1">
        <f t="shared" si="34"/>
        <v>-110.02</v>
      </c>
      <c r="Y113" s="1"/>
      <c r="Z113" s="5">
        <f t="shared" si="35"/>
        <v>-0.95669565217391306</v>
      </c>
    </row>
    <row r="114" spans="1:26" s="24" customFormat="1" hidden="1" outlineLevel="2" x14ac:dyDescent="0.25">
      <c r="A114" s="27"/>
      <c r="B114" s="12" t="str">
        <f>CONCATENATE("          ", "6272", " - ", "CASH (OVER/SHORT)")</f>
        <v xml:space="preserve">          6272 - CASH (OVER/SHORT)</v>
      </c>
      <c r="C114" s="12"/>
      <c r="D114" s="7">
        <v>4.9800000000000004</v>
      </c>
      <c r="E114" s="3"/>
      <c r="F114" s="8">
        <f t="shared" si="28"/>
        <v>2.1874028873278884E-5</v>
      </c>
      <c r="G114" s="3"/>
      <c r="H114" s="7">
        <v>65</v>
      </c>
      <c r="I114" s="3"/>
      <c r="J114" s="8">
        <f t="shared" si="29"/>
        <v>2.1520257183627389E-4</v>
      </c>
      <c r="K114" s="3"/>
      <c r="L114" s="7">
        <f t="shared" si="30"/>
        <v>-60.019999999999996</v>
      </c>
      <c r="M114" s="3"/>
      <c r="N114" s="8">
        <f t="shared" si="31"/>
        <v>-0.92338461538461536</v>
      </c>
      <c r="O114" s="12"/>
      <c r="P114" s="7">
        <v>4.9800000000000004</v>
      </c>
      <c r="Q114" s="3"/>
      <c r="R114" s="8">
        <f t="shared" si="32"/>
        <v>2.1874028873278884E-5</v>
      </c>
      <c r="S114" s="3"/>
      <c r="T114" s="7">
        <v>65</v>
      </c>
      <c r="U114" s="3"/>
      <c r="V114" s="8">
        <f t="shared" si="33"/>
        <v>2.1520257183627389E-4</v>
      </c>
      <c r="W114" s="3"/>
      <c r="X114" s="7">
        <f t="shared" si="34"/>
        <v>-60.019999999999996</v>
      </c>
      <c r="Y114" s="3"/>
      <c r="Z114" s="8">
        <f t="shared" si="35"/>
        <v>-0.92338461538461536</v>
      </c>
    </row>
    <row r="115" spans="1:26" s="24" customFormat="1" hidden="1" outlineLevel="2" x14ac:dyDescent="0.25">
      <c r="A115" s="27"/>
      <c r="B115" s="12" t="str">
        <f>CONCATENATE("          ", "6342", " - ", "BAD DEBT")</f>
        <v xml:space="preserve">          6342 - BAD DEBT</v>
      </c>
      <c r="C115" s="12"/>
      <c r="D115" s="7"/>
      <c r="E115" s="3"/>
      <c r="F115" s="8">
        <f t="shared" si="28"/>
        <v>0</v>
      </c>
      <c r="G115" s="3"/>
      <c r="H115" s="7">
        <v>50</v>
      </c>
      <c r="I115" s="3"/>
      <c r="J115" s="8">
        <f t="shared" si="29"/>
        <v>1.6554043987405682E-4</v>
      </c>
      <c r="K115" s="3"/>
      <c r="L115" s="7">
        <f t="shared" si="30"/>
        <v>-50</v>
      </c>
      <c r="M115" s="3"/>
      <c r="N115" s="8">
        <f t="shared" si="31"/>
        <v>-1</v>
      </c>
      <c r="O115" s="12"/>
      <c r="P115" s="7"/>
      <c r="Q115" s="3"/>
      <c r="R115" s="8">
        <f t="shared" si="32"/>
        <v>0</v>
      </c>
      <c r="S115" s="3"/>
      <c r="T115" s="7">
        <v>50</v>
      </c>
      <c r="U115" s="3"/>
      <c r="V115" s="8">
        <f t="shared" si="33"/>
        <v>1.6554043987405682E-4</v>
      </c>
      <c r="W115" s="3"/>
      <c r="X115" s="7">
        <f t="shared" si="34"/>
        <v>-50</v>
      </c>
      <c r="Y115" s="3"/>
      <c r="Z115" s="8">
        <f t="shared" si="35"/>
        <v>-1</v>
      </c>
    </row>
    <row r="116" spans="1:26" s="29" customFormat="1" outlineLevel="1" collapsed="1" x14ac:dyDescent="0.25">
      <c r="A116" s="28"/>
      <c r="B116" s="14" t="str">
        <f>CONCATENATE("     ","Bank/card Fees                                    ")</f>
        <v xml:space="preserve">     Bank/card Fees                                    </v>
      </c>
      <c r="C116" s="14"/>
      <c r="D116" s="1">
        <f>SUM(OSRRefD22_4x_0)</f>
        <v>3177.21</v>
      </c>
      <c r="E116" s="1"/>
      <c r="F116" s="5">
        <f t="shared" ref="F116:F120" si="36">IF(D$12=0,0,D116/D$12)</f>
        <v>1.3955498649893653E-2</v>
      </c>
      <c r="G116" s="1"/>
      <c r="H116" s="1">
        <f>SUM(OSRRefH22_4x_0)</f>
        <v>5009</v>
      </c>
      <c r="I116" s="1"/>
      <c r="J116" s="5">
        <f t="shared" ref="J116:J120" si="37">IF(H$12=0,0,H116/H$12)</f>
        <v>1.6583841266583015E-2</v>
      </c>
      <c r="K116" s="1"/>
      <c r="L116" s="1">
        <f t="shared" ref="L116:L120" si="38">+D116-H116</f>
        <v>-1831.79</v>
      </c>
      <c r="M116" s="1"/>
      <c r="N116" s="5">
        <f t="shared" ref="N116:N120" si="39">IF(H116=0,0,L116/H116)</f>
        <v>-0.36569974046715908</v>
      </c>
      <c r="O116" s="14"/>
      <c r="P116" s="1">
        <f>SUM(OSRRefP22_4x_0)</f>
        <v>3177.21</v>
      </c>
      <c r="Q116" s="1"/>
      <c r="R116" s="5">
        <f t="shared" ref="R116:R120" si="40">IF(P$12=0,0,P116/P$12)</f>
        <v>1.3955498649893653E-2</v>
      </c>
      <c r="S116" s="1"/>
      <c r="T116" s="1">
        <f>SUM(OSRRefT22_4x_0)</f>
        <v>5009</v>
      </c>
      <c r="U116" s="1"/>
      <c r="V116" s="5">
        <f t="shared" ref="V116:V120" si="41">IF(T$12=0,0,T116/T$12)</f>
        <v>1.6583841266583015E-2</v>
      </c>
      <c r="W116" s="1"/>
      <c r="X116" s="1">
        <f t="shared" ref="X116:X120" si="42">+P116-T116</f>
        <v>-1831.79</v>
      </c>
      <c r="Y116" s="1"/>
      <c r="Z116" s="5">
        <f t="shared" ref="Z116:Z120" si="43">IF(T116=0,0,X116/T116)</f>
        <v>-0.36569974046715908</v>
      </c>
    </row>
    <row r="117" spans="1:26" s="24" customFormat="1" hidden="1" outlineLevel="2" x14ac:dyDescent="0.25">
      <c r="A117" s="27"/>
      <c r="B117" s="12" t="str">
        <f>CONCATENATE("          ", "6381", " - ", "BANK/CREDIT CARD FEES")</f>
        <v xml:space="preserve">          6381 - BANK/CREDIT CARD FEES</v>
      </c>
      <c r="C117" s="12"/>
      <c r="D117" s="7">
        <v>3177.21</v>
      </c>
      <c r="E117" s="3"/>
      <c r="F117" s="8">
        <f t="shared" si="36"/>
        <v>1.3955498649893653E-2</v>
      </c>
      <c r="G117" s="3"/>
      <c r="H117" s="7">
        <v>5009</v>
      </c>
      <c r="I117" s="3"/>
      <c r="J117" s="8">
        <f t="shared" si="37"/>
        <v>1.6583841266583015E-2</v>
      </c>
      <c r="K117" s="3"/>
      <c r="L117" s="7">
        <f t="shared" si="38"/>
        <v>-1831.79</v>
      </c>
      <c r="M117" s="3"/>
      <c r="N117" s="8">
        <f t="shared" si="39"/>
        <v>-0.36569974046715908</v>
      </c>
      <c r="O117" s="12"/>
      <c r="P117" s="7">
        <v>3177.21</v>
      </c>
      <c r="Q117" s="3"/>
      <c r="R117" s="8">
        <f t="shared" si="40"/>
        <v>1.3955498649893653E-2</v>
      </c>
      <c r="S117" s="3"/>
      <c r="T117" s="7">
        <v>5009</v>
      </c>
      <c r="U117" s="3"/>
      <c r="V117" s="8">
        <f t="shared" si="41"/>
        <v>1.6583841266583015E-2</v>
      </c>
      <c r="W117" s="3"/>
      <c r="X117" s="7">
        <f t="shared" si="42"/>
        <v>-1831.79</v>
      </c>
      <c r="Y117" s="3"/>
      <c r="Z117" s="8">
        <f t="shared" si="43"/>
        <v>-0.36569974046715908</v>
      </c>
    </row>
    <row r="118" spans="1:26" s="29" customFormat="1" outlineLevel="1" collapsed="1" x14ac:dyDescent="0.25">
      <c r="A118" s="28"/>
      <c r="B118" s="14" t="str">
        <f>CONCATENATE("     ","Depreciation                                      ")</f>
        <v xml:space="preserve">     Depreciation                                      </v>
      </c>
      <c r="C118" s="14"/>
      <c r="D118" s="1">
        <f>SUM(OSRRefD22_5x_0)</f>
        <v>39337.590000000004</v>
      </c>
      <c r="E118" s="1"/>
      <c r="F118" s="5">
        <f t="shared" si="36"/>
        <v>0.17278545772393708</v>
      </c>
      <c r="G118" s="1"/>
      <c r="H118" s="1">
        <f>SUM(OSRRefH22_5x_0)</f>
        <v>39305</v>
      </c>
      <c r="I118" s="1"/>
      <c r="J118" s="5">
        <f t="shared" si="37"/>
        <v>0.13013133978499608</v>
      </c>
      <c r="K118" s="1"/>
      <c r="L118" s="1">
        <f t="shared" si="38"/>
        <v>32.590000000003783</v>
      </c>
      <c r="M118" s="1"/>
      <c r="N118" s="5">
        <f t="shared" si="39"/>
        <v>8.2915659585304123E-4</v>
      </c>
      <c r="O118" s="14"/>
      <c r="P118" s="1">
        <f>SUM(OSRRefP22_5x_0)</f>
        <v>39337.590000000004</v>
      </c>
      <c r="Q118" s="1"/>
      <c r="R118" s="5">
        <f t="shared" si="40"/>
        <v>0.17278545772393708</v>
      </c>
      <c r="S118" s="1"/>
      <c r="T118" s="1">
        <f>SUM(OSRRefT22_5x_0)</f>
        <v>39305</v>
      </c>
      <c r="U118" s="1"/>
      <c r="V118" s="5">
        <f t="shared" si="41"/>
        <v>0.13013133978499608</v>
      </c>
      <c r="W118" s="1"/>
      <c r="X118" s="1">
        <f t="shared" si="42"/>
        <v>32.590000000003783</v>
      </c>
      <c r="Y118" s="1"/>
      <c r="Z118" s="5">
        <f t="shared" si="43"/>
        <v>8.2915659585304123E-4</v>
      </c>
    </row>
    <row r="119" spans="1:26" s="24" customFormat="1" hidden="1" outlineLevel="2" x14ac:dyDescent="0.25">
      <c r="A119" s="27"/>
      <c r="B119" s="12" t="str">
        <f>CONCATENATE("          ", "6321", " - ", "BUILDING DEPRECIATION")</f>
        <v xml:space="preserve">          6321 - BUILDING DEPRECIATION</v>
      </c>
      <c r="C119" s="12"/>
      <c r="D119" s="7">
        <v>21477.030000000002</v>
      </c>
      <c r="E119" s="3"/>
      <c r="F119" s="8">
        <f t="shared" si="36"/>
        <v>9.4335175568730278E-2</v>
      </c>
      <c r="G119" s="3"/>
      <c r="H119" s="7"/>
      <c r="I119" s="3"/>
      <c r="J119" s="8">
        <f t="shared" si="37"/>
        <v>0</v>
      </c>
      <c r="K119" s="3"/>
      <c r="L119" s="7">
        <f t="shared" si="38"/>
        <v>21477.030000000002</v>
      </c>
      <c r="M119" s="3"/>
      <c r="N119" s="8">
        <f t="shared" si="39"/>
        <v>0</v>
      </c>
      <c r="O119" s="12"/>
      <c r="P119" s="7">
        <v>21477.030000000002</v>
      </c>
      <c r="Q119" s="3"/>
      <c r="R119" s="8">
        <f t="shared" si="40"/>
        <v>9.4335175568730278E-2</v>
      </c>
      <c r="S119" s="3"/>
      <c r="T119" s="7"/>
      <c r="U119" s="3"/>
      <c r="V119" s="8">
        <f t="shared" si="41"/>
        <v>0</v>
      </c>
      <c r="W119" s="3"/>
      <c r="X119" s="7">
        <f t="shared" si="42"/>
        <v>21477.030000000002</v>
      </c>
      <c r="Y119" s="3"/>
      <c r="Z119" s="8">
        <f t="shared" si="43"/>
        <v>0</v>
      </c>
    </row>
    <row r="120" spans="1:26" s="24" customFormat="1" hidden="1" outlineLevel="2" x14ac:dyDescent="0.25">
      <c r="A120" s="27"/>
      <c r="B120" s="12" t="str">
        <f>CONCATENATE("          ", "6322", " - ", "EQUIPMENT DEPRECIATION EXPENSE")</f>
        <v xml:space="preserve">          6322 - EQUIPMENT DEPRECIATION EXPENSE</v>
      </c>
      <c r="C120" s="12"/>
      <c r="D120" s="7">
        <v>17860.560000000001</v>
      </c>
      <c r="E120" s="3"/>
      <c r="F120" s="8">
        <f t="shared" si="36"/>
        <v>7.8450282155206802E-2</v>
      </c>
      <c r="G120" s="3"/>
      <c r="H120" s="7">
        <v>39305</v>
      </c>
      <c r="I120" s="3"/>
      <c r="J120" s="8">
        <f t="shared" si="37"/>
        <v>0.13013133978499608</v>
      </c>
      <c r="K120" s="3"/>
      <c r="L120" s="7">
        <f t="shared" si="38"/>
        <v>-21444.44</v>
      </c>
      <c r="M120" s="3"/>
      <c r="N120" s="8">
        <f t="shared" si="39"/>
        <v>-0.54559063732349566</v>
      </c>
      <c r="O120" s="12"/>
      <c r="P120" s="7">
        <v>17860.560000000001</v>
      </c>
      <c r="Q120" s="3"/>
      <c r="R120" s="8">
        <f t="shared" si="40"/>
        <v>7.8450282155206802E-2</v>
      </c>
      <c r="S120" s="3"/>
      <c r="T120" s="7">
        <v>39305</v>
      </c>
      <c r="U120" s="3"/>
      <c r="V120" s="8">
        <f t="shared" si="41"/>
        <v>0.13013133978499608</v>
      </c>
      <c r="W120" s="3"/>
      <c r="X120" s="7">
        <f t="shared" si="42"/>
        <v>-21444.44</v>
      </c>
      <c r="Y120" s="3"/>
      <c r="Z120" s="8">
        <f t="shared" si="43"/>
        <v>-0.54559063732349566</v>
      </c>
    </row>
    <row r="121" spans="1:26" s="29" customFormat="1" outlineLevel="1" collapsed="1" x14ac:dyDescent="0.25">
      <c r="A121" s="28"/>
      <c r="B121" s="14" t="str">
        <f>CONCATENATE("     ","Discounts and Markdowns                           ")</f>
        <v xml:space="preserve">     Discounts and Markdowns                           </v>
      </c>
      <c r="C121" s="14"/>
      <c r="D121" s="1">
        <f>SUM(OSRRefD22_6x_0)</f>
        <v>0</v>
      </c>
      <c r="E121" s="1"/>
      <c r="F121" s="5">
        <f t="shared" ref="F121:F125" si="44">IF(D$12=0,0,D121/D$12)</f>
        <v>0</v>
      </c>
      <c r="G121" s="1"/>
      <c r="H121" s="1">
        <f>SUM(OSRRefH22_6x_0)</f>
        <v>19519</v>
      </c>
      <c r="I121" s="1"/>
      <c r="J121" s="5">
        <f t="shared" ref="J121:J125" si="45">IF(H$12=0,0,H121/H$12)</f>
        <v>6.4623676918034306E-2</v>
      </c>
      <c r="K121" s="1"/>
      <c r="L121" s="1">
        <f t="shared" ref="L121:L125" si="46">+D121-H121</f>
        <v>-19519</v>
      </c>
      <c r="M121" s="1"/>
      <c r="N121" s="5">
        <f t="shared" ref="N121:N125" si="47">IF(H121=0,0,L121/H121)</f>
        <v>-1</v>
      </c>
      <c r="O121" s="14"/>
      <c r="P121" s="1">
        <f>SUM(OSRRefP22_6x_0)</f>
        <v>0</v>
      </c>
      <c r="Q121" s="1"/>
      <c r="R121" s="5">
        <f t="shared" ref="R121:R125" si="48">IF(P$12=0,0,P121/P$12)</f>
        <v>0</v>
      </c>
      <c r="S121" s="1"/>
      <c r="T121" s="1">
        <f>SUM(OSRRefT22_6x_0)</f>
        <v>19519</v>
      </c>
      <c r="U121" s="1"/>
      <c r="V121" s="5">
        <f t="shared" ref="V121:V125" si="49">IF(T$12=0,0,T121/T$12)</f>
        <v>6.4623676918034306E-2</v>
      </c>
      <c r="W121" s="1"/>
      <c r="X121" s="1">
        <f t="shared" ref="X121:X125" si="50">+P121-T121</f>
        <v>-19519</v>
      </c>
      <c r="Y121" s="1"/>
      <c r="Z121" s="5">
        <f t="shared" ref="Z121:Z125" si="51">IF(T121=0,0,X121/T121)</f>
        <v>-1</v>
      </c>
    </row>
    <row r="122" spans="1:26" s="24" customFormat="1" hidden="1" outlineLevel="2" x14ac:dyDescent="0.25">
      <c r="A122" s="27"/>
      <c r="B122" s="12" t="str">
        <f>CONCATENATE("          ", "6382", " - ", "DISCOUNTS/MARK DOWNS")</f>
        <v xml:space="preserve">          6382 - DISCOUNTS/MARK DOWNS</v>
      </c>
      <c r="C122" s="12"/>
      <c r="D122" s="7"/>
      <c r="E122" s="3"/>
      <c r="F122" s="8">
        <f t="shared" si="44"/>
        <v>0</v>
      </c>
      <c r="G122" s="3"/>
      <c r="H122" s="7">
        <v>19519</v>
      </c>
      <c r="I122" s="3"/>
      <c r="J122" s="8">
        <f t="shared" si="45"/>
        <v>6.4623676918034306E-2</v>
      </c>
      <c r="K122" s="3"/>
      <c r="L122" s="7">
        <f t="shared" si="46"/>
        <v>-19519</v>
      </c>
      <c r="M122" s="3"/>
      <c r="N122" s="8">
        <f t="shared" si="47"/>
        <v>-1</v>
      </c>
      <c r="O122" s="12"/>
      <c r="P122" s="7"/>
      <c r="Q122" s="3"/>
      <c r="R122" s="8">
        <f t="shared" si="48"/>
        <v>0</v>
      </c>
      <c r="S122" s="3"/>
      <c r="T122" s="7">
        <v>19519</v>
      </c>
      <c r="U122" s="3"/>
      <c r="V122" s="8">
        <f t="shared" si="49"/>
        <v>6.4623676918034306E-2</v>
      </c>
      <c r="W122" s="3"/>
      <c r="X122" s="7">
        <f t="shared" si="50"/>
        <v>-19519</v>
      </c>
      <c r="Y122" s="3"/>
      <c r="Z122" s="8">
        <f t="shared" si="51"/>
        <v>-1</v>
      </c>
    </row>
    <row r="123" spans="1:26" s="29" customFormat="1" outlineLevel="1" collapsed="1" x14ac:dyDescent="0.25">
      <c r="A123" s="28"/>
      <c r="B123" s="14" t="str">
        <f>CONCATENATE("     ","Donations                                         ")</f>
        <v xml:space="preserve">     Donations                                         </v>
      </c>
      <c r="C123" s="14"/>
      <c r="D123" s="1">
        <f>SUM(OSRRefD22_7x_0)</f>
        <v>0</v>
      </c>
      <c r="E123" s="1"/>
      <c r="F123" s="5">
        <f t="shared" si="44"/>
        <v>0</v>
      </c>
      <c r="G123" s="1"/>
      <c r="H123" s="1">
        <f>SUM(OSRRefH22_7x_0)</f>
        <v>1000</v>
      </c>
      <c r="I123" s="1"/>
      <c r="J123" s="5">
        <f t="shared" si="45"/>
        <v>3.3108087974811368E-3</v>
      </c>
      <c r="K123" s="1"/>
      <c r="L123" s="1">
        <f t="shared" si="46"/>
        <v>-1000</v>
      </c>
      <c r="M123" s="1"/>
      <c r="N123" s="5">
        <f t="shared" si="47"/>
        <v>-1</v>
      </c>
      <c r="O123" s="14"/>
      <c r="P123" s="1">
        <f>SUM(OSRRefP22_7x_0)</f>
        <v>0</v>
      </c>
      <c r="Q123" s="1"/>
      <c r="R123" s="5">
        <f t="shared" si="48"/>
        <v>0</v>
      </c>
      <c r="S123" s="1"/>
      <c r="T123" s="1">
        <f>SUM(OSRRefT22_7x_0)</f>
        <v>1000</v>
      </c>
      <c r="U123" s="1"/>
      <c r="V123" s="5">
        <f t="shared" si="49"/>
        <v>3.3108087974811368E-3</v>
      </c>
      <c r="W123" s="1"/>
      <c r="X123" s="1">
        <f t="shared" si="50"/>
        <v>-1000</v>
      </c>
      <c r="Y123" s="1"/>
      <c r="Z123" s="5">
        <f t="shared" si="51"/>
        <v>-1</v>
      </c>
    </row>
    <row r="124" spans="1:26" s="24" customFormat="1" hidden="1" outlineLevel="2" x14ac:dyDescent="0.25">
      <c r="A124" s="27"/>
      <c r="B124" s="12" t="str">
        <f>CONCATENATE("          ", "6395", " - ", "DONATION-OFF CAMPUS")</f>
        <v xml:space="preserve">          6395 - DONATION-OFF CAMPUS</v>
      </c>
      <c r="C124" s="12"/>
      <c r="D124" s="7"/>
      <c r="E124" s="3"/>
      <c r="F124" s="8">
        <f t="shared" si="44"/>
        <v>0</v>
      </c>
      <c r="G124" s="3"/>
      <c r="H124" s="7">
        <v>0</v>
      </c>
      <c r="I124" s="3"/>
      <c r="J124" s="8">
        <f t="shared" si="45"/>
        <v>0</v>
      </c>
      <c r="K124" s="3"/>
      <c r="L124" s="7">
        <f t="shared" si="46"/>
        <v>0</v>
      </c>
      <c r="M124" s="3"/>
      <c r="N124" s="8">
        <f t="shared" si="47"/>
        <v>0</v>
      </c>
      <c r="O124" s="12"/>
      <c r="P124" s="7"/>
      <c r="Q124" s="3"/>
      <c r="R124" s="8">
        <f t="shared" si="48"/>
        <v>0</v>
      </c>
      <c r="S124" s="3"/>
      <c r="T124" s="7">
        <v>0</v>
      </c>
      <c r="U124" s="3"/>
      <c r="V124" s="8">
        <f t="shared" si="49"/>
        <v>0</v>
      </c>
      <c r="W124" s="3"/>
      <c r="X124" s="7">
        <f t="shared" si="50"/>
        <v>0</v>
      </c>
      <c r="Y124" s="3"/>
      <c r="Z124" s="8">
        <f t="shared" si="51"/>
        <v>0</v>
      </c>
    </row>
    <row r="125" spans="1:26" s="24" customFormat="1" hidden="1" outlineLevel="2" x14ac:dyDescent="0.25">
      <c r="A125" s="27"/>
      <c r="B125" s="12" t="str">
        <f>CONCATENATE("          ", "6399", " - ", "DONATION-ON CAMPUS")</f>
        <v xml:space="preserve">          6399 - DONATION-ON CAMPUS</v>
      </c>
      <c r="C125" s="12"/>
      <c r="D125" s="7"/>
      <c r="E125" s="3"/>
      <c r="F125" s="8">
        <f t="shared" si="44"/>
        <v>0</v>
      </c>
      <c r="G125" s="3"/>
      <c r="H125" s="7">
        <v>1000</v>
      </c>
      <c r="I125" s="3"/>
      <c r="J125" s="8">
        <f t="shared" si="45"/>
        <v>3.3108087974811368E-3</v>
      </c>
      <c r="K125" s="3"/>
      <c r="L125" s="7">
        <f t="shared" si="46"/>
        <v>-1000</v>
      </c>
      <c r="M125" s="3"/>
      <c r="N125" s="8">
        <f t="shared" si="47"/>
        <v>-1</v>
      </c>
      <c r="O125" s="12"/>
      <c r="P125" s="7"/>
      <c r="Q125" s="3"/>
      <c r="R125" s="8">
        <f t="shared" si="48"/>
        <v>0</v>
      </c>
      <c r="S125" s="3"/>
      <c r="T125" s="7">
        <v>1000</v>
      </c>
      <c r="U125" s="3"/>
      <c r="V125" s="8">
        <f t="shared" si="49"/>
        <v>3.3108087974811368E-3</v>
      </c>
      <c r="W125" s="3"/>
      <c r="X125" s="7">
        <f t="shared" si="50"/>
        <v>-1000</v>
      </c>
      <c r="Y125" s="3"/>
      <c r="Z125" s="8">
        <f t="shared" si="51"/>
        <v>-1</v>
      </c>
    </row>
    <row r="126" spans="1:26" s="29" customFormat="1" outlineLevel="1" collapsed="1" x14ac:dyDescent="0.25">
      <c r="A126" s="28"/>
      <c r="B126" s="14" t="str">
        <f>CONCATENATE("     ","Employees' Appreciation                           ")</f>
        <v xml:space="preserve">     Employees' Appreciation                           </v>
      </c>
      <c r="C126" s="14"/>
      <c r="D126" s="1">
        <f>SUM(OSRRefD22_8x_0)</f>
        <v>107.7</v>
      </c>
      <c r="E126" s="1"/>
      <c r="F126" s="5">
        <f t="shared" ref="F126:F132" si="52">IF(D$12=0,0,D126/D$12)</f>
        <v>4.7305881719922398E-4</v>
      </c>
      <c r="G126" s="1"/>
      <c r="H126" s="1">
        <f>SUM(OSRRefH22_8x_0)</f>
        <v>425</v>
      </c>
      <c r="I126" s="1"/>
      <c r="J126" s="5">
        <f t="shared" ref="J126:J132" si="53">IF(H$12=0,0,H126/H$12)</f>
        <v>1.407093738929483E-3</v>
      </c>
      <c r="K126" s="1"/>
      <c r="L126" s="1">
        <f t="shared" ref="L126:L132" si="54">+D126-H126</f>
        <v>-317.3</v>
      </c>
      <c r="M126" s="1"/>
      <c r="N126" s="5">
        <f t="shared" ref="N126:N132" si="55">IF(H126=0,0,L126/H126)</f>
        <v>-0.74658823529411766</v>
      </c>
      <c r="O126" s="14"/>
      <c r="P126" s="1">
        <f>SUM(OSRRefP22_8x_0)</f>
        <v>107.7</v>
      </c>
      <c r="Q126" s="1"/>
      <c r="R126" s="5">
        <f t="shared" ref="R126:R132" si="56">IF(P$12=0,0,P126/P$12)</f>
        <v>4.7305881719922398E-4</v>
      </c>
      <c r="S126" s="1"/>
      <c r="T126" s="1">
        <f>SUM(OSRRefT22_8x_0)</f>
        <v>425</v>
      </c>
      <c r="U126" s="1"/>
      <c r="V126" s="5">
        <f t="shared" ref="V126:V132" si="57">IF(T$12=0,0,T126/T$12)</f>
        <v>1.407093738929483E-3</v>
      </c>
      <c r="W126" s="1"/>
      <c r="X126" s="1">
        <f t="shared" ref="X126:X132" si="58">+P126-T126</f>
        <v>-317.3</v>
      </c>
      <c r="Y126" s="1"/>
      <c r="Z126" s="5">
        <f t="shared" ref="Z126:Z132" si="59">IF(T126=0,0,X126/T126)</f>
        <v>-0.74658823529411766</v>
      </c>
    </row>
    <row r="127" spans="1:26" s="24" customFormat="1" hidden="1" outlineLevel="2" x14ac:dyDescent="0.25">
      <c r="A127" s="27"/>
      <c r="B127" s="12" t="str">
        <f>CONCATENATE("          ", "6277", " - ", "EMPLOYEE APPRECIATION")</f>
        <v xml:space="preserve">          6277 - EMPLOYEE APPRECIATION</v>
      </c>
      <c r="C127" s="12"/>
      <c r="D127" s="7">
        <v>107.7</v>
      </c>
      <c r="E127" s="3"/>
      <c r="F127" s="8">
        <f t="shared" si="52"/>
        <v>4.7305881719922398E-4</v>
      </c>
      <c r="G127" s="3"/>
      <c r="H127" s="7">
        <v>425</v>
      </c>
      <c r="I127" s="3"/>
      <c r="J127" s="8">
        <f t="shared" si="53"/>
        <v>1.407093738929483E-3</v>
      </c>
      <c r="K127" s="3"/>
      <c r="L127" s="7">
        <f t="shared" si="54"/>
        <v>-317.3</v>
      </c>
      <c r="M127" s="3"/>
      <c r="N127" s="8">
        <f t="shared" si="55"/>
        <v>-0.74658823529411766</v>
      </c>
      <c r="O127" s="12"/>
      <c r="P127" s="7">
        <v>107.7</v>
      </c>
      <c r="Q127" s="3"/>
      <c r="R127" s="8">
        <f t="shared" si="56"/>
        <v>4.7305881719922398E-4</v>
      </c>
      <c r="S127" s="3"/>
      <c r="T127" s="7">
        <v>425</v>
      </c>
      <c r="U127" s="3"/>
      <c r="V127" s="8">
        <f t="shared" si="57"/>
        <v>1.407093738929483E-3</v>
      </c>
      <c r="W127" s="3"/>
      <c r="X127" s="7">
        <f t="shared" si="58"/>
        <v>-317.3</v>
      </c>
      <c r="Y127" s="3"/>
      <c r="Z127" s="8">
        <f t="shared" si="59"/>
        <v>-0.74658823529411766</v>
      </c>
    </row>
    <row r="128" spans="1:26" s="29" customFormat="1" outlineLevel="1" collapsed="1" x14ac:dyDescent="0.25">
      <c r="A128" s="28"/>
      <c r="B128" s="14" t="str">
        <f>CONCATENATE("     ","Equipment Rental                                  ")</f>
        <v xml:space="preserve">     Equipment Rental                                  </v>
      </c>
      <c r="C128" s="14"/>
      <c r="D128" s="1">
        <f>SUM(OSRRefD22_9x_0)</f>
        <v>1388.16</v>
      </c>
      <c r="E128" s="1"/>
      <c r="F128" s="5">
        <f t="shared" si="52"/>
        <v>6.0973196627973521E-3</v>
      </c>
      <c r="G128" s="1"/>
      <c r="H128" s="1">
        <f>SUM(OSRRefH22_9x_0)</f>
        <v>3006</v>
      </c>
      <c r="I128" s="1"/>
      <c r="J128" s="5">
        <f t="shared" si="53"/>
        <v>9.9522912452282963E-3</v>
      </c>
      <c r="K128" s="1"/>
      <c r="L128" s="1">
        <f t="shared" si="54"/>
        <v>-1617.84</v>
      </c>
      <c r="M128" s="1"/>
      <c r="N128" s="5">
        <f t="shared" si="55"/>
        <v>-0.53820359281437125</v>
      </c>
      <c r="O128" s="14"/>
      <c r="P128" s="1">
        <f>SUM(OSRRefP22_9x_0)</f>
        <v>1388.16</v>
      </c>
      <c r="Q128" s="1"/>
      <c r="R128" s="5">
        <f t="shared" si="56"/>
        <v>6.0973196627973521E-3</v>
      </c>
      <c r="S128" s="1"/>
      <c r="T128" s="1">
        <f>SUM(OSRRefT22_9x_0)</f>
        <v>3006</v>
      </c>
      <c r="U128" s="1"/>
      <c r="V128" s="5">
        <f t="shared" si="57"/>
        <v>9.9522912452282963E-3</v>
      </c>
      <c r="W128" s="1"/>
      <c r="X128" s="1">
        <f t="shared" si="58"/>
        <v>-1617.84</v>
      </c>
      <c r="Y128" s="1"/>
      <c r="Z128" s="5">
        <f t="shared" si="59"/>
        <v>-0.53820359281437125</v>
      </c>
    </row>
    <row r="129" spans="1:26" s="24" customFormat="1" hidden="1" outlineLevel="2" x14ac:dyDescent="0.25">
      <c r="A129" s="27"/>
      <c r="B129" s="12" t="str">
        <f>CONCATENATE("          ", "6351", " - ", "EQUIPMENT RENTAL")</f>
        <v xml:space="preserve">          6351 - EQUIPMENT RENTAL</v>
      </c>
      <c r="C129" s="12"/>
      <c r="D129" s="7">
        <v>1388.16</v>
      </c>
      <c r="E129" s="3"/>
      <c r="F129" s="8">
        <f t="shared" si="52"/>
        <v>6.0973196627973521E-3</v>
      </c>
      <c r="G129" s="3"/>
      <c r="H129" s="7">
        <v>3006</v>
      </c>
      <c r="I129" s="3"/>
      <c r="J129" s="8">
        <f t="shared" si="53"/>
        <v>9.9522912452282963E-3</v>
      </c>
      <c r="K129" s="3"/>
      <c r="L129" s="7">
        <f t="shared" si="54"/>
        <v>-1617.84</v>
      </c>
      <c r="M129" s="3"/>
      <c r="N129" s="8">
        <f t="shared" si="55"/>
        <v>-0.53820359281437125</v>
      </c>
      <c r="O129" s="12"/>
      <c r="P129" s="7">
        <v>1388.16</v>
      </c>
      <c r="Q129" s="3"/>
      <c r="R129" s="8">
        <f t="shared" si="56"/>
        <v>6.0973196627973521E-3</v>
      </c>
      <c r="S129" s="3"/>
      <c r="T129" s="7">
        <v>3006</v>
      </c>
      <c r="U129" s="3"/>
      <c r="V129" s="8">
        <f t="shared" si="57"/>
        <v>9.9522912452282963E-3</v>
      </c>
      <c r="W129" s="3"/>
      <c r="X129" s="7">
        <f t="shared" si="58"/>
        <v>-1617.84</v>
      </c>
      <c r="Y129" s="3"/>
      <c r="Z129" s="8">
        <f t="shared" si="59"/>
        <v>-0.53820359281437125</v>
      </c>
    </row>
    <row r="130" spans="1:26" s="29" customFormat="1" outlineLevel="1" collapsed="1" x14ac:dyDescent="0.25">
      <c r="A130" s="28"/>
      <c r="B130" s="14" t="str">
        <f>CONCATENATE("     ","Freight out/Postage                               ")</f>
        <v xml:space="preserve">     Freight out/Postage                               </v>
      </c>
      <c r="C130" s="14"/>
      <c r="D130" s="1">
        <f>SUM(OSRRefD22_10x_0)</f>
        <v>8928.65</v>
      </c>
      <c r="E130" s="1"/>
      <c r="F130" s="5">
        <f t="shared" si="52"/>
        <v>3.9217981505903908E-2</v>
      </c>
      <c r="G130" s="1"/>
      <c r="H130" s="1">
        <f>SUM(OSRRefH22_10x_0)</f>
        <v>5020</v>
      </c>
      <c r="I130" s="1"/>
      <c r="J130" s="5">
        <f t="shared" si="53"/>
        <v>1.6620260163355306E-2</v>
      </c>
      <c r="K130" s="1"/>
      <c r="L130" s="1">
        <f t="shared" si="54"/>
        <v>3908.6499999999996</v>
      </c>
      <c r="M130" s="1"/>
      <c r="N130" s="5">
        <f t="shared" si="55"/>
        <v>0.77861553784860549</v>
      </c>
      <c r="O130" s="14"/>
      <c r="P130" s="1">
        <f>SUM(OSRRefP22_10x_0)</f>
        <v>8928.65</v>
      </c>
      <c r="Q130" s="1"/>
      <c r="R130" s="5">
        <f t="shared" si="56"/>
        <v>3.9217981505903908E-2</v>
      </c>
      <c r="S130" s="1"/>
      <c r="T130" s="1">
        <f>SUM(OSRRefT22_10x_0)</f>
        <v>5020</v>
      </c>
      <c r="U130" s="1"/>
      <c r="V130" s="5">
        <f t="shared" si="57"/>
        <v>1.6620260163355306E-2</v>
      </c>
      <c r="W130" s="1"/>
      <c r="X130" s="1">
        <f t="shared" si="58"/>
        <v>3908.6499999999996</v>
      </c>
      <c r="Y130" s="1"/>
      <c r="Z130" s="5">
        <f t="shared" si="59"/>
        <v>0.77861553784860549</v>
      </c>
    </row>
    <row r="131" spans="1:26" s="24" customFormat="1" hidden="1" outlineLevel="2" x14ac:dyDescent="0.25">
      <c r="A131" s="27"/>
      <c r="B131" s="12" t="str">
        <f>CONCATENATE("          ", "6305", " - ", "FREIGHT OUT")</f>
        <v xml:space="preserve">          6305 - FREIGHT OUT</v>
      </c>
      <c r="C131" s="12"/>
      <c r="D131" s="7">
        <v>12089.09</v>
      </c>
      <c r="E131" s="3"/>
      <c r="F131" s="8">
        <f t="shared" si="52"/>
        <v>5.309982002242309E-2</v>
      </c>
      <c r="G131" s="3"/>
      <c r="H131" s="7">
        <v>1500</v>
      </c>
      <c r="I131" s="3"/>
      <c r="J131" s="8">
        <f t="shared" si="53"/>
        <v>4.9662131962217053E-3</v>
      </c>
      <c r="K131" s="3"/>
      <c r="L131" s="7">
        <f t="shared" si="54"/>
        <v>10589.09</v>
      </c>
      <c r="M131" s="3"/>
      <c r="N131" s="8">
        <f t="shared" si="55"/>
        <v>7.0593933333333334</v>
      </c>
      <c r="O131" s="12"/>
      <c r="P131" s="7">
        <v>12089.09</v>
      </c>
      <c r="Q131" s="3"/>
      <c r="R131" s="8">
        <f t="shared" si="56"/>
        <v>5.309982002242309E-2</v>
      </c>
      <c r="S131" s="3"/>
      <c r="T131" s="7">
        <v>1500</v>
      </c>
      <c r="U131" s="3"/>
      <c r="V131" s="8">
        <f t="shared" si="57"/>
        <v>4.9662131962217053E-3</v>
      </c>
      <c r="W131" s="3"/>
      <c r="X131" s="7">
        <f t="shared" si="58"/>
        <v>10589.09</v>
      </c>
      <c r="Y131" s="3"/>
      <c r="Z131" s="8">
        <f t="shared" si="59"/>
        <v>7.0593933333333334</v>
      </c>
    </row>
    <row r="132" spans="1:26" s="24" customFormat="1" hidden="1" outlineLevel="2" x14ac:dyDescent="0.25">
      <c r="A132" s="27"/>
      <c r="B132" s="12" t="str">
        <f>CONCATENATE("          ", "6307", " - ", "POSTAGE")</f>
        <v xml:space="preserve">          6307 - POSTAGE</v>
      </c>
      <c r="C132" s="12"/>
      <c r="D132" s="7">
        <v>-3160.44</v>
      </c>
      <c r="E132" s="3"/>
      <c r="F132" s="8">
        <f t="shared" si="52"/>
        <v>-1.3881838516519179E-2</v>
      </c>
      <c r="G132" s="3"/>
      <c r="H132" s="7">
        <v>3520</v>
      </c>
      <c r="I132" s="3"/>
      <c r="J132" s="8">
        <f t="shared" si="53"/>
        <v>1.1654046967133602E-2</v>
      </c>
      <c r="K132" s="3"/>
      <c r="L132" s="7">
        <f t="shared" si="54"/>
        <v>-6680.4400000000005</v>
      </c>
      <c r="M132" s="3"/>
      <c r="N132" s="8">
        <f t="shared" si="55"/>
        <v>-1.8978522727272729</v>
      </c>
      <c r="O132" s="12"/>
      <c r="P132" s="7">
        <v>-3160.44</v>
      </c>
      <c r="Q132" s="3"/>
      <c r="R132" s="8">
        <f t="shared" si="56"/>
        <v>-1.3881838516519179E-2</v>
      </c>
      <c r="S132" s="3"/>
      <c r="T132" s="7">
        <v>3520</v>
      </c>
      <c r="U132" s="3"/>
      <c r="V132" s="8">
        <f t="shared" si="57"/>
        <v>1.1654046967133602E-2</v>
      </c>
      <c r="W132" s="3"/>
      <c r="X132" s="7">
        <f t="shared" si="58"/>
        <v>-6680.4400000000005</v>
      </c>
      <c r="Y132" s="3"/>
      <c r="Z132" s="8">
        <f t="shared" si="59"/>
        <v>-1.8978522727272729</v>
      </c>
    </row>
    <row r="133" spans="1:26" s="29" customFormat="1" outlineLevel="1" collapsed="1" x14ac:dyDescent="0.25">
      <c r="A133" s="28"/>
      <c r="B133" s="14" t="str">
        <f>CONCATENATE("     ","General                                           ")</f>
        <v xml:space="preserve">     General                                           </v>
      </c>
      <c r="C133" s="14"/>
      <c r="D133" s="1">
        <f>SUM(OSRRefD22_11x_0)</f>
        <v>-1810.99</v>
      </c>
      <c r="E133" s="1"/>
      <c r="F133" s="5">
        <f t="shared" ref="F133:F135" si="60">IF(D$12=0,0,D133/D$12)</f>
        <v>-7.9545477006464499E-3</v>
      </c>
      <c r="G133" s="1"/>
      <c r="H133" s="1">
        <f>SUM(OSRRefH22_11x_0)</f>
        <v>4800</v>
      </c>
      <c r="I133" s="1"/>
      <c r="J133" s="5">
        <f t="shared" ref="J133:J135" si="61">IF(H$12=0,0,H133/H$12)</f>
        <v>1.5891882227909455E-2</v>
      </c>
      <c r="K133" s="1"/>
      <c r="L133" s="1">
        <f t="shared" ref="L133:L135" si="62">+D133-H133</f>
        <v>-6610.99</v>
      </c>
      <c r="M133" s="1"/>
      <c r="N133" s="5">
        <f t="shared" ref="N133:N135" si="63">IF(H133=0,0,L133/H133)</f>
        <v>-1.3772895833333332</v>
      </c>
      <c r="O133" s="14"/>
      <c r="P133" s="1">
        <f>SUM(OSRRefP22_11x_0)</f>
        <v>-1810.99</v>
      </c>
      <c r="Q133" s="1"/>
      <c r="R133" s="5">
        <f t="shared" ref="R133:R135" si="64">IF(P$12=0,0,P133/P$12)</f>
        <v>-7.9545477006464499E-3</v>
      </c>
      <c r="S133" s="1"/>
      <c r="T133" s="1">
        <f>SUM(OSRRefT22_11x_0)</f>
        <v>4800</v>
      </c>
      <c r="U133" s="1"/>
      <c r="V133" s="5">
        <f t="shared" ref="V133:V135" si="65">IF(T$12=0,0,T133/T$12)</f>
        <v>1.5891882227909455E-2</v>
      </c>
      <c r="W133" s="1"/>
      <c r="X133" s="1">
        <f t="shared" ref="X133:X135" si="66">+P133-T133</f>
        <v>-6610.99</v>
      </c>
      <c r="Y133" s="1"/>
      <c r="Z133" s="5">
        <f t="shared" ref="Z133:Z135" si="67">IF(T133=0,0,X133/T133)</f>
        <v>-1.3772895833333332</v>
      </c>
    </row>
    <row r="134" spans="1:26" s="24" customFormat="1" hidden="1" outlineLevel="2" x14ac:dyDescent="0.25">
      <c r="A134" s="27"/>
      <c r="B134" s="12" t="str">
        <f>CONCATENATE("          ", "6276", " - ", "PROPERTY TAX")</f>
        <v xml:space="preserve">          6276 - PROPERTY TAX</v>
      </c>
      <c r="C134" s="12"/>
      <c r="D134" s="7"/>
      <c r="E134" s="3"/>
      <c r="F134" s="8">
        <f t="shared" si="60"/>
        <v>0</v>
      </c>
      <c r="G134" s="3"/>
      <c r="H134" s="7">
        <v>150</v>
      </c>
      <c r="I134" s="3"/>
      <c r="J134" s="8">
        <f t="shared" si="61"/>
        <v>4.9662131962217046E-4</v>
      </c>
      <c r="K134" s="3"/>
      <c r="L134" s="7">
        <f t="shared" si="62"/>
        <v>-150</v>
      </c>
      <c r="M134" s="3"/>
      <c r="N134" s="8">
        <f t="shared" si="63"/>
        <v>-1</v>
      </c>
      <c r="O134" s="12"/>
      <c r="P134" s="7"/>
      <c r="Q134" s="3"/>
      <c r="R134" s="8">
        <f t="shared" si="64"/>
        <v>0</v>
      </c>
      <c r="S134" s="3"/>
      <c r="T134" s="7">
        <v>150</v>
      </c>
      <c r="U134" s="3"/>
      <c r="V134" s="8">
        <f t="shared" si="65"/>
        <v>4.9662131962217046E-4</v>
      </c>
      <c r="W134" s="3"/>
      <c r="X134" s="7">
        <f t="shared" si="66"/>
        <v>-150</v>
      </c>
      <c r="Y134" s="3"/>
      <c r="Z134" s="8">
        <f t="shared" si="67"/>
        <v>-1</v>
      </c>
    </row>
    <row r="135" spans="1:26" s="24" customFormat="1" hidden="1" outlineLevel="2" x14ac:dyDescent="0.25">
      <c r="A135" s="27"/>
      <c r="B135" s="12" t="str">
        <f>CONCATENATE("          ", "6279", " - ", "GENERAL EXPENSE")</f>
        <v xml:space="preserve">          6279 - GENERAL EXPENSE</v>
      </c>
      <c r="C135" s="12"/>
      <c r="D135" s="7">
        <v>-1810.99</v>
      </c>
      <c r="E135" s="3"/>
      <c r="F135" s="8">
        <f t="shared" si="60"/>
        <v>-7.9545477006464499E-3</v>
      </c>
      <c r="G135" s="3"/>
      <c r="H135" s="7">
        <v>4650</v>
      </c>
      <c r="I135" s="3"/>
      <c r="J135" s="8">
        <f t="shared" si="61"/>
        <v>1.5395260908287285E-2</v>
      </c>
      <c r="K135" s="3"/>
      <c r="L135" s="7">
        <f t="shared" si="62"/>
        <v>-6460.99</v>
      </c>
      <c r="M135" s="3"/>
      <c r="N135" s="8">
        <f t="shared" si="63"/>
        <v>-1.3894602150537634</v>
      </c>
      <c r="O135" s="12"/>
      <c r="P135" s="7">
        <v>-1810.99</v>
      </c>
      <c r="Q135" s="3"/>
      <c r="R135" s="8">
        <f t="shared" si="64"/>
        <v>-7.9545477006464499E-3</v>
      </c>
      <c r="S135" s="3"/>
      <c r="T135" s="7">
        <v>4650</v>
      </c>
      <c r="U135" s="3"/>
      <c r="V135" s="8">
        <f t="shared" si="65"/>
        <v>1.5395260908287285E-2</v>
      </c>
      <c r="W135" s="3"/>
      <c r="X135" s="7">
        <f t="shared" si="66"/>
        <v>-6460.99</v>
      </c>
      <c r="Y135" s="3"/>
      <c r="Z135" s="8">
        <f t="shared" si="67"/>
        <v>-1.3894602150537634</v>
      </c>
    </row>
    <row r="136" spans="1:26" s="29" customFormat="1" outlineLevel="1" collapsed="1" x14ac:dyDescent="0.25">
      <c r="A136" s="28"/>
      <c r="B136" s="14" t="str">
        <f>CONCATENATE("     ","Insurance                                         ")</f>
        <v xml:space="preserve">     Insurance                                         </v>
      </c>
      <c r="C136" s="14"/>
      <c r="D136" s="1">
        <f>SUM(OSRRefD22_12x_0)</f>
        <v>4288.28</v>
      </c>
      <c r="E136" s="1"/>
      <c r="F136" s="5">
        <f t="shared" ref="F136:F149" si="68">IF(D$12=0,0,D136/D$12)</f>
        <v>1.8835735047530996E-2</v>
      </c>
      <c r="G136" s="1"/>
      <c r="H136" s="1">
        <f>SUM(OSRRefH22_12x_0)</f>
        <v>4716</v>
      </c>
      <c r="I136" s="1"/>
      <c r="J136" s="5">
        <f t="shared" ref="J136:J149" si="69">IF(H$12=0,0,H136/H$12)</f>
        <v>1.561377428892104E-2</v>
      </c>
      <c r="K136" s="1"/>
      <c r="L136" s="1">
        <f t="shared" ref="L136:L149" si="70">+D136-H136</f>
        <v>-427.72000000000025</v>
      </c>
      <c r="M136" s="1"/>
      <c r="N136" s="5">
        <f t="shared" ref="N136:N149" si="71">IF(H136=0,0,L136/H136)</f>
        <v>-9.0695504664970367E-2</v>
      </c>
      <c r="O136" s="14"/>
      <c r="P136" s="1">
        <f>SUM(OSRRefP22_12x_0)</f>
        <v>4288.28</v>
      </c>
      <c r="Q136" s="1"/>
      <c r="R136" s="5">
        <f t="shared" ref="R136:R149" si="72">IF(P$12=0,0,P136/P$12)</f>
        <v>1.8835735047530996E-2</v>
      </c>
      <c r="S136" s="1"/>
      <c r="T136" s="1">
        <f>SUM(OSRRefT22_12x_0)</f>
        <v>4716</v>
      </c>
      <c r="U136" s="1"/>
      <c r="V136" s="5">
        <f t="shared" ref="V136:V149" si="73">IF(T$12=0,0,T136/T$12)</f>
        <v>1.561377428892104E-2</v>
      </c>
      <c r="W136" s="1"/>
      <c r="X136" s="1">
        <f t="shared" ref="X136:X149" si="74">+P136-T136</f>
        <v>-427.72000000000025</v>
      </c>
      <c r="Y136" s="1"/>
      <c r="Z136" s="5">
        <f t="shared" ref="Z136:Z149" si="75">IF(T136=0,0,X136/T136)</f>
        <v>-9.0695504664970367E-2</v>
      </c>
    </row>
    <row r="137" spans="1:26" s="24" customFormat="1" hidden="1" outlineLevel="2" x14ac:dyDescent="0.25">
      <c r="A137" s="27"/>
      <c r="B137" s="12" t="str">
        <f>CONCATENATE("          ", "6314", " - ", "LIABILITY INSURANCE")</f>
        <v xml:space="preserve">          6314 - LIABILITY INSURANCE</v>
      </c>
      <c r="C137" s="12"/>
      <c r="D137" s="7">
        <v>4288.28</v>
      </c>
      <c r="E137" s="3"/>
      <c r="F137" s="8">
        <f t="shared" si="68"/>
        <v>1.8835735047530996E-2</v>
      </c>
      <c r="G137" s="3"/>
      <c r="H137" s="7">
        <v>4716</v>
      </c>
      <c r="I137" s="3"/>
      <c r="J137" s="8">
        <f t="shared" si="69"/>
        <v>1.561377428892104E-2</v>
      </c>
      <c r="K137" s="3"/>
      <c r="L137" s="7">
        <f t="shared" si="70"/>
        <v>-427.72000000000025</v>
      </c>
      <c r="M137" s="3"/>
      <c r="N137" s="8">
        <f t="shared" si="71"/>
        <v>-9.0695504664970367E-2</v>
      </c>
      <c r="O137" s="12"/>
      <c r="P137" s="7">
        <v>4288.28</v>
      </c>
      <c r="Q137" s="3"/>
      <c r="R137" s="8">
        <f t="shared" si="72"/>
        <v>1.8835735047530996E-2</v>
      </c>
      <c r="S137" s="3"/>
      <c r="T137" s="7">
        <v>4716</v>
      </c>
      <c r="U137" s="3"/>
      <c r="V137" s="8">
        <f t="shared" si="73"/>
        <v>1.561377428892104E-2</v>
      </c>
      <c r="W137" s="3"/>
      <c r="X137" s="7">
        <f t="shared" si="74"/>
        <v>-427.72000000000025</v>
      </c>
      <c r="Y137" s="3"/>
      <c r="Z137" s="8">
        <f t="shared" si="75"/>
        <v>-9.0695504664970367E-2</v>
      </c>
    </row>
    <row r="138" spans="1:26" s="29" customFormat="1" outlineLevel="1" collapsed="1" x14ac:dyDescent="0.25">
      <c r="A138" s="28"/>
      <c r="B138" s="14" t="str">
        <f>CONCATENATE("     ","Interest                                          ")</f>
        <v xml:space="preserve">     Interest                                          </v>
      </c>
      <c r="C138" s="14"/>
      <c r="D138" s="1">
        <f>SUM(OSRRefD22_13x_0)</f>
        <v>4044</v>
      </c>
      <c r="E138" s="1"/>
      <c r="F138" s="5">
        <f t="shared" si="68"/>
        <v>1.7762765615168635E-2</v>
      </c>
      <c r="G138" s="1"/>
      <c r="H138" s="1">
        <f>SUM(OSRRefH22_13x_0)</f>
        <v>4044</v>
      </c>
      <c r="I138" s="1"/>
      <c r="J138" s="5">
        <f t="shared" si="69"/>
        <v>1.3388910777013716E-2</v>
      </c>
      <c r="K138" s="1"/>
      <c r="L138" s="1">
        <f t="shared" si="70"/>
        <v>0</v>
      </c>
      <c r="M138" s="1"/>
      <c r="N138" s="5">
        <f t="shared" si="71"/>
        <v>0</v>
      </c>
      <c r="O138" s="14"/>
      <c r="P138" s="1">
        <f>SUM(OSRRefP22_13x_0)</f>
        <v>4044</v>
      </c>
      <c r="Q138" s="1"/>
      <c r="R138" s="5">
        <f t="shared" si="72"/>
        <v>1.7762765615168635E-2</v>
      </c>
      <c r="S138" s="1"/>
      <c r="T138" s="1">
        <f>SUM(OSRRefT22_13x_0)</f>
        <v>4044</v>
      </c>
      <c r="U138" s="1"/>
      <c r="V138" s="5">
        <f t="shared" si="73"/>
        <v>1.3388910777013716E-2</v>
      </c>
      <c r="W138" s="1"/>
      <c r="X138" s="1">
        <f t="shared" si="74"/>
        <v>0</v>
      </c>
      <c r="Y138" s="1"/>
      <c r="Z138" s="5">
        <f t="shared" si="75"/>
        <v>0</v>
      </c>
    </row>
    <row r="139" spans="1:26" s="24" customFormat="1" hidden="1" outlineLevel="2" x14ac:dyDescent="0.25">
      <c r="A139" s="27"/>
      <c r="B139" s="12" t="str">
        <f>CONCATENATE("          ", "6401", " - ", "INTEREST EXPENSE")</f>
        <v xml:space="preserve">          6401 - INTEREST EXPENSE</v>
      </c>
      <c r="C139" s="12"/>
      <c r="D139" s="7">
        <v>4044</v>
      </c>
      <c r="E139" s="3"/>
      <c r="F139" s="8">
        <f t="shared" si="68"/>
        <v>1.7762765615168635E-2</v>
      </c>
      <c r="G139" s="3"/>
      <c r="H139" s="7">
        <v>4044</v>
      </c>
      <c r="I139" s="3"/>
      <c r="J139" s="8">
        <f t="shared" si="69"/>
        <v>1.3388910777013716E-2</v>
      </c>
      <c r="K139" s="3"/>
      <c r="L139" s="7">
        <f t="shared" si="70"/>
        <v>0</v>
      </c>
      <c r="M139" s="3"/>
      <c r="N139" s="8">
        <f t="shared" si="71"/>
        <v>0</v>
      </c>
      <c r="O139" s="12"/>
      <c r="P139" s="7">
        <v>4044</v>
      </c>
      <c r="Q139" s="3"/>
      <c r="R139" s="8">
        <f t="shared" si="72"/>
        <v>1.7762765615168635E-2</v>
      </c>
      <c r="S139" s="3"/>
      <c r="T139" s="7">
        <v>4044</v>
      </c>
      <c r="U139" s="3"/>
      <c r="V139" s="8">
        <f t="shared" si="73"/>
        <v>1.3388910777013716E-2</v>
      </c>
      <c r="W139" s="3"/>
      <c r="X139" s="7">
        <f t="shared" si="74"/>
        <v>0</v>
      </c>
      <c r="Y139" s="3"/>
      <c r="Z139" s="8">
        <f t="shared" si="75"/>
        <v>0</v>
      </c>
    </row>
    <row r="140" spans="1:26" s="29" customFormat="1" outlineLevel="1" collapsed="1" x14ac:dyDescent="0.25">
      <c r="A140" s="28"/>
      <c r="B140" s="14" t="str">
        <f>CONCATENATE("     ","Inventory Adjustment                              ")</f>
        <v xml:space="preserve">     Inventory Adjustment                              </v>
      </c>
      <c r="C140" s="14"/>
      <c r="D140" s="1">
        <f>SUM(OSRRefD22_14x_0)</f>
        <v>2100</v>
      </c>
      <c r="E140" s="1"/>
      <c r="F140" s="5">
        <f t="shared" si="68"/>
        <v>9.2239880790935033E-3</v>
      </c>
      <c r="G140" s="1"/>
      <c r="H140" s="1">
        <f>SUM(OSRRefH22_14x_0)</f>
        <v>3100</v>
      </c>
      <c r="I140" s="1"/>
      <c r="J140" s="5">
        <f t="shared" si="69"/>
        <v>1.0263507272191524E-2</v>
      </c>
      <c r="K140" s="1"/>
      <c r="L140" s="1">
        <f t="shared" si="70"/>
        <v>-1000</v>
      </c>
      <c r="M140" s="1"/>
      <c r="N140" s="5">
        <f t="shared" si="71"/>
        <v>-0.32258064516129031</v>
      </c>
      <c r="O140" s="14"/>
      <c r="P140" s="1">
        <f>SUM(OSRRefP22_14x_0)</f>
        <v>2100</v>
      </c>
      <c r="Q140" s="1"/>
      <c r="R140" s="5">
        <f t="shared" si="72"/>
        <v>9.2239880790935033E-3</v>
      </c>
      <c r="S140" s="1"/>
      <c r="T140" s="1">
        <f>SUM(OSRRefT22_14x_0)</f>
        <v>3100</v>
      </c>
      <c r="U140" s="1"/>
      <c r="V140" s="5">
        <f t="shared" si="73"/>
        <v>1.0263507272191524E-2</v>
      </c>
      <c r="W140" s="1"/>
      <c r="X140" s="1">
        <f t="shared" si="74"/>
        <v>-1000</v>
      </c>
      <c r="Y140" s="1"/>
      <c r="Z140" s="5">
        <f t="shared" si="75"/>
        <v>-0.32258064516129031</v>
      </c>
    </row>
    <row r="141" spans="1:26" s="24" customFormat="1" hidden="1" outlineLevel="2" x14ac:dyDescent="0.25">
      <c r="A141" s="27"/>
      <c r="B141" s="12" t="str">
        <f>CONCATENATE("          ", "6408", " - ", "INVENTORY ADJUSTMENT")</f>
        <v xml:space="preserve">          6408 - INVENTORY ADJUSTMENT</v>
      </c>
      <c r="C141" s="12"/>
      <c r="D141" s="7">
        <v>2100</v>
      </c>
      <c r="E141" s="3"/>
      <c r="F141" s="8">
        <f t="shared" si="68"/>
        <v>9.2239880790935033E-3</v>
      </c>
      <c r="G141" s="3"/>
      <c r="H141" s="7">
        <v>3100</v>
      </c>
      <c r="I141" s="3"/>
      <c r="J141" s="8">
        <f t="shared" si="69"/>
        <v>1.0263507272191524E-2</v>
      </c>
      <c r="K141" s="3"/>
      <c r="L141" s="7">
        <f t="shared" si="70"/>
        <v>-1000</v>
      </c>
      <c r="M141" s="3"/>
      <c r="N141" s="8">
        <f t="shared" si="71"/>
        <v>-0.32258064516129031</v>
      </c>
      <c r="O141" s="12"/>
      <c r="P141" s="7">
        <v>2100</v>
      </c>
      <c r="Q141" s="3"/>
      <c r="R141" s="8">
        <f t="shared" si="72"/>
        <v>9.2239880790935033E-3</v>
      </c>
      <c r="S141" s="3"/>
      <c r="T141" s="7">
        <v>3100</v>
      </c>
      <c r="U141" s="3"/>
      <c r="V141" s="8">
        <f t="shared" si="73"/>
        <v>1.0263507272191524E-2</v>
      </c>
      <c r="W141" s="3"/>
      <c r="X141" s="7">
        <f t="shared" si="74"/>
        <v>-1000</v>
      </c>
      <c r="Y141" s="3"/>
      <c r="Z141" s="8">
        <f t="shared" si="75"/>
        <v>-0.32258064516129031</v>
      </c>
    </row>
    <row r="142" spans="1:26" s="29" customFormat="1" outlineLevel="1" collapsed="1" x14ac:dyDescent="0.25">
      <c r="A142" s="28"/>
      <c r="B142" s="14" t="str">
        <f>CONCATENATE("     ","Professional Services                             ")</f>
        <v xml:space="preserve">     Professional Services                             </v>
      </c>
      <c r="C142" s="14"/>
      <c r="D142" s="1">
        <f>SUM(OSRRefD22_15x_0)</f>
        <v>0</v>
      </c>
      <c r="E142" s="1"/>
      <c r="F142" s="5">
        <f t="shared" si="68"/>
        <v>0</v>
      </c>
      <c r="G142" s="1"/>
      <c r="H142" s="1">
        <f>SUM(OSRRefH22_15x_0)</f>
        <v>6550</v>
      </c>
      <c r="I142" s="1"/>
      <c r="J142" s="5">
        <f t="shared" si="69"/>
        <v>2.1685797623501445E-2</v>
      </c>
      <c r="K142" s="1"/>
      <c r="L142" s="1">
        <f t="shared" si="70"/>
        <v>-6550</v>
      </c>
      <c r="M142" s="1"/>
      <c r="N142" s="5">
        <f t="shared" si="71"/>
        <v>-1</v>
      </c>
      <c r="O142" s="14"/>
      <c r="P142" s="1">
        <f>SUM(OSRRefP22_15x_0)</f>
        <v>0</v>
      </c>
      <c r="Q142" s="1"/>
      <c r="R142" s="5">
        <f t="shared" si="72"/>
        <v>0</v>
      </c>
      <c r="S142" s="1"/>
      <c r="T142" s="1">
        <f>SUM(OSRRefT22_15x_0)</f>
        <v>6550</v>
      </c>
      <c r="U142" s="1"/>
      <c r="V142" s="5">
        <f t="shared" si="73"/>
        <v>2.1685797623501445E-2</v>
      </c>
      <c r="W142" s="1"/>
      <c r="X142" s="1">
        <f t="shared" si="74"/>
        <v>-6550</v>
      </c>
      <c r="Y142" s="1"/>
      <c r="Z142" s="5">
        <f t="shared" si="75"/>
        <v>-1</v>
      </c>
    </row>
    <row r="143" spans="1:26" s="24" customFormat="1" hidden="1" outlineLevel="2" x14ac:dyDescent="0.25">
      <c r="A143" s="27"/>
      <c r="B143" s="12" t="str">
        <f>CONCATENATE("          ", "6336", " - ", "PROFESSIONAL SERVICES")</f>
        <v xml:space="preserve">          6336 - PROFESSIONAL SERVICES</v>
      </c>
      <c r="C143" s="12"/>
      <c r="D143" s="7"/>
      <c r="E143" s="3"/>
      <c r="F143" s="8">
        <f t="shared" si="68"/>
        <v>0</v>
      </c>
      <c r="G143" s="3"/>
      <c r="H143" s="7">
        <v>6550</v>
      </c>
      <c r="I143" s="3"/>
      <c r="J143" s="8">
        <f t="shared" si="69"/>
        <v>2.1685797623501445E-2</v>
      </c>
      <c r="K143" s="3"/>
      <c r="L143" s="7">
        <f t="shared" si="70"/>
        <v>-6550</v>
      </c>
      <c r="M143" s="3"/>
      <c r="N143" s="8">
        <f t="shared" si="71"/>
        <v>-1</v>
      </c>
      <c r="O143" s="12"/>
      <c r="P143" s="7"/>
      <c r="Q143" s="3"/>
      <c r="R143" s="8">
        <f t="shared" si="72"/>
        <v>0</v>
      </c>
      <c r="S143" s="3"/>
      <c r="T143" s="7">
        <v>6550</v>
      </c>
      <c r="U143" s="3"/>
      <c r="V143" s="8">
        <f t="shared" si="73"/>
        <v>2.1685797623501445E-2</v>
      </c>
      <c r="W143" s="3"/>
      <c r="X143" s="7">
        <f t="shared" si="74"/>
        <v>-6550</v>
      </c>
      <c r="Y143" s="3"/>
      <c r="Z143" s="8">
        <f t="shared" si="75"/>
        <v>-1</v>
      </c>
    </row>
    <row r="144" spans="1:26" s="29" customFormat="1" outlineLevel="1" collapsed="1" x14ac:dyDescent="0.25">
      <c r="A144" s="28"/>
      <c r="B144" s="14" t="str">
        <f>CONCATENATE("     ","Rent                                              ")</f>
        <v xml:space="preserve">     Rent                                              </v>
      </c>
      <c r="C144" s="14"/>
      <c r="D144" s="1">
        <f>SUM(OSRRefD22_16x_0)</f>
        <v>6100</v>
      </c>
      <c r="E144" s="1"/>
      <c r="F144" s="5">
        <f t="shared" si="68"/>
        <v>2.679348918212875E-2</v>
      </c>
      <c r="G144" s="1"/>
      <c r="H144" s="1">
        <f>SUM(OSRRefH22_16x_0)</f>
        <v>6100</v>
      </c>
      <c r="I144" s="1"/>
      <c r="J144" s="5">
        <f t="shared" si="69"/>
        <v>2.0195933664634933E-2</v>
      </c>
      <c r="K144" s="1"/>
      <c r="L144" s="1">
        <f t="shared" si="70"/>
        <v>0</v>
      </c>
      <c r="M144" s="1"/>
      <c r="N144" s="5">
        <f t="shared" si="71"/>
        <v>0</v>
      </c>
      <c r="O144" s="14"/>
      <c r="P144" s="1">
        <f>SUM(OSRRefP22_16x_0)</f>
        <v>6100</v>
      </c>
      <c r="Q144" s="1"/>
      <c r="R144" s="5">
        <f t="shared" si="72"/>
        <v>2.679348918212875E-2</v>
      </c>
      <c r="S144" s="1"/>
      <c r="T144" s="1">
        <f>SUM(OSRRefT22_16x_0)</f>
        <v>6100</v>
      </c>
      <c r="U144" s="1"/>
      <c r="V144" s="5">
        <f t="shared" si="73"/>
        <v>2.0195933664634933E-2</v>
      </c>
      <c r="W144" s="1"/>
      <c r="X144" s="1">
        <f t="shared" si="74"/>
        <v>0</v>
      </c>
      <c r="Y144" s="1"/>
      <c r="Z144" s="5">
        <f t="shared" si="75"/>
        <v>0</v>
      </c>
    </row>
    <row r="145" spans="1:26" s="24" customFormat="1" hidden="1" outlineLevel="2" x14ac:dyDescent="0.25">
      <c r="A145" s="27"/>
      <c r="B145" s="12" t="str">
        <f>CONCATENATE("          ", "6273", " - ", "RENT")</f>
        <v xml:space="preserve">          6273 - RENT</v>
      </c>
      <c r="C145" s="12"/>
      <c r="D145" s="7">
        <v>6100</v>
      </c>
      <c r="E145" s="3"/>
      <c r="F145" s="8">
        <f t="shared" si="68"/>
        <v>2.679348918212875E-2</v>
      </c>
      <c r="G145" s="3"/>
      <c r="H145" s="7">
        <v>6100</v>
      </c>
      <c r="I145" s="3"/>
      <c r="J145" s="8">
        <f t="shared" si="69"/>
        <v>2.0195933664634933E-2</v>
      </c>
      <c r="K145" s="3"/>
      <c r="L145" s="7">
        <f t="shared" si="70"/>
        <v>0</v>
      </c>
      <c r="M145" s="3"/>
      <c r="N145" s="8">
        <f t="shared" si="71"/>
        <v>0</v>
      </c>
      <c r="O145" s="12"/>
      <c r="P145" s="7">
        <v>6100</v>
      </c>
      <c r="Q145" s="3"/>
      <c r="R145" s="8">
        <f t="shared" si="72"/>
        <v>2.679348918212875E-2</v>
      </c>
      <c r="S145" s="3"/>
      <c r="T145" s="7">
        <v>6100</v>
      </c>
      <c r="U145" s="3"/>
      <c r="V145" s="8">
        <f t="shared" si="73"/>
        <v>2.0195933664634933E-2</v>
      </c>
      <c r="W145" s="3"/>
      <c r="X145" s="7">
        <f t="shared" si="74"/>
        <v>0</v>
      </c>
      <c r="Y145" s="3"/>
      <c r="Z145" s="8">
        <f t="shared" si="75"/>
        <v>0</v>
      </c>
    </row>
    <row r="146" spans="1:26" s="29" customFormat="1" outlineLevel="1" collapsed="1" x14ac:dyDescent="0.25">
      <c r="A146" s="28"/>
      <c r="B146" s="14" t="str">
        <f>CONCATENATE("     ","Repair and Maintenance                            ")</f>
        <v xml:space="preserve">     Repair and Maintenance                            </v>
      </c>
      <c r="C146" s="14"/>
      <c r="D146" s="1">
        <f>SUM(OSRRefD22_17x_0)</f>
        <v>66461.77</v>
      </c>
      <c r="E146" s="1"/>
      <c r="F146" s="5">
        <f t="shared" si="68"/>
        <v>0.2919250353311687</v>
      </c>
      <c r="G146" s="1"/>
      <c r="H146" s="1">
        <f>SUM(OSRRefH22_17x_0)</f>
        <v>56965</v>
      </c>
      <c r="I146" s="1"/>
      <c r="J146" s="5">
        <f t="shared" si="69"/>
        <v>0.18860022314851296</v>
      </c>
      <c r="K146" s="1"/>
      <c r="L146" s="1">
        <f t="shared" si="70"/>
        <v>9496.7700000000041</v>
      </c>
      <c r="M146" s="1"/>
      <c r="N146" s="5">
        <f t="shared" si="71"/>
        <v>0.16671236724304406</v>
      </c>
      <c r="O146" s="14"/>
      <c r="P146" s="1">
        <f>SUM(OSRRefP22_17x_0)</f>
        <v>66461.77</v>
      </c>
      <c r="Q146" s="1"/>
      <c r="R146" s="5">
        <f t="shared" si="72"/>
        <v>0.2919250353311687</v>
      </c>
      <c r="S146" s="1"/>
      <c r="T146" s="1">
        <f>SUM(OSRRefT22_17x_0)</f>
        <v>56965</v>
      </c>
      <c r="U146" s="1"/>
      <c r="V146" s="5">
        <f t="shared" si="73"/>
        <v>0.18860022314851296</v>
      </c>
      <c r="W146" s="1"/>
      <c r="X146" s="1">
        <f t="shared" si="74"/>
        <v>9496.7700000000041</v>
      </c>
      <c r="Y146" s="1"/>
      <c r="Z146" s="5">
        <f t="shared" si="75"/>
        <v>0.16671236724304406</v>
      </c>
    </row>
    <row r="147" spans="1:26" s="24" customFormat="1" hidden="1" outlineLevel="2" x14ac:dyDescent="0.25">
      <c r="A147" s="27"/>
      <c r="B147" s="12" t="str">
        <f>CONCATENATE("          ", "6371", " - ", "COMPUTER SOFTWARE MAINTENANCE")</f>
        <v xml:space="preserve">          6371 - COMPUTER SOFTWARE MAINTENANCE</v>
      </c>
      <c r="C147" s="12"/>
      <c r="D147" s="7">
        <v>58428.780000000006</v>
      </c>
      <c r="E147" s="3"/>
      <c r="F147" s="8">
        <f t="shared" si="68"/>
        <v>0.25664112866475097</v>
      </c>
      <c r="G147" s="3"/>
      <c r="H147" s="7">
        <v>45000</v>
      </c>
      <c r="I147" s="3"/>
      <c r="J147" s="8">
        <f t="shared" si="69"/>
        <v>0.14898639588665116</v>
      </c>
      <c r="K147" s="3"/>
      <c r="L147" s="7">
        <f t="shared" si="70"/>
        <v>13428.780000000006</v>
      </c>
      <c r="M147" s="3"/>
      <c r="N147" s="8">
        <f t="shared" si="71"/>
        <v>0.29841733333333348</v>
      </c>
      <c r="O147" s="12"/>
      <c r="P147" s="7">
        <v>58428.780000000006</v>
      </c>
      <c r="Q147" s="3"/>
      <c r="R147" s="8">
        <f t="shared" si="72"/>
        <v>0.25664112866475097</v>
      </c>
      <c r="S147" s="3"/>
      <c r="T147" s="7">
        <v>45000</v>
      </c>
      <c r="U147" s="3"/>
      <c r="V147" s="8">
        <f t="shared" si="73"/>
        <v>0.14898639588665116</v>
      </c>
      <c r="W147" s="3"/>
      <c r="X147" s="7">
        <f t="shared" si="74"/>
        <v>13428.780000000006</v>
      </c>
      <c r="Y147" s="3"/>
      <c r="Z147" s="8">
        <f t="shared" si="75"/>
        <v>0.29841733333333348</v>
      </c>
    </row>
    <row r="148" spans="1:26" s="24" customFormat="1" hidden="1" outlineLevel="2" x14ac:dyDescent="0.25">
      <c r="A148" s="27"/>
      <c r="B148" s="12" t="str">
        <f>CONCATENATE("          ", "6373", " - ", "MAINTENANCE CONTRACTS")</f>
        <v xml:space="preserve">          6373 - MAINTENANCE CONTRACTS</v>
      </c>
      <c r="C148" s="12"/>
      <c r="D148" s="7">
        <v>6416.01</v>
      </c>
      <c r="E148" s="3"/>
      <c r="F148" s="8">
        <f t="shared" si="68"/>
        <v>2.8181523693021293E-2</v>
      </c>
      <c r="G148" s="3"/>
      <c r="H148" s="7">
        <v>3540</v>
      </c>
      <c r="I148" s="3"/>
      <c r="J148" s="8">
        <f t="shared" si="69"/>
        <v>1.1720263143083224E-2</v>
      </c>
      <c r="K148" s="3"/>
      <c r="L148" s="7">
        <f t="shared" si="70"/>
        <v>2876.01</v>
      </c>
      <c r="M148" s="3"/>
      <c r="N148" s="8">
        <f t="shared" si="71"/>
        <v>0.81243220338983058</v>
      </c>
      <c r="O148" s="12"/>
      <c r="P148" s="7">
        <v>6416.01</v>
      </c>
      <c r="Q148" s="3"/>
      <c r="R148" s="8">
        <f t="shared" si="72"/>
        <v>2.8181523693021293E-2</v>
      </c>
      <c r="S148" s="3"/>
      <c r="T148" s="7">
        <v>3540</v>
      </c>
      <c r="U148" s="3"/>
      <c r="V148" s="8">
        <f t="shared" si="73"/>
        <v>1.1720263143083224E-2</v>
      </c>
      <c r="W148" s="3"/>
      <c r="X148" s="7">
        <f t="shared" si="74"/>
        <v>2876.01</v>
      </c>
      <c r="Y148" s="3"/>
      <c r="Z148" s="8">
        <f t="shared" si="75"/>
        <v>0.81243220338983058</v>
      </c>
    </row>
    <row r="149" spans="1:26" s="24" customFormat="1" hidden="1" outlineLevel="2" x14ac:dyDescent="0.25">
      <c r="A149" s="27"/>
      <c r="B149" s="12" t="str">
        <f>CONCATENATE("          ", "6375", " - ", "OUTSIDE REPAIRS &amp; MAINTENANCE")</f>
        <v xml:space="preserve">          6375 - OUTSIDE REPAIRS &amp; MAINTENANCE</v>
      </c>
      <c r="C149" s="12"/>
      <c r="D149" s="7">
        <v>1616.98</v>
      </c>
      <c r="E149" s="3"/>
      <c r="F149" s="8">
        <f t="shared" si="68"/>
        <v>7.1023829733964832E-3</v>
      </c>
      <c r="G149" s="3"/>
      <c r="H149" s="7">
        <v>8425</v>
      </c>
      <c r="I149" s="3"/>
      <c r="J149" s="8">
        <f t="shared" si="69"/>
        <v>2.7893564118778576E-2</v>
      </c>
      <c r="K149" s="3"/>
      <c r="L149" s="7">
        <f t="shared" si="70"/>
        <v>-6808.02</v>
      </c>
      <c r="M149" s="3"/>
      <c r="N149" s="8">
        <f t="shared" si="71"/>
        <v>-0.80807359050445104</v>
      </c>
      <c r="O149" s="12"/>
      <c r="P149" s="7">
        <v>1616.98</v>
      </c>
      <c r="Q149" s="3"/>
      <c r="R149" s="8">
        <f t="shared" si="72"/>
        <v>7.1023829733964832E-3</v>
      </c>
      <c r="S149" s="3"/>
      <c r="T149" s="7">
        <v>8425</v>
      </c>
      <c r="U149" s="3"/>
      <c r="V149" s="8">
        <f t="shared" si="73"/>
        <v>2.7893564118778576E-2</v>
      </c>
      <c r="W149" s="3"/>
      <c r="X149" s="7">
        <f t="shared" si="74"/>
        <v>-6808.02</v>
      </c>
      <c r="Y149" s="3"/>
      <c r="Z149" s="8">
        <f t="shared" si="75"/>
        <v>-0.80807359050445104</v>
      </c>
    </row>
    <row r="150" spans="1:26" s="29" customFormat="1" outlineLevel="1" collapsed="1" x14ac:dyDescent="0.25">
      <c r="A150" s="28"/>
      <c r="B150" s="14" t="str">
        <f>CONCATENATE("     ","Royalty &amp; Commissions                             ")</f>
        <v xml:space="preserve">     Royalty &amp; Commissions                             </v>
      </c>
      <c r="C150" s="14"/>
      <c r="D150" s="1">
        <f>SUM(OSRRefD22_18x_0)</f>
        <v>10989.75</v>
      </c>
      <c r="E150" s="1"/>
      <c r="F150" s="5">
        <f t="shared" ref="F150:F154" si="76">IF(D$12=0,0,D150/D$12)</f>
        <v>4.8271106186770399E-2</v>
      </c>
      <c r="G150" s="1"/>
      <c r="H150" s="1">
        <f>SUM(OSRRefH22_18x_0)</f>
        <v>6421</v>
      </c>
      <c r="I150" s="1"/>
      <c r="J150" s="5">
        <f t="shared" ref="J150:J154" si="77">IF(H$12=0,0,H150/H$12)</f>
        <v>2.125870328862638E-2</v>
      </c>
      <c r="K150" s="1"/>
      <c r="L150" s="1">
        <f t="shared" ref="L150:L154" si="78">+D150-H150</f>
        <v>4568.75</v>
      </c>
      <c r="M150" s="1"/>
      <c r="N150" s="5">
        <f t="shared" ref="N150:N154" si="79">IF(H150=0,0,L150/H150)</f>
        <v>0.71153247157763588</v>
      </c>
      <c r="O150" s="14"/>
      <c r="P150" s="1">
        <f>SUM(OSRRefP22_18x_0)</f>
        <v>10989.75</v>
      </c>
      <c r="Q150" s="1"/>
      <c r="R150" s="5">
        <f t="shared" ref="R150:R154" si="80">IF(P$12=0,0,P150/P$12)</f>
        <v>4.8271106186770399E-2</v>
      </c>
      <c r="S150" s="1"/>
      <c r="T150" s="1">
        <f>SUM(OSRRefT22_18x_0)</f>
        <v>6421</v>
      </c>
      <c r="U150" s="1"/>
      <c r="V150" s="5">
        <f t="shared" ref="V150:V154" si="81">IF(T$12=0,0,T150/T$12)</f>
        <v>2.125870328862638E-2</v>
      </c>
      <c r="W150" s="1"/>
      <c r="X150" s="1">
        <f t="shared" ref="X150:X154" si="82">+P150-T150</f>
        <v>4568.75</v>
      </c>
      <c r="Y150" s="1"/>
      <c r="Z150" s="5">
        <f t="shared" ref="Z150:Z154" si="83">IF(T150=0,0,X150/T150)</f>
        <v>0.71153247157763588</v>
      </c>
    </row>
    <row r="151" spans="1:26" s="24" customFormat="1" hidden="1" outlineLevel="2" x14ac:dyDescent="0.25">
      <c r="A151" s="27"/>
      <c r="B151" s="12" t="str">
        <f>CONCATENATE("          ", "6252", " - ", "ROYALTY DUE CSTV")</f>
        <v xml:space="preserve">          6252 - ROYALTY DUE CSTV</v>
      </c>
      <c r="C151" s="12"/>
      <c r="D151" s="7"/>
      <c r="E151" s="3"/>
      <c r="F151" s="8">
        <f t="shared" si="76"/>
        <v>0</v>
      </c>
      <c r="G151" s="3"/>
      <c r="H151" s="7">
        <v>1085</v>
      </c>
      <c r="I151" s="3"/>
      <c r="J151" s="8">
        <f t="shared" si="77"/>
        <v>3.5922275452670333E-3</v>
      </c>
      <c r="K151" s="3"/>
      <c r="L151" s="7">
        <f t="shared" si="78"/>
        <v>-1085</v>
      </c>
      <c r="M151" s="3"/>
      <c r="N151" s="8">
        <f t="shared" si="79"/>
        <v>-1</v>
      </c>
      <c r="O151" s="12"/>
      <c r="P151" s="7"/>
      <c r="Q151" s="3"/>
      <c r="R151" s="8">
        <f t="shared" si="80"/>
        <v>0</v>
      </c>
      <c r="S151" s="3"/>
      <c r="T151" s="7">
        <v>1085</v>
      </c>
      <c r="U151" s="3"/>
      <c r="V151" s="8">
        <f t="shared" si="81"/>
        <v>3.5922275452670333E-3</v>
      </c>
      <c r="W151" s="3"/>
      <c r="X151" s="7">
        <f t="shared" si="82"/>
        <v>-1085</v>
      </c>
      <c r="Y151" s="3"/>
      <c r="Z151" s="8">
        <f t="shared" si="83"/>
        <v>-1</v>
      </c>
    </row>
    <row r="152" spans="1:26" s="24" customFormat="1" hidden="1" outlineLevel="2" x14ac:dyDescent="0.25">
      <c r="A152" s="27"/>
      <c r="B152" s="12" t="str">
        <f>CONCATENATE("          ", "6253", " - ", "ROYALTY DUE ATHLETICS-LRG")</f>
        <v xml:space="preserve">          6253 - ROYALTY DUE ATHLETICS-LRG</v>
      </c>
      <c r="C152" s="12"/>
      <c r="D152" s="7">
        <v>5672.2</v>
      </c>
      <c r="E152" s="3"/>
      <c r="F152" s="8">
        <f t="shared" si="76"/>
        <v>2.4914431039159128E-2</v>
      </c>
      <c r="G152" s="3"/>
      <c r="H152" s="7">
        <v>4037</v>
      </c>
      <c r="I152" s="3"/>
      <c r="J152" s="8">
        <f t="shared" si="77"/>
        <v>1.3365735115431349E-2</v>
      </c>
      <c r="K152" s="3"/>
      <c r="L152" s="7">
        <f t="shared" si="78"/>
        <v>1635.1999999999998</v>
      </c>
      <c r="M152" s="3"/>
      <c r="N152" s="8">
        <f t="shared" si="79"/>
        <v>0.40505325736933362</v>
      </c>
      <c r="O152" s="12"/>
      <c r="P152" s="7">
        <v>5672.2</v>
      </c>
      <c r="Q152" s="3"/>
      <c r="R152" s="8">
        <f t="shared" si="80"/>
        <v>2.4914431039159128E-2</v>
      </c>
      <c r="S152" s="3"/>
      <c r="T152" s="7">
        <v>4037</v>
      </c>
      <c r="U152" s="3"/>
      <c r="V152" s="8">
        <f t="shared" si="81"/>
        <v>1.3365735115431349E-2</v>
      </c>
      <c r="W152" s="3"/>
      <c r="X152" s="7">
        <f t="shared" si="82"/>
        <v>1635.1999999999998</v>
      </c>
      <c r="Y152" s="3"/>
      <c r="Z152" s="8">
        <f t="shared" si="83"/>
        <v>0.40505325736933362</v>
      </c>
    </row>
    <row r="153" spans="1:26" s="24" customFormat="1" hidden="1" outlineLevel="2" x14ac:dyDescent="0.25">
      <c r="A153" s="27"/>
      <c r="B153" s="12" t="str">
        <f>CONCATENATE("          ", "6254", " - ", "ROYALTY &amp; COMMISSIONS")</f>
        <v xml:space="preserve">          6254 - ROYALTY &amp; COMMISSIONS</v>
      </c>
      <c r="C153" s="12"/>
      <c r="D153" s="7"/>
      <c r="E153" s="3"/>
      <c r="F153" s="8">
        <f t="shared" si="76"/>
        <v>0</v>
      </c>
      <c r="G153" s="3"/>
      <c r="H153" s="7">
        <v>1149</v>
      </c>
      <c r="I153" s="3"/>
      <c r="J153" s="8">
        <f t="shared" si="77"/>
        <v>3.8041193083058261E-3</v>
      </c>
      <c r="K153" s="3"/>
      <c r="L153" s="7">
        <f t="shared" si="78"/>
        <v>-1149</v>
      </c>
      <c r="M153" s="3"/>
      <c r="N153" s="8">
        <f t="shared" si="79"/>
        <v>-1</v>
      </c>
      <c r="O153" s="12"/>
      <c r="P153" s="7"/>
      <c r="Q153" s="3"/>
      <c r="R153" s="8">
        <f t="shared" si="80"/>
        <v>0</v>
      </c>
      <c r="S153" s="3"/>
      <c r="T153" s="7">
        <v>1149</v>
      </c>
      <c r="U153" s="3"/>
      <c r="V153" s="8">
        <f t="shared" si="81"/>
        <v>3.8041193083058261E-3</v>
      </c>
      <c r="W153" s="3"/>
      <c r="X153" s="7">
        <f t="shared" si="82"/>
        <v>-1149</v>
      </c>
      <c r="Y153" s="3"/>
      <c r="Z153" s="8">
        <f t="shared" si="83"/>
        <v>-1</v>
      </c>
    </row>
    <row r="154" spans="1:26" s="24" customFormat="1" hidden="1" outlineLevel="2" x14ac:dyDescent="0.25">
      <c r="A154" s="27"/>
      <c r="B154" s="12" t="str">
        <f>CONCATENATE("          ", "6259", " - ", "ROYALTY &amp; COMMISSIONS")</f>
        <v xml:space="preserve">          6259 - ROYALTY &amp; COMMISSIONS</v>
      </c>
      <c r="C154" s="12"/>
      <c r="D154" s="7">
        <v>5317.55</v>
      </c>
      <c r="E154" s="3"/>
      <c r="F154" s="8">
        <f t="shared" si="76"/>
        <v>2.3356675147611267E-2</v>
      </c>
      <c r="G154" s="3"/>
      <c r="H154" s="7">
        <v>150</v>
      </c>
      <c r="I154" s="3"/>
      <c r="J154" s="8">
        <f t="shared" si="77"/>
        <v>4.9662131962217046E-4</v>
      </c>
      <c r="K154" s="3"/>
      <c r="L154" s="7">
        <f t="shared" si="78"/>
        <v>5167.55</v>
      </c>
      <c r="M154" s="3"/>
      <c r="N154" s="8">
        <f t="shared" si="79"/>
        <v>34.450333333333333</v>
      </c>
      <c r="O154" s="12"/>
      <c r="P154" s="7">
        <v>5317.55</v>
      </c>
      <c r="Q154" s="3"/>
      <c r="R154" s="8">
        <f t="shared" si="80"/>
        <v>2.3356675147611267E-2</v>
      </c>
      <c r="S154" s="3"/>
      <c r="T154" s="7">
        <v>150</v>
      </c>
      <c r="U154" s="3"/>
      <c r="V154" s="8">
        <f t="shared" si="81"/>
        <v>4.9662131962217046E-4</v>
      </c>
      <c r="W154" s="3"/>
      <c r="X154" s="7">
        <f t="shared" si="82"/>
        <v>5167.55</v>
      </c>
      <c r="Y154" s="3"/>
      <c r="Z154" s="8">
        <f t="shared" si="83"/>
        <v>34.450333333333333</v>
      </c>
    </row>
    <row r="155" spans="1:26" s="29" customFormat="1" outlineLevel="1" collapsed="1" x14ac:dyDescent="0.25">
      <c r="A155" s="28"/>
      <c r="B155" s="14" t="str">
        <f>CONCATENATE("     ","Services                                          ")</f>
        <v xml:space="preserve">     Services                                          </v>
      </c>
      <c r="C155" s="14"/>
      <c r="D155" s="1">
        <f>SUM(OSRRefD22_19x_0)</f>
        <v>3079.1400000000003</v>
      </c>
      <c r="E155" s="1"/>
      <c r="F155" s="5">
        <f t="shared" ref="F155:F160" si="84">IF(D$12=0,0,D155/D$12)</f>
        <v>1.3524738406599988E-2</v>
      </c>
      <c r="G155" s="1"/>
      <c r="H155" s="1">
        <f>SUM(OSRRefH22_19x_0)</f>
        <v>5054</v>
      </c>
      <c r="I155" s="1"/>
      <c r="J155" s="5">
        <f t="shared" ref="J155:J160" si="85">IF(H$12=0,0,H155/H$12)</f>
        <v>1.6732827662469665E-2</v>
      </c>
      <c r="K155" s="1"/>
      <c r="L155" s="1">
        <f t="shared" ref="L155:L160" si="86">+D155-H155</f>
        <v>-1974.8599999999997</v>
      </c>
      <c r="M155" s="1"/>
      <c r="N155" s="5">
        <f t="shared" ref="N155:N160" si="87">IF(H155=0,0,L155/H155)</f>
        <v>-0.39075187969924807</v>
      </c>
      <c r="O155" s="14"/>
      <c r="P155" s="1">
        <f>SUM(OSRRefP22_19x_0)</f>
        <v>3079.1400000000003</v>
      </c>
      <c r="Q155" s="1"/>
      <c r="R155" s="5">
        <f t="shared" ref="R155:R160" si="88">IF(P$12=0,0,P155/P$12)</f>
        <v>1.3524738406599988E-2</v>
      </c>
      <c r="S155" s="1"/>
      <c r="T155" s="1">
        <f>SUM(OSRRefT22_19x_0)</f>
        <v>5054</v>
      </c>
      <c r="U155" s="1"/>
      <c r="V155" s="5">
        <f t="shared" ref="V155:V160" si="89">IF(T$12=0,0,T155/T$12)</f>
        <v>1.6732827662469665E-2</v>
      </c>
      <c r="W155" s="1"/>
      <c r="X155" s="1">
        <f t="shared" ref="X155:X160" si="90">+P155-T155</f>
        <v>-1974.8599999999997</v>
      </c>
      <c r="Y155" s="1"/>
      <c r="Z155" s="5">
        <f t="shared" ref="Z155:Z160" si="91">IF(T155=0,0,X155/T155)</f>
        <v>-0.39075187969924807</v>
      </c>
    </row>
    <row r="156" spans="1:26" s="24" customFormat="1" hidden="1" outlineLevel="2" x14ac:dyDescent="0.25">
      <c r="A156" s="27"/>
      <c r="B156" s="12" t="str">
        <f>CONCATENATE("          ", "6282", " - ", "JANITORIAL/EXTERMINATOR EXPENS")</f>
        <v xml:space="preserve">          6282 - JANITORIAL/EXTERMINATOR EXPENS</v>
      </c>
      <c r="C156" s="12"/>
      <c r="D156" s="7">
        <v>136.5</v>
      </c>
      <c r="E156" s="3"/>
      <c r="F156" s="8">
        <f t="shared" si="84"/>
        <v>5.9955922514107771E-4</v>
      </c>
      <c r="G156" s="3"/>
      <c r="H156" s="7">
        <v>4157</v>
      </c>
      <c r="I156" s="3"/>
      <c r="J156" s="8">
        <f t="shared" si="85"/>
        <v>1.3763032171129085E-2</v>
      </c>
      <c r="K156" s="3"/>
      <c r="L156" s="7">
        <f t="shared" si="86"/>
        <v>-4020.5</v>
      </c>
      <c r="M156" s="3"/>
      <c r="N156" s="8">
        <f t="shared" si="87"/>
        <v>-0.96716382006254509</v>
      </c>
      <c r="O156" s="12"/>
      <c r="P156" s="7">
        <v>136.5</v>
      </c>
      <c r="Q156" s="3"/>
      <c r="R156" s="8">
        <f t="shared" si="88"/>
        <v>5.9955922514107771E-4</v>
      </c>
      <c r="S156" s="3"/>
      <c r="T156" s="7">
        <v>4157</v>
      </c>
      <c r="U156" s="3"/>
      <c r="V156" s="8">
        <f t="shared" si="89"/>
        <v>1.3763032171129085E-2</v>
      </c>
      <c r="W156" s="3"/>
      <c r="X156" s="7">
        <f t="shared" si="90"/>
        <v>-4020.5</v>
      </c>
      <c r="Y156" s="3"/>
      <c r="Z156" s="8">
        <f t="shared" si="91"/>
        <v>-0.96716382006254509</v>
      </c>
    </row>
    <row r="157" spans="1:26" s="24" customFormat="1" hidden="1" outlineLevel="2" x14ac:dyDescent="0.25">
      <c r="A157" s="27"/>
      <c r="B157" s="12" t="str">
        <f>CONCATENATE("          ", "6283", " - ", "PLANT SERVICE")</f>
        <v xml:space="preserve">          6283 - PLANT SERVICE</v>
      </c>
      <c r="C157" s="12"/>
      <c r="D157" s="7">
        <v>130</v>
      </c>
      <c r="E157" s="3"/>
      <c r="F157" s="8">
        <f t="shared" si="84"/>
        <v>5.7100878584864551E-4</v>
      </c>
      <c r="G157" s="3"/>
      <c r="H157" s="7">
        <v>0</v>
      </c>
      <c r="I157" s="3"/>
      <c r="J157" s="8">
        <f t="shared" si="85"/>
        <v>0</v>
      </c>
      <c r="K157" s="3"/>
      <c r="L157" s="7">
        <f t="shared" si="86"/>
        <v>130</v>
      </c>
      <c r="M157" s="3"/>
      <c r="N157" s="8">
        <f t="shared" si="87"/>
        <v>0</v>
      </c>
      <c r="O157" s="12"/>
      <c r="P157" s="7">
        <v>130</v>
      </c>
      <c r="Q157" s="3"/>
      <c r="R157" s="8">
        <f t="shared" si="88"/>
        <v>5.7100878584864551E-4</v>
      </c>
      <c r="S157" s="3"/>
      <c r="T157" s="7">
        <v>0</v>
      </c>
      <c r="U157" s="3"/>
      <c r="V157" s="8">
        <f t="shared" si="89"/>
        <v>0</v>
      </c>
      <c r="W157" s="3"/>
      <c r="X157" s="7">
        <f t="shared" si="90"/>
        <v>130</v>
      </c>
      <c r="Y157" s="3"/>
      <c r="Z157" s="8">
        <f t="shared" si="91"/>
        <v>0</v>
      </c>
    </row>
    <row r="158" spans="1:26" s="24" customFormat="1" hidden="1" outlineLevel="2" x14ac:dyDescent="0.25">
      <c r="A158" s="27"/>
      <c r="B158" s="12" t="str">
        <f>CONCATENATE("          ", "6284", " - ", "TRASH REMOVAL EXPENSE")</f>
        <v xml:space="preserve">          6284 - TRASH REMOVAL EXPENSE</v>
      </c>
      <c r="C158" s="12"/>
      <c r="D158" s="7">
        <v>142.57</v>
      </c>
      <c r="E158" s="3"/>
      <c r="F158" s="8">
        <f t="shared" si="84"/>
        <v>6.2622094306493369E-4</v>
      </c>
      <c r="G158" s="3"/>
      <c r="H158" s="7">
        <v>292</v>
      </c>
      <c r="I158" s="3"/>
      <c r="J158" s="8">
        <f t="shared" si="85"/>
        <v>9.6675616886449187E-4</v>
      </c>
      <c r="K158" s="3"/>
      <c r="L158" s="7">
        <f t="shared" si="86"/>
        <v>-149.43</v>
      </c>
      <c r="M158" s="3"/>
      <c r="N158" s="8">
        <f t="shared" si="87"/>
        <v>-0.51174657534246581</v>
      </c>
      <c r="O158" s="12"/>
      <c r="P158" s="7">
        <v>142.57</v>
      </c>
      <c r="Q158" s="3"/>
      <c r="R158" s="8">
        <f t="shared" si="88"/>
        <v>6.2622094306493369E-4</v>
      </c>
      <c r="S158" s="3"/>
      <c r="T158" s="7">
        <v>292</v>
      </c>
      <c r="U158" s="3"/>
      <c r="V158" s="8">
        <f t="shared" si="89"/>
        <v>9.6675616886449187E-4</v>
      </c>
      <c r="W158" s="3"/>
      <c r="X158" s="7">
        <f t="shared" si="90"/>
        <v>-149.43</v>
      </c>
      <c r="Y158" s="3"/>
      <c r="Z158" s="8">
        <f t="shared" si="91"/>
        <v>-0.51174657534246581</v>
      </c>
    </row>
    <row r="159" spans="1:26" s="24" customFormat="1" hidden="1" outlineLevel="2" x14ac:dyDescent="0.25">
      <c r="A159" s="27"/>
      <c r="B159" s="12" t="str">
        <f>CONCATENATE("          ", "6285", " - ", "JANITORIAL SERVICES")</f>
        <v xml:space="preserve">          6285 - JANITORIAL SERVICES</v>
      </c>
      <c r="C159" s="12"/>
      <c r="D159" s="7">
        <v>2670.07</v>
      </c>
      <c r="E159" s="3"/>
      <c r="F159" s="8">
        <f t="shared" si="84"/>
        <v>1.1727949452545331E-2</v>
      </c>
      <c r="G159" s="3"/>
      <c r="H159" s="7">
        <v>563</v>
      </c>
      <c r="I159" s="3"/>
      <c r="J159" s="8">
        <f t="shared" si="85"/>
        <v>1.8639853529818799E-3</v>
      </c>
      <c r="K159" s="3"/>
      <c r="L159" s="7">
        <f t="shared" si="86"/>
        <v>2107.0700000000002</v>
      </c>
      <c r="M159" s="3"/>
      <c r="N159" s="8">
        <f t="shared" si="87"/>
        <v>3.7425754884547073</v>
      </c>
      <c r="O159" s="12"/>
      <c r="P159" s="7">
        <v>2670.07</v>
      </c>
      <c r="Q159" s="3"/>
      <c r="R159" s="8">
        <f t="shared" si="88"/>
        <v>1.1727949452545331E-2</v>
      </c>
      <c r="S159" s="3"/>
      <c r="T159" s="7">
        <v>563</v>
      </c>
      <c r="U159" s="3"/>
      <c r="V159" s="8">
        <f t="shared" si="89"/>
        <v>1.8639853529818799E-3</v>
      </c>
      <c r="W159" s="3"/>
      <c r="X159" s="7">
        <f t="shared" si="90"/>
        <v>2107.0700000000002</v>
      </c>
      <c r="Y159" s="3"/>
      <c r="Z159" s="8">
        <f t="shared" si="91"/>
        <v>3.7425754884547073</v>
      </c>
    </row>
    <row r="160" spans="1:26" s="24" customFormat="1" hidden="1" outlineLevel="2" x14ac:dyDescent="0.25">
      <c r="A160" s="27"/>
      <c r="B160" s="12" t="str">
        <f>CONCATENATE("          ", "6286", " - ", "LAUNDRY EXPENSE")</f>
        <v xml:space="preserve">          6286 - LAUNDRY EXPENSE</v>
      </c>
      <c r="C160" s="12"/>
      <c r="D160" s="7"/>
      <c r="E160" s="3"/>
      <c r="F160" s="8">
        <f t="shared" si="84"/>
        <v>0</v>
      </c>
      <c r="G160" s="3"/>
      <c r="H160" s="7">
        <v>42</v>
      </c>
      <c r="I160" s="3"/>
      <c r="J160" s="8">
        <f t="shared" si="85"/>
        <v>1.3905396949420775E-4</v>
      </c>
      <c r="K160" s="3"/>
      <c r="L160" s="7">
        <f t="shared" si="86"/>
        <v>-42</v>
      </c>
      <c r="M160" s="3"/>
      <c r="N160" s="8">
        <f t="shared" si="87"/>
        <v>-1</v>
      </c>
      <c r="O160" s="12"/>
      <c r="P160" s="7"/>
      <c r="Q160" s="3"/>
      <c r="R160" s="8">
        <f t="shared" si="88"/>
        <v>0</v>
      </c>
      <c r="S160" s="3"/>
      <c r="T160" s="7">
        <v>42</v>
      </c>
      <c r="U160" s="3"/>
      <c r="V160" s="8">
        <f t="shared" si="89"/>
        <v>1.3905396949420775E-4</v>
      </c>
      <c r="W160" s="3"/>
      <c r="X160" s="7">
        <f t="shared" si="90"/>
        <v>-42</v>
      </c>
      <c r="Y160" s="3"/>
      <c r="Z160" s="8">
        <f t="shared" si="91"/>
        <v>-1</v>
      </c>
    </row>
    <row r="161" spans="1:26" s="29" customFormat="1" outlineLevel="1" collapsed="1" x14ac:dyDescent="0.25">
      <c r="A161" s="28"/>
      <c r="B161" s="14" t="str">
        <f>CONCATENATE("     ","Subscriptions &amp; Dues                              ")</f>
        <v xml:space="preserve">     Subscriptions &amp; Dues                              </v>
      </c>
      <c r="C161" s="14"/>
      <c r="D161" s="1">
        <f>SUM(OSRRefD22_20x_0)</f>
        <v>365</v>
      </c>
      <c r="E161" s="1"/>
      <c r="F161" s="5">
        <f t="shared" ref="F161:F163" si="92">IF(D$12=0,0,D161/D$12)</f>
        <v>1.6032169756519661E-3</v>
      </c>
      <c r="G161" s="1"/>
      <c r="H161" s="1">
        <f>SUM(OSRRefH22_20x_0)</f>
        <v>2671</v>
      </c>
      <c r="I161" s="1"/>
      <c r="J161" s="5">
        <f t="shared" ref="J161:J163" si="93">IF(H$12=0,0,H161/H$12)</f>
        <v>8.8431702980721165E-3</v>
      </c>
      <c r="K161" s="1"/>
      <c r="L161" s="1">
        <f t="shared" ref="L161:L163" si="94">+D161-H161</f>
        <v>-2306</v>
      </c>
      <c r="M161" s="1"/>
      <c r="N161" s="5">
        <f t="shared" ref="N161:N163" si="95">IF(H161=0,0,L161/H161)</f>
        <v>-0.86334706102583303</v>
      </c>
      <c r="O161" s="14"/>
      <c r="P161" s="1">
        <f>SUM(OSRRefP22_20x_0)</f>
        <v>365</v>
      </c>
      <c r="Q161" s="1"/>
      <c r="R161" s="5">
        <f t="shared" ref="R161:R163" si="96">IF(P$12=0,0,P161/P$12)</f>
        <v>1.6032169756519661E-3</v>
      </c>
      <c r="S161" s="1"/>
      <c r="T161" s="1">
        <f>SUM(OSRRefT22_20x_0)</f>
        <v>2671</v>
      </c>
      <c r="U161" s="1"/>
      <c r="V161" s="5">
        <f t="shared" ref="V161:V163" si="97">IF(T$12=0,0,T161/T$12)</f>
        <v>8.8431702980721165E-3</v>
      </c>
      <c r="W161" s="1"/>
      <c r="X161" s="1">
        <f t="shared" ref="X161:X163" si="98">+P161-T161</f>
        <v>-2306</v>
      </c>
      <c r="Y161" s="1"/>
      <c r="Z161" s="5">
        <f t="shared" ref="Z161:Z163" si="99">IF(T161=0,0,X161/T161)</f>
        <v>-0.86334706102583303</v>
      </c>
    </row>
    <row r="162" spans="1:26" s="24" customFormat="1" hidden="1" outlineLevel="2" x14ac:dyDescent="0.25">
      <c r="A162" s="27"/>
      <c r="B162" s="12" t="str">
        <f>CONCATENATE("          ", "6258", " - ", "MEMBERSHIP DUES")</f>
        <v xml:space="preserve">          6258 - MEMBERSHIP DUES</v>
      </c>
      <c r="C162" s="12"/>
      <c r="D162" s="7">
        <v>290</v>
      </c>
      <c r="E162" s="3"/>
      <c r="F162" s="8">
        <f t="shared" si="92"/>
        <v>1.2737888299700552E-3</v>
      </c>
      <c r="G162" s="3"/>
      <c r="H162" s="7">
        <v>2495</v>
      </c>
      <c r="I162" s="3"/>
      <c r="J162" s="8">
        <f t="shared" si="93"/>
        <v>8.2604679497154353E-3</v>
      </c>
      <c r="K162" s="3"/>
      <c r="L162" s="7">
        <f t="shared" si="94"/>
        <v>-2205</v>
      </c>
      <c r="M162" s="3"/>
      <c r="N162" s="8">
        <f t="shared" si="95"/>
        <v>-0.88376753507014028</v>
      </c>
      <c r="O162" s="12"/>
      <c r="P162" s="7">
        <v>290</v>
      </c>
      <c r="Q162" s="3"/>
      <c r="R162" s="8">
        <f t="shared" si="96"/>
        <v>1.2737888299700552E-3</v>
      </c>
      <c r="S162" s="3"/>
      <c r="T162" s="7">
        <v>2495</v>
      </c>
      <c r="U162" s="3"/>
      <c r="V162" s="8">
        <f t="shared" si="97"/>
        <v>8.2604679497154353E-3</v>
      </c>
      <c r="W162" s="3"/>
      <c r="X162" s="7">
        <f t="shared" si="98"/>
        <v>-2205</v>
      </c>
      <c r="Y162" s="3"/>
      <c r="Z162" s="8">
        <f t="shared" si="99"/>
        <v>-0.88376753507014028</v>
      </c>
    </row>
    <row r="163" spans="1:26" s="24" customFormat="1" hidden="1" outlineLevel="2" x14ac:dyDescent="0.25">
      <c r="A163" s="27"/>
      <c r="B163" s="12" t="str">
        <f>CONCATENATE("          ", "6275", " - ", "SUBSCRIPTIONS")</f>
        <v xml:space="preserve">          6275 - SUBSCRIPTIONS</v>
      </c>
      <c r="C163" s="12"/>
      <c r="D163" s="7">
        <v>75</v>
      </c>
      <c r="E163" s="3"/>
      <c r="F163" s="8">
        <f t="shared" si="92"/>
        <v>3.2942814568191086E-4</v>
      </c>
      <c r="G163" s="3"/>
      <c r="H163" s="7">
        <v>176</v>
      </c>
      <c r="I163" s="3"/>
      <c r="J163" s="8">
        <f t="shared" si="93"/>
        <v>5.8270234835668003E-4</v>
      </c>
      <c r="K163" s="3"/>
      <c r="L163" s="7">
        <f t="shared" si="94"/>
        <v>-101</v>
      </c>
      <c r="M163" s="3"/>
      <c r="N163" s="8">
        <f t="shared" si="95"/>
        <v>-0.57386363636363635</v>
      </c>
      <c r="O163" s="12"/>
      <c r="P163" s="7">
        <v>75</v>
      </c>
      <c r="Q163" s="3"/>
      <c r="R163" s="8">
        <f t="shared" si="96"/>
        <v>3.2942814568191086E-4</v>
      </c>
      <c r="S163" s="3"/>
      <c r="T163" s="7">
        <v>176</v>
      </c>
      <c r="U163" s="3"/>
      <c r="V163" s="8">
        <f t="shared" si="97"/>
        <v>5.8270234835668003E-4</v>
      </c>
      <c r="W163" s="3"/>
      <c r="X163" s="7">
        <f t="shared" si="98"/>
        <v>-101</v>
      </c>
      <c r="Y163" s="3"/>
      <c r="Z163" s="8">
        <f t="shared" si="99"/>
        <v>-0.57386363636363635</v>
      </c>
    </row>
    <row r="164" spans="1:26" s="29" customFormat="1" outlineLevel="1" collapsed="1" x14ac:dyDescent="0.25">
      <c r="A164" s="28"/>
      <c r="B164" s="14" t="str">
        <f>CONCATENATE("     ","Supplies                                          ")</f>
        <v xml:space="preserve">     Supplies                                          </v>
      </c>
      <c r="C164" s="14"/>
      <c r="D164" s="1">
        <f>SUM(OSRRefD22_21x_0)</f>
        <v>11727.19</v>
      </c>
      <c r="E164" s="1"/>
      <c r="F164" s="5">
        <f t="shared" ref="F164:F173" si="100">IF(D$12=0,0,D164/D$12)</f>
        <v>5.1510219410125978E-2</v>
      </c>
      <c r="G164" s="1"/>
      <c r="H164" s="1">
        <f>SUM(OSRRefH22_21x_0)</f>
        <v>7172</v>
      </c>
      <c r="I164" s="1"/>
      <c r="J164" s="5">
        <f t="shared" ref="J164:J173" si="101">IF(H$12=0,0,H164/H$12)</f>
        <v>2.3745120695534711E-2</v>
      </c>
      <c r="K164" s="1"/>
      <c r="L164" s="1">
        <f t="shared" ref="L164:L173" si="102">+D164-H164</f>
        <v>4555.1900000000005</v>
      </c>
      <c r="M164" s="1"/>
      <c r="N164" s="5">
        <f t="shared" ref="N164:N173" si="103">IF(H164=0,0,L164/H164)</f>
        <v>0.63513524818739553</v>
      </c>
      <c r="O164" s="14"/>
      <c r="P164" s="1">
        <f>SUM(OSRRefP22_21x_0)</f>
        <v>11727.19</v>
      </c>
      <c r="Q164" s="1"/>
      <c r="R164" s="5">
        <f t="shared" ref="R164:R173" si="104">IF(P$12=0,0,P164/P$12)</f>
        <v>5.1510219410125978E-2</v>
      </c>
      <c r="S164" s="1"/>
      <c r="T164" s="1">
        <f>SUM(OSRRefT22_21x_0)</f>
        <v>7172</v>
      </c>
      <c r="U164" s="1"/>
      <c r="V164" s="5">
        <f t="shared" ref="V164:V173" si="105">IF(T$12=0,0,T164/T$12)</f>
        <v>2.3745120695534711E-2</v>
      </c>
      <c r="W164" s="1"/>
      <c r="X164" s="1">
        <f t="shared" ref="X164:X173" si="106">+P164-T164</f>
        <v>4555.1900000000005</v>
      </c>
      <c r="Y164" s="1"/>
      <c r="Z164" s="5">
        <f t="shared" ref="Z164:Z173" si="107">IF(T164=0,0,X164/T164)</f>
        <v>0.63513524818739553</v>
      </c>
    </row>
    <row r="165" spans="1:26" s="24" customFormat="1" hidden="1" outlineLevel="2" x14ac:dyDescent="0.25">
      <c r="A165" s="27"/>
      <c r="B165" s="12" t="str">
        <f>CONCATENATE("          ", "6234", " - ", "EXPENDABLE SUPPLIES &amp; EQUIPMEN")</f>
        <v xml:space="preserve">          6234 - EXPENDABLE SUPPLIES &amp; EQUIPMEN</v>
      </c>
      <c r="C165" s="12"/>
      <c r="D165" s="7"/>
      <c r="E165" s="3"/>
      <c r="F165" s="8">
        <f t="shared" si="100"/>
        <v>0</v>
      </c>
      <c r="G165" s="3"/>
      <c r="H165" s="7">
        <v>150</v>
      </c>
      <c r="I165" s="3"/>
      <c r="J165" s="8">
        <f t="shared" si="101"/>
        <v>4.9662131962217046E-4</v>
      </c>
      <c r="K165" s="3"/>
      <c r="L165" s="7">
        <f t="shared" si="102"/>
        <v>-150</v>
      </c>
      <c r="M165" s="3"/>
      <c r="N165" s="8">
        <f t="shared" si="103"/>
        <v>-1</v>
      </c>
      <c r="O165" s="12"/>
      <c r="P165" s="7"/>
      <c r="Q165" s="3"/>
      <c r="R165" s="8">
        <f t="shared" si="104"/>
        <v>0</v>
      </c>
      <c r="S165" s="3"/>
      <c r="T165" s="7">
        <v>150</v>
      </c>
      <c r="U165" s="3"/>
      <c r="V165" s="8">
        <f t="shared" si="105"/>
        <v>4.9662131962217046E-4</v>
      </c>
      <c r="W165" s="3"/>
      <c r="X165" s="7">
        <f t="shared" si="106"/>
        <v>-150</v>
      </c>
      <c r="Y165" s="3"/>
      <c r="Z165" s="8">
        <f t="shared" si="107"/>
        <v>-1</v>
      </c>
    </row>
    <row r="166" spans="1:26" s="24" customFormat="1" hidden="1" outlineLevel="2" x14ac:dyDescent="0.25">
      <c r="A166" s="27"/>
      <c r="B166" s="12" t="str">
        <f>CONCATENATE("          ", "6235", " - ", "COVID-19 EXPENSES")</f>
        <v xml:space="preserve">          6235 - COVID-19 EXPENSES</v>
      </c>
      <c r="C166" s="12"/>
      <c r="D166" s="7">
        <v>6219.38</v>
      </c>
      <c r="E166" s="3"/>
      <c r="F166" s="8">
        <f t="shared" si="100"/>
        <v>2.7317850942548835E-2</v>
      </c>
      <c r="G166" s="3"/>
      <c r="H166" s="7">
        <v>300</v>
      </c>
      <c r="I166" s="3"/>
      <c r="J166" s="8">
        <f t="shared" si="101"/>
        <v>9.9324263924434092E-4</v>
      </c>
      <c r="K166" s="3"/>
      <c r="L166" s="7">
        <f t="shared" si="102"/>
        <v>5919.38</v>
      </c>
      <c r="M166" s="3"/>
      <c r="N166" s="8">
        <f t="shared" si="103"/>
        <v>19.731266666666667</v>
      </c>
      <c r="O166" s="12"/>
      <c r="P166" s="7">
        <v>6219.38</v>
      </c>
      <c r="Q166" s="3"/>
      <c r="R166" s="8">
        <f t="shared" si="104"/>
        <v>2.7317850942548835E-2</v>
      </c>
      <c r="S166" s="3"/>
      <c r="T166" s="7">
        <v>300</v>
      </c>
      <c r="U166" s="3"/>
      <c r="V166" s="8">
        <f t="shared" si="105"/>
        <v>9.9324263924434092E-4</v>
      </c>
      <c r="W166" s="3"/>
      <c r="X166" s="7">
        <f t="shared" si="106"/>
        <v>5919.38</v>
      </c>
      <c r="Y166" s="3"/>
      <c r="Z166" s="8">
        <f t="shared" si="107"/>
        <v>19.731266666666667</v>
      </c>
    </row>
    <row r="167" spans="1:26" s="24" customFormat="1" hidden="1" outlineLevel="2" x14ac:dyDescent="0.25">
      <c r="A167" s="27"/>
      <c r="B167" s="12" t="str">
        <f>CONCATENATE("          ", "6237", " - ", "JANITORIAL SUPPLIES")</f>
        <v xml:space="preserve">          6237 - JANITORIAL SUPPLIES</v>
      </c>
      <c r="C167" s="12"/>
      <c r="D167" s="7">
        <v>139.31</v>
      </c>
      <c r="E167" s="3"/>
      <c r="F167" s="8">
        <f t="shared" si="100"/>
        <v>6.1190179966596006E-4</v>
      </c>
      <c r="G167" s="3"/>
      <c r="H167" s="7">
        <v>260</v>
      </c>
      <c r="I167" s="3"/>
      <c r="J167" s="8">
        <f t="shared" si="101"/>
        <v>8.6081028734509557E-4</v>
      </c>
      <c r="K167" s="3"/>
      <c r="L167" s="7">
        <f t="shared" si="102"/>
        <v>-120.69</v>
      </c>
      <c r="M167" s="3"/>
      <c r="N167" s="8">
        <f t="shared" si="103"/>
        <v>-0.46419230769230768</v>
      </c>
      <c r="O167" s="12"/>
      <c r="P167" s="7">
        <v>139.31</v>
      </c>
      <c r="Q167" s="3"/>
      <c r="R167" s="8">
        <f t="shared" si="104"/>
        <v>6.1190179966596006E-4</v>
      </c>
      <c r="S167" s="3"/>
      <c r="T167" s="7">
        <v>260</v>
      </c>
      <c r="U167" s="3"/>
      <c r="V167" s="8">
        <f t="shared" si="105"/>
        <v>8.6081028734509557E-4</v>
      </c>
      <c r="W167" s="3"/>
      <c r="X167" s="7">
        <f t="shared" si="106"/>
        <v>-120.69</v>
      </c>
      <c r="Y167" s="3"/>
      <c r="Z167" s="8">
        <f t="shared" si="107"/>
        <v>-0.46419230769230768</v>
      </c>
    </row>
    <row r="168" spans="1:26" s="24" customFormat="1" hidden="1" outlineLevel="2" x14ac:dyDescent="0.25">
      <c r="A168" s="27"/>
      <c r="B168" s="12" t="str">
        <f>CONCATENATE("          ", "6241", " - ", "OFFICE EXPENSE")</f>
        <v xml:space="preserve">          6241 - OFFICE EXPENSE</v>
      </c>
      <c r="C168" s="12"/>
      <c r="D168" s="7">
        <v>430.41</v>
      </c>
      <c r="E168" s="3"/>
      <c r="F168" s="8">
        <f t="shared" si="100"/>
        <v>1.8905222424393502E-3</v>
      </c>
      <c r="G168" s="3"/>
      <c r="H168" s="7">
        <v>425</v>
      </c>
      <c r="I168" s="3"/>
      <c r="J168" s="8">
        <f t="shared" si="101"/>
        <v>1.407093738929483E-3</v>
      </c>
      <c r="K168" s="3"/>
      <c r="L168" s="7">
        <f t="shared" si="102"/>
        <v>5.410000000000025</v>
      </c>
      <c r="M168" s="3"/>
      <c r="N168" s="8">
        <f t="shared" si="103"/>
        <v>1.272941176470594E-2</v>
      </c>
      <c r="O168" s="12"/>
      <c r="P168" s="7">
        <v>430.41</v>
      </c>
      <c r="Q168" s="3"/>
      <c r="R168" s="8">
        <f t="shared" si="104"/>
        <v>1.8905222424393502E-3</v>
      </c>
      <c r="S168" s="3"/>
      <c r="T168" s="7">
        <v>425</v>
      </c>
      <c r="U168" s="3"/>
      <c r="V168" s="8">
        <f t="shared" si="105"/>
        <v>1.407093738929483E-3</v>
      </c>
      <c r="W168" s="3"/>
      <c r="X168" s="7">
        <f t="shared" si="106"/>
        <v>5.410000000000025</v>
      </c>
      <c r="Y168" s="3"/>
      <c r="Z168" s="8">
        <f t="shared" si="107"/>
        <v>1.272941176470594E-2</v>
      </c>
    </row>
    <row r="169" spans="1:26" s="24" customFormat="1" hidden="1" outlineLevel="2" x14ac:dyDescent="0.25">
      <c r="A169" s="27"/>
      <c r="B169" s="12" t="str">
        <f>CONCATENATE("          ", "6243", " - ", "PAPER SUPPLIES")</f>
        <v xml:space="preserve">          6243 - PAPER SUPPLIES</v>
      </c>
      <c r="C169" s="12"/>
      <c r="D169" s="7">
        <v>1080</v>
      </c>
      <c r="E169" s="3"/>
      <c r="F169" s="8">
        <f t="shared" si="100"/>
        <v>4.7437652978195161E-3</v>
      </c>
      <c r="G169" s="3"/>
      <c r="H169" s="7">
        <v>750</v>
      </c>
      <c r="I169" s="3"/>
      <c r="J169" s="8">
        <f t="shared" si="101"/>
        <v>2.4831065981108526E-3</v>
      </c>
      <c r="K169" s="3"/>
      <c r="L169" s="7">
        <f t="shared" si="102"/>
        <v>330</v>
      </c>
      <c r="M169" s="3"/>
      <c r="N169" s="8">
        <f t="shared" si="103"/>
        <v>0.44</v>
      </c>
      <c r="O169" s="12"/>
      <c r="P169" s="7">
        <v>1080</v>
      </c>
      <c r="Q169" s="3"/>
      <c r="R169" s="8">
        <f t="shared" si="104"/>
        <v>4.7437652978195161E-3</v>
      </c>
      <c r="S169" s="3"/>
      <c r="T169" s="7">
        <v>750</v>
      </c>
      <c r="U169" s="3"/>
      <c r="V169" s="8">
        <f t="shared" si="105"/>
        <v>2.4831065981108526E-3</v>
      </c>
      <c r="W169" s="3"/>
      <c r="X169" s="7">
        <f t="shared" si="106"/>
        <v>330</v>
      </c>
      <c r="Y169" s="3"/>
      <c r="Z169" s="8">
        <f t="shared" si="107"/>
        <v>0.44</v>
      </c>
    </row>
    <row r="170" spans="1:26" s="24" customFormat="1" hidden="1" outlineLevel="2" x14ac:dyDescent="0.25">
      <c r="A170" s="27"/>
      <c r="B170" s="12" t="str">
        <f>CONCATENATE("          ", "6244", " - ", "SAFETY SUPPLY EXPENSE")</f>
        <v xml:space="preserve">          6244 - SAFETY SUPPLY EXPENSE</v>
      </c>
      <c r="C170" s="12"/>
      <c r="D170" s="7"/>
      <c r="E170" s="3"/>
      <c r="F170" s="8">
        <f t="shared" si="100"/>
        <v>0</v>
      </c>
      <c r="G170" s="3"/>
      <c r="H170" s="7">
        <v>25</v>
      </c>
      <c r="I170" s="3"/>
      <c r="J170" s="8">
        <f t="shared" si="101"/>
        <v>8.277021993702841E-5</v>
      </c>
      <c r="K170" s="3"/>
      <c r="L170" s="7">
        <f t="shared" si="102"/>
        <v>-25</v>
      </c>
      <c r="M170" s="3"/>
      <c r="N170" s="8">
        <f t="shared" si="103"/>
        <v>-1</v>
      </c>
      <c r="O170" s="12"/>
      <c r="P170" s="7"/>
      <c r="Q170" s="3"/>
      <c r="R170" s="8">
        <f t="shared" si="104"/>
        <v>0</v>
      </c>
      <c r="S170" s="3"/>
      <c r="T170" s="7">
        <v>25</v>
      </c>
      <c r="U170" s="3"/>
      <c r="V170" s="8">
        <f t="shared" si="105"/>
        <v>8.277021993702841E-5</v>
      </c>
      <c r="W170" s="3"/>
      <c r="X170" s="7">
        <f t="shared" si="106"/>
        <v>-25</v>
      </c>
      <c r="Y170" s="3"/>
      <c r="Z170" s="8">
        <f t="shared" si="107"/>
        <v>-1</v>
      </c>
    </row>
    <row r="171" spans="1:26" s="24" customFormat="1" hidden="1" outlineLevel="2" x14ac:dyDescent="0.25">
      <c r="A171" s="27"/>
      <c r="B171" s="12" t="str">
        <f>CONCATENATE("          ", "6245", " - ", "PRINTING")</f>
        <v xml:space="preserve">          6245 - PRINTING</v>
      </c>
      <c r="C171" s="12"/>
      <c r="D171" s="7">
        <v>-1543.5</v>
      </c>
      <c r="E171" s="3"/>
      <c r="F171" s="8">
        <f t="shared" si="100"/>
        <v>-6.7796312381337258E-3</v>
      </c>
      <c r="G171" s="3"/>
      <c r="H171" s="7">
        <v>350</v>
      </c>
      <c r="I171" s="3"/>
      <c r="J171" s="8">
        <f t="shared" si="101"/>
        <v>1.1587830791183978E-3</v>
      </c>
      <c r="K171" s="3"/>
      <c r="L171" s="7">
        <f t="shared" si="102"/>
        <v>-1893.5</v>
      </c>
      <c r="M171" s="3"/>
      <c r="N171" s="8">
        <f t="shared" si="103"/>
        <v>-5.41</v>
      </c>
      <c r="O171" s="12"/>
      <c r="P171" s="7">
        <v>-1543.5</v>
      </c>
      <c r="Q171" s="3"/>
      <c r="R171" s="8">
        <f t="shared" si="104"/>
        <v>-6.7796312381337258E-3</v>
      </c>
      <c r="S171" s="3"/>
      <c r="T171" s="7">
        <v>350</v>
      </c>
      <c r="U171" s="3"/>
      <c r="V171" s="8">
        <f t="shared" si="105"/>
        <v>1.1587830791183978E-3</v>
      </c>
      <c r="W171" s="3"/>
      <c r="X171" s="7">
        <f t="shared" si="106"/>
        <v>-1893.5</v>
      </c>
      <c r="Y171" s="3"/>
      <c r="Z171" s="8">
        <f t="shared" si="107"/>
        <v>-5.41</v>
      </c>
    </row>
    <row r="172" spans="1:26" s="24" customFormat="1" hidden="1" outlineLevel="2" x14ac:dyDescent="0.25">
      <c r="A172" s="27"/>
      <c r="B172" s="12" t="str">
        <f>CONCATENATE("          ", "6247", " - ", "STORE SUPPLIES")</f>
        <v xml:space="preserve">          6247 - STORE SUPPLIES</v>
      </c>
      <c r="C172" s="12"/>
      <c r="D172" s="7">
        <v>5401.59</v>
      </c>
      <c r="E172" s="3"/>
      <c r="F172" s="8">
        <f t="shared" si="100"/>
        <v>2.372581036578604E-2</v>
      </c>
      <c r="G172" s="3"/>
      <c r="H172" s="7">
        <v>3412</v>
      </c>
      <c r="I172" s="3"/>
      <c r="J172" s="8">
        <f t="shared" si="101"/>
        <v>1.1296479617005637E-2</v>
      </c>
      <c r="K172" s="3"/>
      <c r="L172" s="7">
        <f t="shared" si="102"/>
        <v>1989.5900000000001</v>
      </c>
      <c r="M172" s="3"/>
      <c r="N172" s="8">
        <f t="shared" si="103"/>
        <v>0.58311547479484183</v>
      </c>
      <c r="O172" s="12"/>
      <c r="P172" s="7">
        <v>5401.59</v>
      </c>
      <c r="Q172" s="3"/>
      <c r="R172" s="8">
        <f t="shared" si="104"/>
        <v>2.372581036578604E-2</v>
      </c>
      <c r="S172" s="3"/>
      <c r="T172" s="7">
        <v>3412</v>
      </c>
      <c r="U172" s="3"/>
      <c r="V172" s="8">
        <f t="shared" si="105"/>
        <v>1.1296479617005637E-2</v>
      </c>
      <c r="W172" s="3"/>
      <c r="X172" s="7">
        <f t="shared" si="106"/>
        <v>1989.5900000000001</v>
      </c>
      <c r="Y172" s="3"/>
      <c r="Z172" s="8">
        <f t="shared" si="107"/>
        <v>0.58311547479484183</v>
      </c>
    </row>
    <row r="173" spans="1:26" s="24" customFormat="1" hidden="1" outlineLevel="2" x14ac:dyDescent="0.25">
      <c r="A173" s="27"/>
      <c r="B173" s="12" t="str">
        <f>CONCATENATE("          ", "6248", " - ", "UNIFORMS")</f>
        <v xml:space="preserve">          6248 - UNIFORMS</v>
      </c>
      <c r="C173" s="12"/>
      <c r="D173" s="7"/>
      <c r="E173" s="3"/>
      <c r="F173" s="8">
        <f t="shared" si="100"/>
        <v>0</v>
      </c>
      <c r="G173" s="3"/>
      <c r="H173" s="7">
        <v>1500</v>
      </c>
      <c r="I173" s="3"/>
      <c r="J173" s="8">
        <f t="shared" si="101"/>
        <v>4.9662131962217053E-3</v>
      </c>
      <c r="K173" s="3"/>
      <c r="L173" s="7">
        <f t="shared" si="102"/>
        <v>-1500</v>
      </c>
      <c r="M173" s="3"/>
      <c r="N173" s="8">
        <f t="shared" si="103"/>
        <v>-1</v>
      </c>
      <c r="O173" s="12"/>
      <c r="P173" s="7"/>
      <c r="Q173" s="3"/>
      <c r="R173" s="8">
        <f t="shared" si="104"/>
        <v>0</v>
      </c>
      <c r="S173" s="3"/>
      <c r="T173" s="7">
        <v>1500</v>
      </c>
      <c r="U173" s="3"/>
      <c r="V173" s="8">
        <f t="shared" si="105"/>
        <v>4.9662131962217053E-3</v>
      </c>
      <c r="W173" s="3"/>
      <c r="X173" s="7">
        <f t="shared" si="106"/>
        <v>-1500</v>
      </c>
      <c r="Y173" s="3"/>
      <c r="Z173" s="8">
        <f t="shared" si="107"/>
        <v>-1</v>
      </c>
    </row>
    <row r="174" spans="1:26" s="29" customFormat="1" outlineLevel="1" collapsed="1" x14ac:dyDescent="0.25">
      <c r="A174" s="28"/>
      <c r="B174" s="14" t="str">
        <f>CONCATENATE("     ","Telephone/Data Lines                              ")</f>
        <v xml:space="preserve">     Telephone/Data Lines                              </v>
      </c>
      <c r="C174" s="14"/>
      <c r="D174" s="1">
        <f>SUM(OSRRefD22_22x_0)</f>
        <v>2762.06</v>
      </c>
      <c r="E174" s="1"/>
      <c r="F174" s="5">
        <f t="shared" ref="F174:F176" si="108">IF(D$12=0,0,D174/D$12)</f>
        <v>1.2132004054162383E-2</v>
      </c>
      <c r="G174" s="1"/>
      <c r="H174" s="1">
        <f>SUM(OSRRefH22_22x_0)</f>
        <v>2677</v>
      </c>
      <c r="I174" s="1"/>
      <c r="J174" s="5">
        <f t="shared" ref="J174:J176" si="109">IF(H$12=0,0,H174/H$12)</f>
        <v>8.8630351508570022E-3</v>
      </c>
      <c r="K174" s="1"/>
      <c r="L174" s="1">
        <f t="shared" ref="L174:L176" si="110">+D174-H174</f>
        <v>85.059999999999945</v>
      </c>
      <c r="M174" s="1"/>
      <c r="N174" s="5">
        <f t="shared" ref="N174:N176" si="111">IF(H174=0,0,L174/H174)</f>
        <v>3.177437429958907E-2</v>
      </c>
      <c r="O174" s="14"/>
      <c r="P174" s="1">
        <f>SUM(OSRRefP22_22x_0)</f>
        <v>2762.06</v>
      </c>
      <c r="Q174" s="1"/>
      <c r="R174" s="5">
        <f t="shared" ref="R174:R176" si="112">IF(P$12=0,0,P174/P$12)</f>
        <v>1.2132004054162383E-2</v>
      </c>
      <c r="S174" s="1"/>
      <c r="T174" s="1">
        <f>SUM(OSRRefT22_22x_0)</f>
        <v>2677</v>
      </c>
      <c r="U174" s="1"/>
      <c r="V174" s="5">
        <f t="shared" ref="V174:V176" si="113">IF(T$12=0,0,T174/T$12)</f>
        <v>8.8630351508570022E-3</v>
      </c>
      <c r="W174" s="1"/>
      <c r="X174" s="1">
        <f t="shared" ref="X174:X176" si="114">+P174-T174</f>
        <v>85.059999999999945</v>
      </c>
      <c r="Y174" s="1"/>
      <c r="Z174" s="5">
        <f t="shared" ref="Z174:Z176" si="115">IF(T174=0,0,X174/T174)</f>
        <v>3.177437429958907E-2</v>
      </c>
    </row>
    <row r="175" spans="1:26" s="24" customFormat="1" hidden="1" outlineLevel="2" x14ac:dyDescent="0.25">
      <c r="A175" s="27"/>
      <c r="B175" s="12" t="str">
        <f>CONCATENATE("          ", "6303", " - ", "DATA PHONE LINES")</f>
        <v xml:space="preserve">          6303 - DATA PHONE LINES</v>
      </c>
      <c r="C175" s="12"/>
      <c r="D175" s="7">
        <v>295</v>
      </c>
      <c r="E175" s="3"/>
      <c r="F175" s="8">
        <f t="shared" si="108"/>
        <v>1.2957507063488494E-3</v>
      </c>
      <c r="G175" s="3"/>
      <c r="H175" s="7">
        <v>862</v>
      </c>
      <c r="I175" s="3"/>
      <c r="J175" s="8">
        <f t="shared" si="109"/>
        <v>2.8539171834287397E-3</v>
      </c>
      <c r="K175" s="3"/>
      <c r="L175" s="7">
        <f t="shared" si="110"/>
        <v>-567</v>
      </c>
      <c r="M175" s="3"/>
      <c r="N175" s="8">
        <f t="shared" si="111"/>
        <v>-0.65777262180974483</v>
      </c>
      <c r="O175" s="12"/>
      <c r="P175" s="7">
        <v>295</v>
      </c>
      <c r="Q175" s="3"/>
      <c r="R175" s="8">
        <f t="shared" si="112"/>
        <v>1.2957507063488494E-3</v>
      </c>
      <c r="S175" s="3"/>
      <c r="T175" s="7">
        <v>862</v>
      </c>
      <c r="U175" s="3"/>
      <c r="V175" s="8">
        <f t="shared" si="113"/>
        <v>2.8539171834287397E-3</v>
      </c>
      <c r="W175" s="3"/>
      <c r="X175" s="7">
        <f t="shared" si="114"/>
        <v>-567</v>
      </c>
      <c r="Y175" s="3"/>
      <c r="Z175" s="8">
        <f t="shared" si="115"/>
        <v>-0.65777262180974483</v>
      </c>
    </row>
    <row r="176" spans="1:26" s="24" customFormat="1" hidden="1" outlineLevel="2" x14ac:dyDescent="0.25">
      <c r="A176" s="27"/>
      <c r="B176" s="12" t="str">
        <f>CONCATENATE("          ", "6309", " - ", "TELEPHONE")</f>
        <v xml:space="preserve">          6309 - TELEPHONE</v>
      </c>
      <c r="C176" s="12"/>
      <c r="D176" s="7">
        <v>2467.06</v>
      </c>
      <c r="E176" s="3"/>
      <c r="F176" s="8">
        <f t="shared" si="108"/>
        <v>1.0836253347813534E-2</v>
      </c>
      <c r="G176" s="3"/>
      <c r="H176" s="7">
        <v>1815</v>
      </c>
      <c r="I176" s="3"/>
      <c r="J176" s="8">
        <f t="shared" si="109"/>
        <v>6.009117967428263E-3</v>
      </c>
      <c r="K176" s="3"/>
      <c r="L176" s="7">
        <f t="shared" si="110"/>
        <v>652.05999999999995</v>
      </c>
      <c r="M176" s="3"/>
      <c r="N176" s="8">
        <f t="shared" si="111"/>
        <v>0.35926170798898066</v>
      </c>
      <c r="O176" s="12"/>
      <c r="P176" s="7">
        <v>2467.06</v>
      </c>
      <c r="Q176" s="3"/>
      <c r="R176" s="8">
        <f t="shared" si="112"/>
        <v>1.0836253347813534E-2</v>
      </c>
      <c r="S176" s="3"/>
      <c r="T176" s="7">
        <v>1815</v>
      </c>
      <c r="U176" s="3"/>
      <c r="V176" s="8">
        <f t="shared" si="113"/>
        <v>6.009117967428263E-3</v>
      </c>
      <c r="W176" s="3"/>
      <c r="X176" s="7">
        <f t="shared" si="114"/>
        <v>652.05999999999995</v>
      </c>
      <c r="Y176" s="3"/>
      <c r="Z176" s="8">
        <f t="shared" si="115"/>
        <v>0.35926170798898066</v>
      </c>
    </row>
    <row r="177" spans="1:26" s="29" customFormat="1" outlineLevel="1" collapsed="1" x14ac:dyDescent="0.25">
      <c r="A177" s="28"/>
      <c r="B177" s="14" t="str">
        <f>CONCATENATE("     ","Training                                          ")</f>
        <v xml:space="preserve">     Training                                          </v>
      </c>
      <c r="C177" s="14"/>
      <c r="D177" s="1">
        <f>SUM(OSRRefD22_23x_0)</f>
        <v>131.63</v>
      </c>
      <c r="E177" s="1"/>
      <c r="F177" s="5">
        <f t="shared" ref="F177:F182" si="116">IF(D$12=0,0,D177/D$12)</f>
        <v>5.7816835754813238E-4</v>
      </c>
      <c r="G177" s="1"/>
      <c r="H177" s="1">
        <f>SUM(OSRRefH22_23x_0)</f>
        <v>0</v>
      </c>
      <c r="I177" s="1"/>
      <c r="J177" s="5">
        <f t="shared" ref="J177:J182" si="117">IF(H$12=0,0,H177/H$12)</f>
        <v>0</v>
      </c>
      <c r="K177" s="1"/>
      <c r="L177" s="1">
        <f t="shared" ref="L177:L182" si="118">+D177-H177</f>
        <v>131.63</v>
      </c>
      <c r="M177" s="1"/>
      <c r="N177" s="5">
        <f t="shared" ref="N177:N182" si="119">IF(H177=0,0,L177/H177)</f>
        <v>0</v>
      </c>
      <c r="O177" s="14"/>
      <c r="P177" s="1">
        <f>SUM(OSRRefP22_23x_0)</f>
        <v>131.63</v>
      </c>
      <c r="Q177" s="1"/>
      <c r="R177" s="5">
        <f t="shared" ref="R177:R182" si="120">IF(P$12=0,0,P177/P$12)</f>
        <v>5.7816835754813238E-4</v>
      </c>
      <c r="S177" s="1"/>
      <c r="T177" s="1">
        <f>SUM(OSRRefT22_23x_0)</f>
        <v>0</v>
      </c>
      <c r="U177" s="1"/>
      <c r="V177" s="5">
        <f t="shared" ref="V177:V182" si="121">IF(T$12=0,0,T177/T$12)</f>
        <v>0</v>
      </c>
      <c r="W177" s="1"/>
      <c r="X177" s="1">
        <f t="shared" ref="X177:X182" si="122">+P177-T177</f>
        <v>131.63</v>
      </c>
      <c r="Y177" s="1"/>
      <c r="Z177" s="5">
        <f t="shared" ref="Z177:Z182" si="123">IF(T177=0,0,X177/T177)</f>
        <v>0</v>
      </c>
    </row>
    <row r="178" spans="1:26" s="24" customFormat="1" hidden="1" outlineLevel="2" x14ac:dyDescent="0.25">
      <c r="A178" s="27"/>
      <c r="B178" s="12" t="str">
        <f>CONCATENATE("          ", "6376", " - ", "TRAINING")</f>
        <v xml:space="preserve">          6376 - TRAINING</v>
      </c>
      <c r="C178" s="12"/>
      <c r="D178" s="7">
        <v>131.63</v>
      </c>
      <c r="E178" s="3"/>
      <c r="F178" s="8">
        <f t="shared" si="116"/>
        <v>5.7816835754813238E-4</v>
      </c>
      <c r="G178" s="3"/>
      <c r="H178" s="7">
        <v>0</v>
      </c>
      <c r="I178" s="3"/>
      <c r="J178" s="8">
        <f t="shared" si="117"/>
        <v>0</v>
      </c>
      <c r="K178" s="3"/>
      <c r="L178" s="7">
        <f t="shared" si="118"/>
        <v>131.63</v>
      </c>
      <c r="M178" s="3"/>
      <c r="N178" s="8">
        <f t="shared" si="119"/>
        <v>0</v>
      </c>
      <c r="O178" s="12"/>
      <c r="P178" s="7">
        <v>131.63</v>
      </c>
      <c r="Q178" s="3"/>
      <c r="R178" s="8">
        <f t="shared" si="120"/>
        <v>5.7816835754813238E-4</v>
      </c>
      <c r="S178" s="3"/>
      <c r="T178" s="7">
        <v>0</v>
      </c>
      <c r="U178" s="3"/>
      <c r="V178" s="8">
        <f t="shared" si="121"/>
        <v>0</v>
      </c>
      <c r="W178" s="3"/>
      <c r="X178" s="7">
        <f t="shared" si="122"/>
        <v>131.63</v>
      </c>
      <c r="Y178" s="3"/>
      <c r="Z178" s="8">
        <f t="shared" si="123"/>
        <v>0</v>
      </c>
    </row>
    <row r="179" spans="1:26" s="29" customFormat="1" outlineLevel="1" collapsed="1" x14ac:dyDescent="0.25">
      <c r="A179" s="28"/>
      <c r="B179" s="14" t="str">
        <f>CONCATENATE("     ","Travel                                            ")</f>
        <v xml:space="preserve">     Travel                                            </v>
      </c>
      <c r="C179" s="14"/>
      <c r="D179" s="1">
        <f>SUM(OSRRefD22_24x_0)</f>
        <v>275.20999999999998</v>
      </c>
      <c r="E179" s="1"/>
      <c r="F179" s="5">
        <f t="shared" si="116"/>
        <v>1.2088255996415824E-3</v>
      </c>
      <c r="G179" s="1"/>
      <c r="H179" s="1">
        <f>SUM(OSRRefH22_24x_0)</f>
        <v>50</v>
      </c>
      <c r="I179" s="1"/>
      <c r="J179" s="5">
        <f t="shared" si="117"/>
        <v>1.6554043987405682E-4</v>
      </c>
      <c r="K179" s="1"/>
      <c r="L179" s="1">
        <f t="shared" si="118"/>
        <v>225.20999999999998</v>
      </c>
      <c r="M179" s="1"/>
      <c r="N179" s="5">
        <f t="shared" si="119"/>
        <v>4.5042</v>
      </c>
      <c r="O179" s="14"/>
      <c r="P179" s="1">
        <f>SUM(OSRRefP22_24x_0)</f>
        <v>275.20999999999998</v>
      </c>
      <c r="Q179" s="1"/>
      <c r="R179" s="5">
        <f t="shared" si="120"/>
        <v>1.2088255996415824E-3</v>
      </c>
      <c r="S179" s="1"/>
      <c r="T179" s="1">
        <f>SUM(OSRRefT22_24x_0)</f>
        <v>50</v>
      </c>
      <c r="U179" s="1"/>
      <c r="V179" s="5">
        <f t="shared" si="121"/>
        <v>1.6554043987405682E-4</v>
      </c>
      <c r="W179" s="1"/>
      <c r="X179" s="1">
        <f t="shared" si="122"/>
        <v>225.20999999999998</v>
      </c>
      <c r="Y179" s="1"/>
      <c r="Z179" s="5">
        <f t="shared" si="123"/>
        <v>4.5042</v>
      </c>
    </row>
    <row r="180" spans="1:26" s="24" customFormat="1" hidden="1" outlineLevel="2" x14ac:dyDescent="0.25">
      <c r="A180" s="27"/>
      <c r="B180" s="12" t="str">
        <f>CONCATENATE("          ", "6292", " - ", "TRAVEL/CONFERENCE")</f>
        <v xml:space="preserve">          6292 - TRAVEL/CONFERENCE</v>
      </c>
      <c r="C180" s="12"/>
      <c r="D180" s="7">
        <v>0.16</v>
      </c>
      <c r="E180" s="3"/>
      <c r="F180" s="8">
        <f t="shared" si="116"/>
        <v>7.0278004412140989E-7</v>
      </c>
      <c r="G180" s="3"/>
      <c r="H180" s="7"/>
      <c r="I180" s="3"/>
      <c r="J180" s="8">
        <f t="shared" si="117"/>
        <v>0</v>
      </c>
      <c r="K180" s="3"/>
      <c r="L180" s="7">
        <f t="shared" si="118"/>
        <v>0.16</v>
      </c>
      <c r="M180" s="3"/>
      <c r="N180" s="8">
        <f t="shared" si="119"/>
        <v>0</v>
      </c>
      <c r="O180" s="12"/>
      <c r="P180" s="7">
        <v>0.16</v>
      </c>
      <c r="Q180" s="3"/>
      <c r="R180" s="8">
        <f t="shared" si="120"/>
        <v>7.0278004412140989E-7</v>
      </c>
      <c r="S180" s="3"/>
      <c r="T180" s="7"/>
      <c r="U180" s="3"/>
      <c r="V180" s="8">
        <f t="shared" si="121"/>
        <v>0</v>
      </c>
      <c r="W180" s="3"/>
      <c r="X180" s="7">
        <f t="shared" si="122"/>
        <v>0.16</v>
      </c>
      <c r="Y180" s="3"/>
      <c r="Z180" s="8">
        <f t="shared" si="123"/>
        <v>0</v>
      </c>
    </row>
    <row r="181" spans="1:26" s="24" customFormat="1" hidden="1" outlineLevel="2" x14ac:dyDescent="0.25">
      <c r="A181" s="27"/>
      <c r="B181" s="12" t="str">
        <f>CONCATENATE("          ", "6294", " - ", "TRAVEL OPERATIONAL")</f>
        <v xml:space="preserve">          6294 - TRAVEL OPERATIONAL</v>
      </c>
      <c r="C181" s="12"/>
      <c r="D181" s="7">
        <v>215.16</v>
      </c>
      <c r="E181" s="3"/>
      <c r="F181" s="8">
        <f t="shared" si="116"/>
        <v>9.4506346433226589E-4</v>
      </c>
      <c r="G181" s="3"/>
      <c r="H181" s="7">
        <v>25</v>
      </c>
      <c r="I181" s="3"/>
      <c r="J181" s="8">
        <f t="shared" si="117"/>
        <v>8.277021993702841E-5</v>
      </c>
      <c r="K181" s="3"/>
      <c r="L181" s="7">
        <f t="shared" si="118"/>
        <v>190.16</v>
      </c>
      <c r="M181" s="3"/>
      <c r="N181" s="8">
        <f t="shared" si="119"/>
        <v>7.6063999999999998</v>
      </c>
      <c r="O181" s="12"/>
      <c r="P181" s="7">
        <v>215.16</v>
      </c>
      <c r="Q181" s="3"/>
      <c r="R181" s="8">
        <f t="shared" si="120"/>
        <v>9.4506346433226589E-4</v>
      </c>
      <c r="S181" s="3"/>
      <c r="T181" s="7">
        <v>25</v>
      </c>
      <c r="U181" s="3"/>
      <c r="V181" s="8">
        <f t="shared" si="121"/>
        <v>8.277021993702841E-5</v>
      </c>
      <c r="W181" s="3"/>
      <c r="X181" s="7">
        <f t="shared" si="122"/>
        <v>190.16</v>
      </c>
      <c r="Y181" s="3"/>
      <c r="Z181" s="8">
        <f t="shared" si="123"/>
        <v>7.6063999999999998</v>
      </c>
    </row>
    <row r="182" spans="1:26" s="24" customFormat="1" hidden="1" outlineLevel="2" x14ac:dyDescent="0.25">
      <c r="A182" s="27"/>
      <c r="B182" s="12" t="str">
        <f>CONCATENATE("          ", "6298", " - ", "VEHICLE MILEAGE")</f>
        <v xml:space="preserve">          6298 - VEHICLE MILEAGE</v>
      </c>
      <c r="C182" s="12"/>
      <c r="D182" s="7">
        <v>59.89</v>
      </c>
      <c r="E182" s="3"/>
      <c r="F182" s="8">
        <f t="shared" si="116"/>
        <v>2.630593552651952E-4</v>
      </c>
      <c r="G182" s="3"/>
      <c r="H182" s="7">
        <v>25</v>
      </c>
      <c r="I182" s="3"/>
      <c r="J182" s="8">
        <f t="shared" si="117"/>
        <v>8.277021993702841E-5</v>
      </c>
      <c r="K182" s="3"/>
      <c r="L182" s="7">
        <f t="shared" si="118"/>
        <v>34.89</v>
      </c>
      <c r="M182" s="3"/>
      <c r="N182" s="8">
        <f t="shared" si="119"/>
        <v>1.3956</v>
      </c>
      <c r="O182" s="12"/>
      <c r="P182" s="7">
        <v>59.89</v>
      </c>
      <c r="Q182" s="3"/>
      <c r="R182" s="8">
        <f t="shared" si="120"/>
        <v>2.630593552651952E-4</v>
      </c>
      <c r="S182" s="3"/>
      <c r="T182" s="7">
        <v>25</v>
      </c>
      <c r="U182" s="3"/>
      <c r="V182" s="8">
        <f t="shared" si="121"/>
        <v>8.277021993702841E-5</v>
      </c>
      <c r="W182" s="3"/>
      <c r="X182" s="7">
        <f t="shared" si="122"/>
        <v>34.89</v>
      </c>
      <c r="Y182" s="3"/>
      <c r="Z182" s="8">
        <f t="shared" si="123"/>
        <v>1.3956</v>
      </c>
    </row>
    <row r="183" spans="1:26" s="29" customFormat="1" outlineLevel="1" collapsed="1" x14ac:dyDescent="0.25">
      <c r="A183" s="28"/>
      <c r="B183" s="14" t="str">
        <f>CONCATENATE("     ","Utilities                                         ")</f>
        <v xml:space="preserve">     Utilities                                         </v>
      </c>
      <c r="C183" s="14"/>
      <c r="D183" s="1">
        <f>SUM(OSRRefD22_25x_0)</f>
        <v>6211.46</v>
      </c>
      <c r="E183" s="1"/>
      <c r="F183" s="5">
        <f t="shared" ref="F183:F184" si="124">IF(D$12=0,0,D183/D$12)</f>
        <v>2.7283063330364826E-2</v>
      </c>
      <c r="G183" s="1"/>
      <c r="H183" s="1">
        <f>SUM(OSRRefH22_25x_0)</f>
        <v>6926</v>
      </c>
      <c r="I183" s="1"/>
      <c r="J183" s="5">
        <f t="shared" ref="J183:J184" si="125">IF(H$12=0,0,H183/H$12)</f>
        <v>2.2930661731354354E-2</v>
      </c>
      <c r="K183" s="1"/>
      <c r="L183" s="1">
        <f t="shared" ref="L183:L184" si="126">+D183-H183</f>
        <v>-714.54</v>
      </c>
      <c r="M183" s="1"/>
      <c r="N183" s="5">
        <f t="shared" ref="N183:N184" si="127">IF(H183=0,0,L183/H183)</f>
        <v>-0.10316777360669939</v>
      </c>
      <c r="O183" s="14"/>
      <c r="P183" s="1">
        <f>SUM(OSRRefP22_25x_0)</f>
        <v>6211.46</v>
      </c>
      <c r="Q183" s="1"/>
      <c r="R183" s="5">
        <f t="shared" ref="R183:R184" si="128">IF(P$12=0,0,P183/P$12)</f>
        <v>2.7283063330364826E-2</v>
      </c>
      <c r="S183" s="1"/>
      <c r="T183" s="1">
        <f>SUM(OSRRefT22_25x_0)</f>
        <v>6926</v>
      </c>
      <c r="U183" s="1"/>
      <c r="V183" s="5">
        <f t="shared" ref="V183:V184" si="129">IF(T$12=0,0,T183/T$12)</f>
        <v>2.2930661731354354E-2</v>
      </c>
      <c r="W183" s="1"/>
      <c r="X183" s="1">
        <f t="shared" ref="X183:X184" si="130">+P183-T183</f>
        <v>-714.54</v>
      </c>
      <c r="Y183" s="1"/>
      <c r="Z183" s="5">
        <f t="shared" ref="Z183:Z184" si="131">IF(T183=0,0,X183/T183)</f>
        <v>-0.10316777360669939</v>
      </c>
    </row>
    <row r="184" spans="1:26" s="24" customFormat="1" hidden="1" outlineLevel="2" x14ac:dyDescent="0.25">
      <c r="A184" s="27"/>
      <c r="B184" s="12" t="str">
        <f>CONCATENATE("          ", "6274", " - ", "UTILITIES")</f>
        <v xml:space="preserve">          6274 - UTILITIES</v>
      </c>
      <c r="C184" s="12"/>
      <c r="D184" s="7">
        <v>6211.46</v>
      </c>
      <c r="E184" s="3"/>
      <c r="F184" s="8">
        <f t="shared" si="124"/>
        <v>2.7283063330364826E-2</v>
      </c>
      <c r="G184" s="3"/>
      <c r="H184" s="7">
        <v>6926</v>
      </c>
      <c r="I184" s="3"/>
      <c r="J184" s="8">
        <f t="shared" si="125"/>
        <v>2.2930661731354354E-2</v>
      </c>
      <c r="K184" s="3"/>
      <c r="L184" s="7">
        <f t="shared" si="126"/>
        <v>-714.54</v>
      </c>
      <c r="M184" s="3"/>
      <c r="N184" s="8">
        <f t="shared" si="127"/>
        <v>-0.10316777360669939</v>
      </c>
      <c r="O184" s="12"/>
      <c r="P184" s="7">
        <v>6211.46</v>
      </c>
      <c r="Q184" s="3"/>
      <c r="R184" s="8">
        <f t="shared" si="128"/>
        <v>2.7283063330364826E-2</v>
      </c>
      <c r="S184" s="3"/>
      <c r="T184" s="7">
        <v>6926</v>
      </c>
      <c r="U184" s="3"/>
      <c r="V184" s="8">
        <f t="shared" si="129"/>
        <v>2.2930661731354354E-2</v>
      </c>
      <c r="W184" s="3"/>
      <c r="X184" s="7">
        <f t="shared" si="130"/>
        <v>-714.54</v>
      </c>
      <c r="Y184" s="3"/>
      <c r="Z184" s="8">
        <f t="shared" si="131"/>
        <v>-0.10316777360669939</v>
      </c>
    </row>
    <row r="185" spans="1:26" s="54" customFormat="1" x14ac:dyDescent="0.25">
      <c r="A185" s="36"/>
      <c r="B185" s="36"/>
      <c r="C185" s="36"/>
      <c r="D185" s="1"/>
      <c r="E185" s="1"/>
      <c r="F185" s="5"/>
      <c r="G185" s="1"/>
      <c r="H185" s="1"/>
      <c r="I185" s="1"/>
      <c r="J185" s="5"/>
      <c r="K185" s="1"/>
      <c r="L185" s="1"/>
      <c r="M185" s="1"/>
      <c r="N185" s="5"/>
      <c r="O185" s="36"/>
      <c r="P185" s="1"/>
      <c r="Q185" s="1"/>
      <c r="R185" s="5"/>
      <c r="S185" s="1"/>
      <c r="T185" s="1"/>
      <c r="U185" s="1"/>
      <c r="V185" s="5"/>
      <c r="W185" s="1"/>
      <c r="X185" s="1"/>
      <c r="Y185" s="1"/>
      <c r="Z185" s="5"/>
    </row>
    <row r="186" spans="1:26" s="22" customFormat="1" collapsed="1" x14ac:dyDescent="0.25">
      <c r="A186" s="10"/>
      <c r="B186" s="26" t="s">
        <v>0</v>
      </c>
      <c r="C186" s="10"/>
      <c r="D186" s="4">
        <f>SUM(OSRRefD25x_0)</f>
        <v>197872.55</v>
      </c>
      <c r="E186" s="4"/>
      <c r="F186" s="11">
        <f t="shared" ref="F186:F190" si="132">IF(D$12=0,0,D186/D$12)</f>
        <v>0.86913049637134909</v>
      </c>
      <c r="G186" s="4"/>
      <c r="H186" s="4">
        <f>SUM(OSRRefH25x_0)</f>
        <v>32425</v>
      </c>
      <c r="I186" s="4"/>
      <c r="J186" s="11">
        <f t="shared" ref="J186:J190" si="133">IF(H$12=0,0,H186/H$12)</f>
        <v>0.10735297525832585</v>
      </c>
      <c r="K186" s="4"/>
      <c r="L186" s="4">
        <f t="shared" ref="L186:L190" si="134">+D186-H186</f>
        <v>165447.54999999999</v>
      </c>
      <c r="M186" s="4"/>
      <c r="N186" s="11">
        <f t="shared" ref="N186:N190" si="135">IF(H186=0,0,L186/H186)</f>
        <v>5.1024687740940626</v>
      </c>
      <c r="O186" s="10"/>
      <c r="P186" s="4">
        <f>SUM(OSRRefP25x_0)</f>
        <v>197872.55</v>
      </c>
      <c r="Q186" s="4"/>
      <c r="R186" s="11">
        <f t="shared" ref="R186:R190" si="136">IF(P$12=0,0,P186/P$12)</f>
        <v>0.86913049637134909</v>
      </c>
      <c r="S186" s="4"/>
      <c r="T186" s="4">
        <f>SUM(OSRRefT25x_0)</f>
        <v>32425</v>
      </c>
      <c r="U186" s="4"/>
      <c r="V186" s="11">
        <f t="shared" ref="V186:V190" si="137">IF(T$12=0,0,T186/T$12)</f>
        <v>0.10735297525832585</v>
      </c>
      <c r="W186" s="4"/>
      <c r="X186" s="4">
        <f t="shared" ref="X186:X190" si="138">+P186-T186</f>
        <v>165447.54999999999</v>
      </c>
      <c r="Y186" s="4"/>
      <c r="Z186" s="11">
        <f t="shared" ref="Z186:Z190" si="139">IF(T186=0,0,X186/T186)</f>
        <v>5.1024687740940626</v>
      </c>
    </row>
    <row r="187" spans="1:26" s="24" customFormat="1" hidden="1" outlineLevel="1" x14ac:dyDescent="0.25">
      <c r="A187" s="51"/>
      <c r="B187" s="12" t="str">
        <f>CONCATENATE("          ", "9150", " - ", "MISC. INCOME")</f>
        <v xml:space="preserve">          9150 - MISC. INCOME</v>
      </c>
      <c r="C187" s="12"/>
      <c r="D187" s="3">
        <f>--35734.26</f>
        <v>35734.26</v>
      </c>
      <c r="E187" s="3"/>
      <c r="F187" s="23">
        <f t="shared" si="132"/>
        <v>0.15695828012153706</v>
      </c>
      <c r="G187" s="3"/>
      <c r="H187" s="3">
        <v>17050</v>
      </c>
      <c r="I187" s="3"/>
      <c r="J187" s="23">
        <f t="shared" si="133"/>
        <v>5.6449289997053377E-2</v>
      </c>
      <c r="K187" s="3"/>
      <c r="L187" s="3">
        <f t="shared" si="134"/>
        <v>18684.260000000002</v>
      </c>
      <c r="M187" s="3"/>
      <c r="N187" s="23">
        <f t="shared" si="135"/>
        <v>1.0958510263929619</v>
      </c>
      <c r="O187" s="12"/>
      <c r="P187" s="3">
        <f>--35734.26</f>
        <v>35734.26</v>
      </c>
      <c r="Q187" s="3"/>
      <c r="R187" s="23">
        <f t="shared" si="136"/>
        <v>0.15695828012153706</v>
      </c>
      <c r="S187" s="3"/>
      <c r="T187" s="3">
        <v>17050</v>
      </c>
      <c r="U187" s="3"/>
      <c r="V187" s="23">
        <f t="shared" si="137"/>
        <v>5.6449289997053377E-2</v>
      </c>
      <c r="W187" s="3"/>
      <c r="X187" s="3">
        <f t="shared" si="138"/>
        <v>18684.260000000002</v>
      </c>
      <c r="Y187" s="3"/>
      <c r="Z187" s="23">
        <f t="shared" si="139"/>
        <v>1.0958510263929619</v>
      </c>
    </row>
    <row r="188" spans="1:26" s="24" customFormat="1" hidden="1" outlineLevel="1" x14ac:dyDescent="0.25">
      <c r="A188" s="51"/>
      <c r="B188" s="12" t="str">
        <f>CONCATENATE("          ", "9151", " - ", "MISC. INCOME")</f>
        <v xml:space="preserve">          9151 - MISC. INCOME</v>
      </c>
      <c r="C188" s="12"/>
      <c r="D188" s="3">
        <f>0</f>
        <v>0</v>
      </c>
      <c r="E188" s="3"/>
      <c r="F188" s="23">
        <f t="shared" si="132"/>
        <v>0</v>
      </c>
      <c r="G188" s="3"/>
      <c r="H188" s="3">
        <v>15375</v>
      </c>
      <c r="I188" s="3"/>
      <c r="J188" s="23">
        <f t="shared" si="133"/>
        <v>5.0903685261272473E-2</v>
      </c>
      <c r="K188" s="3"/>
      <c r="L188" s="3">
        <f t="shared" si="134"/>
        <v>-15375</v>
      </c>
      <c r="M188" s="3"/>
      <c r="N188" s="23">
        <f t="shared" si="135"/>
        <v>-1</v>
      </c>
      <c r="O188" s="12"/>
      <c r="P188" s="3">
        <f>0</f>
        <v>0</v>
      </c>
      <c r="Q188" s="3"/>
      <c r="R188" s="23">
        <f t="shared" si="136"/>
        <v>0</v>
      </c>
      <c r="S188" s="3"/>
      <c r="T188" s="3">
        <v>15375</v>
      </c>
      <c r="U188" s="3"/>
      <c r="V188" s="23">
        <f t="shared" si="137"/>
        <v>5.0903685261272473E-2</v>
      </c>
      <c r="W188" s="3"/>
      <c r="X188" s="3">
        <f t="shared" si="138"/>
        <v>-15375</v>
      </c>
      <c r="Y188" s="3"/>
      <c r="Z188" s="23">
        <f t="shared" si="139"/>
        <v>-1</v>
      </c>
    </row>
    <row r="189" spans="1:26" s="24" customFormat="1" hidden="1" outlineLevel="1" x14ac:dyDescent="0.25">
      <c r="A189" s="51"/>
      <c r="B189" s="12" t="str">
        <f>CONCATENATE("          ", "9152", " - ", "MISC. INCOME")</f>
        <v xml:space="preserve">          9152 - MISC. INCOME</v>
      </c>
      <c r="C189" s="12"/>
      <c r="D189" s="3">
        <f>--1474.39</f>
        <v>1474.39</v>
      </c>
      <c r="E189" s="3"/>
      <c r="F189" s="23">
        <f t="shared" si="132"/>
        <v>6.4760741828260348E-3</v>
      </c>
      <c r="G189" s="3"/>
      <c r="H189" s="3"/>
      <c r="I189" s="3"/>
      <c r="J189" s="23">
        <f t="shared" si="133"/>
        <v>0</v>
      </c>
      <c r="K189" s="3"/>
      <c r="L189" s="3">
        <f t="shared" si="134"/>
        <v>1474.39</v>
      </c>
      <c r="M189" s="3"/>
      <c r="N189" s="23">
        <f t="shared" si="135"/>
        <v>0</v>
      </c>
      <c r="O189" s="12"/>
      <c r="P189" s="3">
        <f>--1474.39</f>
        <v>1474.39</v>
      </c>
      <c r="Q189" s="3"/>
      <c r="R189" s="23">
        <f t="shared" si="136"/>
        <v>6.4760741828260348E-3</v>
      </c>
      <c r="S189" s="3"/>
      <c r="T189" s="3"/>
      <c r="U189" s="3"/>
      <c r="V189" s="23">
        <f t="shared" si="137"/>
        <v>0</v>
      </c>
      <c r="W189" s="3"/>
      <c r="X189" s="3">
        <f t="shared" si="138"/>
        <v>1474.39</v>
      </c>
      <c r="Y189" s="3"/>
      <c r="Z189" s="23">
        <f t="shared" si="139"/>
        <v>0</v>
      </c>
    </row>
    <row r="190" spans="1:26" s="24" customFormat="1" hidden="1" outlineLevel="1" x14ac:dyDescent="0.25">
      <c r="A190" s="51"/>
      <c r="B190" s="12" t="str">
        <f>CONCATENATE("          ", "9163", " - ", "MISC. INCOME")</f>
        <v xml:space="preserve">          9163 - MISC. INCOME</v>
      </c>
      <c r="C190" s="12"/>
      <c r="D190" s="3">
        <f>--160663.9</f>
        <v>160663.9</v>
      </c>
      <c r="E190" s="3"/>
      <c r="F190" s="23">
        <f t="shared" si="132"/>
        <v>0.70569614206698605</v>
      </c>
      <c r="G190" s="3"/>
      <c r="H190" s="3"/>
      <c r="I190" s="3"/>
      <c r="J190" s="23">
        <f t="shared" si="133"/>
        <v>0</v>
      </c>
      <c r="K190" s="3"/>
      <c r="L190" s="3">
        <f t="shared" si="134"/>
        <v>160663.9</v>
      </c>
      <c r="M190" s="3"/>
      <c r="N190" s="23">
        <f t="shared" si="135"/>
        <v>0</v>
      </c>
      <c r="O190" s="12"/>
      <c r="P190" s="3">
        <f>--160663.9</f>
        <v>160663.9</v>
      </c>
      <c r="Q190" s="3"/>
      <c r="R190" s="23">
        <f t="shared" si="136"/>
        <v>0.70569614206698605</v>
      </c>
      <c r="S190" s="3"/>
      <c r="T190" s="3"/>
      <c r="U190" s="3"/>
      <c r="V190" s="23">
        <f t="shared" si="137"/>
        <v>0</v>
      </c>
      <c r="W190" s="3"/>
      <c r="X190" s="3">
        <f t="shared" si="138"/>
        <v>160663.9</v>
      </c>
      <c r="Y190" s="3"/>
      <c r="Z190" s="23">
        <f t="shared" si="139"/>
        <v>0</v>
      </c>
    </row>
    <row r="191" spans="1:26" x14ac:dyDescent="0.25">
      <c r="A191" s="9"/>
      <c r="B191" s="10"/>
      <c r="C191" s="10"/>
      <c r="D191" s="2"/>
      <c r="E191" s="2"/>
      <c r="F191" s="6"/>
      <c r="G191" s="2"/>
      <c r="H191" s="2"/>
      <c r="I191" s="2"/>
      <c r="J191" s="6"/>
      <c r="K191" s="2"/>
      <c r="L191" s="2"/>
      <c r="M191" s="2"/>
      <c r="N191" s="6"/>
      <c r="O191" s="10"/>
      <c r="P191" s="2"/>
      <c r="Q191" s="2"/>
      <c r="R191" s="6"/>
      <c r="S191" s="2"/>
      <c r="T191" s="2"/>
      <c r="U191" s="2"/>
      <c r="V191" s="6"/>
      <c r="W191" s="2"/>
      <c r="X191" s="2"/>
      <c r="Y191" s="2"/>
      <c r="Z191" s="6"/>
    </row>
    <row r="192" spans="1:26" s="22" customFormat="1" x14ac:dyDescent="0.25">
      <c r="A192" s="10"/>
      <c r="B192" s="25" t="s">
        <v>3</v>
      </c>
      <c r="C192" s="25"/>
      <c r="D192" s="21">
        <f>+D86-D88+D186</f>
        <v>-69504.480000000098</v>
      </c>
      <c r="E192" s="13"/>
      <c r="F192" s="20">
        <f>IF(D$12=0,0,D192/D$12)</f>
        <v>-0.30528975950647325</v>
      </c>
      <c r="G192" s="13"/>
      <c r="H192" s="21">
        <f>+H86-H88+H186</f>
        <v>-245798.53746014432</v>
      </c>
      <c r="I192" s="13"/>
      <c r="J192" s="20">
        <f>IF(H$12=0,0,H192/H$12)</f>
        <v>-0.8137919602310425</v>
      </c>
      <c r="K192" s="15"/>
      <c r="L192" s="21">
        <f>+D192-H192</f>
        <v>176294.05746014422</v>
      </c>
      <c r="M192" s="15"/>
      <c r="N192" s="20">
        <f>IF(H192=0,0,L192/H192)</f>
        <v>-0.71722988786591091</v>
      </c>
      <c r="O192" s="26"/>
      <c r="P192" s="21">
        <f>+P86-P88+P186</f>
        <v>-69504.480000000098</v>
      </c>
      <c r="Q192" s="13"/>
      <c r="R192" s="20">
        <f>IF(P$12=0,0,P192/P$12)</f>
        <v>-0.30528975950647325</v>
      </c>
      <c r="S192" s="13"/>
      <c r="T192" s="21">
        <f>+T86-T88+T186</f>
        <v>-245798.53746014432</v>
      </c>
      <c r="U192" s="13"/>
      <c r="V192" s="20">
        <f>IF(T$12=0,0,T192/T$12)</f>
        <v>-0.8137919602310425</v>
      </c>
      <c r="W192" s="15"/>
      <c r="X192" s="21">
        <f>+P192-T192</f>
        <v>176294.05746014422</v>
      </c>
      <c r="Y192" s="15"/>
      <c r="Z192" s="20">
        <f>IF(T192=0,0,X192/T192)</f>
        <v>-0.71722988786591091</v>
      </c>
    </row>
    <row r="193" spans="1:26" x14ac:dyDescent="0.25">
      <c r="A193" s="9"/>
      <c r="B193" s="10"/>
      <c r="C193" s="9"/>
      <c r="D193" s="2"/>
      <c r="E193" s="2"/>
      <c r="F193" s="6"/>
      <c r="G193" s="2"/>
      <c r="H193" s="2"/>
      <c r="I193" s="2"/>
      <c r="J193" s="6"/>
      <c r="K193" s="2"/>
      <c r="L193" s="2"/>
      <c r="M193" s="2"/>
      <c r="N193" s="6"/>
      <c r="P193" s="2"/>
      <c r="Q193" s="2"/>
      <c r="R193" s="6"/>
      <c r="S193" s="2"/>
      <c r="T193" s="2"/>
      <c r="U193" s="2"/>
      <c r="V193" s="6"/>
      <c r="W193" s="2"/>
      <c r="X193" s="2"/>
      <c r="Y193" s="2"/>
      <c r="Z193" s="6"/>
    </row>
    <row r="194" spans="1:26" s="22" customFormat="1" x14ac:dyDescent="0.25">
      <c r="A194" s="52"/>
      <c r="B194" s="10" t="s">
        <v>14</v>
      </c>
      <c r="C194" s="10"/>
      <c r="D194" s="4">
        <v>114653.25</v>
      </c>
      <c r="E194" s="4"/>
      <c r="F194" s="11">
        <f>IF(D$12=0,0,D194/D$12)</f>
        <v>0.50360010058539395</v>
      </c>
      <c r="G194" s="4"/>
      <c r="H194" s="4">
        <v>149304</v>
      </c>
      <c r="I194" s="4"/>
      <c r="J194" s="11">
        <f>IF(H$12=0,0,H194/H$12)</f>
        <v>0.49431699669912366</v>
      </c>
      <c r="K194" s="4"/>
      <c r="L194" s="4">
        <f>+D194-H194</f>
        <v>-34650.75</v>
      </c>
      <c r="M194" s="4"/>
      <c r="N194" s="11">
        <f>IF(H194=0,0,L194/H194)</f>
        <v>-0.23208185982960938</v>
      </c>
      <c r="O194" s="10"/>
      <c r="P194" s="4">
        <v>114653.25</v>
      </c>
      <c r="Q194" s="4"/>
      <c r="R194" s="11">
        <f>IF(P$12=0,0,P194/P$12)</f>
        <v>0.50360010058539395</v>
      </c>
      <c r="S194" s="4"/>
      <c r="T194" s="4">
        <v>149304</v>
      </c>
      <c r="U194" s="4"/>
      <c r="V194" s="11">
        <f>IF(T$12=0,0,T194/T$12)</f>
        <v>0.49431699669912366</v>
      </c>
      <c r="W194" s="4"/>
      <c r="X194" s="4">
        <f>+P194-T194</f>
        <v>-34650.75</v>
      </c>
      <c r="Y194" s="4"/>
      <c r="Z194" s="11">
        <f>IF(T194=0,0,X194/T194)</f>
        <v>-0.23208185982960938</v>
      </c>
    </row>
    <row r="195" spans="1:26" x14ac:dyDescent="0.25">
      <c r="A195" s="9"/>
      <c r="B195" s="10"/>
      <c r="C195" s="10"/>
      <c r="D195" s="2"/>
      <c r="E195" s="2"/>
      <c r="F195" s="6"/>
      <c r="G195" s="2"/>
      <c r="H195" s="2"/>
      <c r="I195" s="2"/>
      <c r="J195" s="6"/>
      <c r="K195" s="2"/>
      <c r="L195" s="2"/>
      <c r="M195" s="2"/>
      <c r="N195" s="6"/>
      <c r="O195" s="10"/>
      <c r="P195" s="2"/>
      <c r="Q195" s="2"/>
      <c r="R195" s="6"/>
      <c r="S195" s="2"/>
      <c r="T195" s="2"/>
      <c r="U195" s="2"/>
      <c r="V195" s="6"/>
      <c r="W195" s="2"/>
      <c r="X195" s="2"/>
      <c r="Y195" s="2"/>
      <c r="Z195" s="6"/>
    </row>
    <row r="196" spans="1:26" s="22" customFormat="1" ht="15.75" thickBot="1" x14ac:dyDescent="0.3">
      <c r="A196" s="10"/>
      <c r="B196" s="25" t="s">
        <v>4</v>
      </c>
      <c r="C196" s="25"/>
      <c r="D196" s="34">
        <f>+D192-D194</f>
        <v>-184157.7300000001</v>
      </c>
      <c r="E196" s="13"/>
      <c r="F196" s="30">
        <f>IF(D$12=0,0,D196/D$12)</f>
        <v>-0.80888986009186714</v>
      </c>
      <c r="G196" s="13"/>
      <c r="H196" s="34">
        <f>+H192-H194</f>
        <v>-395102.53746014432</v>
      </c>
      <c r="I196" s="13"/>
      <c r="J196" s="30">
        <f>IF(H$12=0,0,H196/H$12)</f>
        <v>-1.3081089569301663</v>
      </c>
      <c r="K196" s="15"/>
      <c r="L196" s="34">
        <f>D196-H196</f>
        <v>210944.80746014422</v>
      </c>
      <c r="M196" s="15"/>
      <c r="N196" s="30">
        <f>IF(H196=0,0,L196/H196)</f>
        <v>-0.5338988932244535</v>
      </c>
      <c r="O196" s="26"/>
      <c r="P196" s="34">
        <f>+P192-P194</f>
        <v>-184157.7300000001</v>
      </c>
      <c r="Q196" s="13"/>
      <c r="R196" s="30">
        <f>IF(P$12=0,0,P196/P$12)</f>
        <v>-0.80888986009186714</v>
      </c>
      <c r="S196" s="13"/>
      <c r="T196" s="34">
        <f>+T192-T194</f>
        <v>-395102.53746014432</v>
      </c>
      <c r="U196" s="13"/>
      <c r="V196" s="30">
        <f>IF(T$12=0,0,T196/T$12)</f>
        <v>-1.3081089569301663</v>
      </c>
      <c r="W196" s="15"/>
      <c r="X196" s="34">
        <f>P196-T196</f>
        <v>210944.80746014422</v>
      </c>
      <c r="Y196" s="15"/>
      <c r="Z196" s="30">
        <f>IF(T196=0,0,X196/T196)</f>
        <v>-0.5338988932244535</v>
      </c>
    </row>
    <row r="197" spans="1:26" ht="15.75" thickTop="1" x14ac:dyDescent="0.25">
      <c r="A197" s="9"/>
      <c r="B197" s="9"/>
      <c r="C197" s="9"/>
      <c r="D197" s="2"/>
      <c r="E197" s="2"/>
      <c r="F197" s="6"/>
      <c r="G197" s="2"/>
      <c r="H197" s="2"/>
      <c r="I197" s="2"/>
      <c r="J197" s="6"/>
      <c r="K197" s="2"/>
      <c r="L197" s="2"/>
      <c r="M197" s="2"/>
      <c r="N197" s="6"/>
      <c r="P197" s="2"/>
      <c r="Q197" s="2"/>
      <c r="R197" s="6"/>
      <c r="S197" s="2"/>
      <c r="T197" s="2"/>
      <c r="U197" s="2"/>
      <c r="V197" s="6"/>
      <c r="W197" s="2"/>
      <c r="X197" s="2"/>
      <c r="Y197" s="2"/>
      <c r="Z197" s="6"/>
    </row>
    <row r="198" spans="1:26" x14ac:dyDescent="0.25">
      <c r="A198" s="9"/>
      <c r="B198" s="9"/>
      <c r="C198" s="9"/>
      <c r="D198" s="2"/>
      <c r="E198" s="2"/>
      <c r="F198" s="6"/>
      <c r="G198" s="2"/>
      <c r="H198" s="2"/>
      <c r="I198" s="2"/>
      <c r="J198" s="6"/>
      <c r="K198" s="2"/>
      <c r="L198" s="2"/>
      <c r="M198" s="2"/>
      <c r="N198" s="6"/>
      <c r="P198" s="2"/>
      <c r="Q198" s="2"/>
      <c r="R198" s="6"/>
      <c r="S198" s="2"/>
      <c r="T198" s="2"/>
      <c r="U198" s="2"/>
      <c r="V198" s="6"/>
      <c r="W198" s="2"/>
      <c r="X198" s="2"/>
      <c r="Y198" s="2"/>
      <c r="Z198" s="6"/>
    </row>
    <row r="199" spans="1:26" s="22" customFormat="1" ht="15.75" thickBot="1" x14ac:dyDescent="0.3">
      <c r="A199" s="10"/>
      <c r="B199" s="25" t="s">
        <v>5</v>
      </c>
      <c r="C199" s="25"/>
      <c r="D199" s="32">
        <f>SUM(D196:D198)</f>
        <v>-184157.7300000001</v>
      </c>
      <c r="E199" s="13"/>
      <c r="F199" s="33">
        <f>IF(D$12=0,0,D199/D$12)</f>
        <v>-0.80888986009186714</v>
      </c>
      <c r="G199" s="13"/>
      <c r="H199" s="32">
        <f>SUM(H196:H198)</f>
        <v>-395102.53746014432</v>
      </c>
      <c r="I199" s="13"/>
      <c r="J199" s="33">
        <f>IF(H$12=0,0,H199/H$12)</f>
        <v>-1.3081089569301663</v>
      </c>
      <c r="K199" s="15"/>
      <c r="L199" s="32">
        <f>+D199-H199</f>
        <v>210944.80746014422</v>
      </c>
      <c r="M199" s="15"/>
      <c r="N199" s="33">
        <f>IF(H199=0,0,L199/H199)</f>
        <v>-0.5338988932244535</v>
      </c>
      <c r="O199" s="26"/>
      <c r="P199" s="32">
        <f>SUM(P196:P198)</f>
        <v>-184157.7300000001</v>
      </c>
      <c r="Q199" s="13"/>
      <c r="R199" s="33">
        <f>IF(P$12=0,0,P199/P$12)</f>
        <v>-0.80888986009186714</v>
      </c>
      <c r="S199" s="13"/>
      <c r="T199" s="32">
        <f>SUM(T196:T198)</f>
        <v>-395102.53746014432</v>
      </c>
      <c r="U199" s="13"/>
      <c r="V199" s="33">
        <f>IF(T$12=0,0,T199/T$12)</f>
        <v>-1.3081089569301663</v>
      </c>
      <c r="W199" s="15"/>
      <c r="X199" s="32">
        <f>+P199-T199</f>
        <v>210944.80746014422</v>
      </c>
      <c r="Y199" s="15"/>
      <c r="Z199" s="33">
        <f>IF(T199=0,0,X199/T199)</f>
        <v>-0.5338988932244535</v>
      </c>
    </row>
    <row r="200" spans="1:26" ht="15.75" thickTop="1" x14ac:dyDescent="0.25">
      <c r="A200" s="9"/>
      <c r="C200" s="9"/>
      <c r="D200" s="17"/>
      <c r="E200" s="17"/>
      <c r="G200" s="17"/>
      <c r="H200" s="17"/>
      <c r="I200" s="17"/>
      <c r="J200" s="43"/>
      <c r="K200" s="17"/>
      <c r="L200" s="17"/>
      <c r="M200" s="17"/>
      <c r="P200" s="17"/>
      <c r="Q200" s="17"/>
      <c r="R200" s="43"/>
      <c r="S200" s="17"/>
      <c r="T200" s="17"/>
      <c r="U200" s="17"/>
      <c r="V200" s="43"/>
      <c r="W200" s="17"/>
      <c r="X200" s="17"/>
    </row>
    <row r="201" spans="1:26" x14ac:dyDescent="0.25">
      <c r="A201" s="9"/>
      <c r="B201" s="58">
        <v>44104.685387997684</v>
      </c>
      <c r="D201" s="17"/>
      <c r="E201" s="17"/>
      <c r="G201" s="17"/>
      <c r="H201" s="17"/>
      <c r="I201" s="17"/>
      <c r="J201" s="43"/>
      <c r="K201" s="17"/>
      <c r="L201" s="17"/>
      <c r="M201" s="17"/>
      <c r="P201" s="17"/>
      <c r="Q201" s="17"/>
      <c r="R201" s="43"/>
      <c r="S201" s="17"/>
      <c r="T201" s="17"/>
      <c r="U201" s="17"/>
      <c r="V201" s="43"/>
      <c r="W201" s="17"/>
      <c r="X201" s="17"/>
    </row>
    <row r="202" spans="1:26" x14ac:dyDescent="0.25">
      <c r="A202" s="9"/>
      <c r="B202" s="56" t="s">
        <v>314</v>
      </c>
      <c r="D202" s="17"/>
      <c r="E202" s="17"/>
      <c r="G202" s="17"/>
      <c r="H202" s="17"/>
      <c r="I202" s="17"/>
      <c r="J202" s="43"/>
      <c r="K202" s="17"/>
      <c r="L202" s="17"/>
      <c r="M202" s="17"/>
      <c r="P202" s="17"/>
      <c r="Q202" s="17"/>
      <c r="R202" s="43"/>
      <c r="S202" s="17"/>
      <c r="T202" s="17"/>
      <c r="U202" s="17"/>
      <c r="V202" s="43"/>
      <c r="W202" s="17"/>
      <c r="X202" s="17"/>
    </row>
    <row r="203" spans="1:26" x14ac:dyDescent="0.25">
      <c r="A203" s="9"/>
      <c r="B203" s="62"/>
      <c r="D203" s="17"/>
      <c r="E203" s="17"/>
      <c r="G203" s="17"/>
      <c r="H203" s="17"/>
      <c r="I203" s="17"/>
      <c r="J203" s="43"/>
      <c r="K203" s="17"/>
      <c r="L203" s="17"/>
      <c r="M203" s="17"/>
      <c r="P203" s="17"/>
      <c r="Q203" s="17"/>
      <c r="R203" s="43"/>
      <c r="S203" s="17"/>
      <c r="T203" s="17"/>
      <c r="U203" s="17"/>
      <c r="V203" s="43"/>
      <c r="W203" s="17"/>
      <c r="X203" s="17"/>
    </row>
    <row r="204" spans="1:26" x14ac:dyDescent="0.25">
      <c r="D204" s="17"/>
      <c r="E204" s="17"/>
      <c r="G204" s="17"/>
      <c r="H204" s="17"/>
      <c r="I204" s="17"/>
      <c r="J204" s="43"/>
      <c r="K204" s="17"/>
      <c r="L204" s="17"/>
      <c r="M204" s="17"/>
      <c r="P204" s="17"/>
      <c r="Q204" s="17"/>
      <c r="R204" s="43"/>
      <c r="S204" s="17"/>
      <c r="T204" s="17"/>
      <c r="U204" s="17"/>
      <c r="V204" s="43"/>
      <c r="W204" s="17"/>
      <c r="X204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227667.24999999994</v>
      </c>
      <c r="E12" s="4"/>
      <c r="F12" s="11"/>
      <c r="G12" s="4"/>
      <c r="H12" s="4">
        <f>SUM(OSRRefH13x_0)</f>
        <v>301991</v>
      </c>
      <c r="I12" s="4"/>
      <c r="J12" s="11"/>
      <c r="K12" s="4"/>
      <c r="L12" s="4">
        <f t="shared" ref="L12:L59" si="0">+D12-H12</f>
        <v>-74323.750000000058</v>
      </c>
      <c r="M12" s="4"/>
      <c r="N12" s="11">
        <f t="shared" ref="N12:N59" si="1">IF(H12=0,0,L12/H12)</f>
        <v>-0.24611246692782254</v>
      </c>
      <c r="O12" s="10"/>
      <c r="P12" s="4">
        <f>SUM(OSRRefP13x_0)</f>
        <v>227667.24999999994</v>
      </c>
      <c r="Q12" s="4"/>
      <c r="R12" s="11"/>
      <c r="S12" s="4"/>
      <c r="T12" s="4">
        <f>SUM(OSRRefT13x_0)</f>
        <v>301991</v>
      </c>
      <c r="U12" s="4"/>
      <c r="V12" s="11"/>
      <c r="W12" s="4"/>
      <c r="X12" s="4">
        <f t="shared" ref="X12:X59" si="2">+P12-T12</f>
        <v>-74323.750000000058</v>
      </c>
      <c r="Y12" s="4"/>
      <c r="Z12" s="11">
        <f t="shared" ref="Z12:Z59" si="3">IF(T12=0,0,X12/T12)</f>
        <v>-0.24611246692782254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-10723.46</f>
        <v>-10723.46</v>
      </c>
      <c r="E13" s="3"/>
      <c r="F13" s="23"/>
      <c r="G13" s="3"/>
      <c r="H13" s="3">
        <v>301491</v>
      </c>
      <c r="I13" s="3"/>
      <c r="J13" s="23"/>
      <c r="K13" s="3"/>
      <c r="L13" s="3">
        <f t="shared" si="0"/>
        <v>-312214.46000000002</v>
      </c>
      <c r="M13" s="3"/>
      <c r="N13" s="23">
        <f t="shared" si="1"/>
        <v>-1.0355680932432478</v>
      </c>
      <c r="O13" s="12"/>
      <c r="P13" s="3">
        <f>-10723.46</f>
        <v>-10723.46</v>
      </c>
      <c r="Q13" s="3"/>
      <c r="R13" s="23"/>
      <c r="S13" s="3"/>
      <c r="T13" s="3">
        <v>301491</v>
      </c>
      <c r="U13" s="3"/>
      <c r="V13" s="23"/>
      <c r="W13" s="3"/>
      <c r="X13" s="3">
        <f t="shared" si="2"/>
        <v>-312214.46000000002</v>
      </c>
      <c r="Y13" s="3"/>
      <c r="Z13" s="23">
        <f t="shared" si="3"/>
        <v>-1.0355680932432478</v>
      </c>
    </row>
    <row r="14" spans="1:26" s="24" customFormat="1" hidden="1" outlineLevel="1" x14ac:dyDescent="0.25">
      <c r="A14" s="51"/>
      <c r="B14" s="12" t="str">
        <f>CONCATENATE("          ", "4001", " - ", "TAXABLE SALES-NEW TEXT")</f>
        <v xml:space="preserve">          4001 - TAXABLE SALES-NEW TEXT</v>
      </c>
      <c r="C14" s="12"/>
      <c r="D14" s="3">
        <f>--11947.85</f>
        <v>11947.85</v>
      </c>
      <c r="E14" s="3"/>
      <c r="F14" s="23"/>
      <c r="G14" s="3"/>
      <c r="H14" s="3"/>
      <c r="I14" s="3"/>
      <c r="J14" s="23"/>
      <c r="K14" s="3"/>
      <c r="L14" s="3">
        <f t="shared" si="0"/>
        <v>11947.85</v>
      </c>
      <c r="M14" s="3"/>
      <c r="N14" s="23">
        <f t="shared" si="1"/>
        <v>0</v>
      </c>
      <c r="O14" s="12"/>
      <c r="P14" s="3">
        <f>--11947.85</f>
        <v>11947.85</v>
      </c>
      <c r="Q14" s="3"/>
      <c r="R14" s="23"/>
      <c r="S14" s="3"/>
      <c r="T14" s="3"/>
      <c r="U14" s="3"/>
      <c r="V14" s="23"/>
      <c r="W14" s="3"/>
      <c r="X14" s="3">
        <f t="shared" si="2"/>
        <v>11947.85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"4002", " - ", "TAXABLE SALES-USED TEXT")</f>
        <v xml:space="preserve">          4002 - TAXABLE SALES-USED TEXT</v>
      </c>
      <c r="C15" s="12"/>
      <c r="D15" s="3">
        <f>--13029.34</f>
        <v>13029.34</v>
      </c>
      <c r="E15" s="3"/>
      <c r="F15" s="23"/>
      <c r="G15" s="3"/>
      <c r="H15" s="3"/>
      <c r="I15" s="3"/>
      <c r="J15" s="23"/>
      <c r="K15" s="3"/>
      <c r="L15" s="3">
        <f t="shared" si="0"/>
        <v>13029.34</v>
      </c>
      <c r="M15" s="3"/>
      <c r="N15" s="23">
        <f t="shared" si="1"/>
        <v>0</v>
      </c>
      <c r="O15" s="12"/>
      <c r="P15" s="3">
        <f>--13029.34</f>
        <v>13029.34</v>
      </c>
      <c r="Q15" s="3"/>
      <c r="R15" s="23"/>
      <c r="S15" s="3"/>
      <c r="T15" s="3"/>
      <c r="U15" s="3"/>
      <c r="V15" s="23"/>
      <c r="W15" s="3"/>
      <c r="X15" s="3">
        <f t="shared" si="2"/>
        <v>13029.34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"4014", " - ", "TAXABLE SALES-REMAINDERS")</f>
        <v xml:space="preserve">          4014 - TAXABLE SALES-REMAINDERS</v>
      </c>
      <c r="C16" s="12"/>
      <c r="D16" s="3">
        <f>--31.84</f>
        <v>31.84</v>
      </c>
      <c r="E16" s="3"/>
      <c r="F16" s="23"/>
      <c r="G16" s="3"/>
      <c r="H16" s="3"/>
      <c r="I16" s="3"/>
      <c r="J16" s="23"/>
      <c r="K16" s="3"/>
      <c r="L16" s="3">
        <f t="shared" si="0"/>
        <v>31.84</v>
      </c>
      <c r="M16" s="3"/>
      <c r="N16" s="23">
        <f t="shared" si="1"/>
        <v>0</v>
      </c>
      <c r="O16" s="12"/>
      <c r="P16" s="3">
        <f>--31.84</f>
        <v>31.84</v>
      </c>
      <c r="Q16" s="3"/>
      <c r="R16" s="23"/>
      <c r="S16" s="3"/>
      <c r="T16" s="3"/>
      <c r="U16" s="3"/>
      <c r="V16" s="23"/>
      <c r="W16" s="3"/>
      <c r="X16" s="3">
        <f t="shared" si="2"/>
        <v>31.84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"4018", " - ", "TAXABLE SALES-STUDY GUIDES")</f>
        <v xml:space="preserve">          4018 - TAXABLE SALES-STUDY GUIDES</v>
      </c>
      <c r="C17" s="12"/>
      <c r="D17" s="3">
        <f>--16.99</f>
        <v>16.989999999999998</v>
      </c>
      <c r="E17" s="3"/>
      <c r="F17" s="23"/>
      <c r="G17" s="3"/>
      <c r="H17" s="3"/>
      <c r="I17" s="3"/>
      <c r="J17" s="23"/>
      <c r="K17" s="3"/>
      <c r="L17" s="3">
        <f t="shared" si="0"/>
        <v>16.989999999999998</v>
      </c>
      <c r="M17" s="3"/>
      <c r="N17" s="23">
        <f t="shared" si="1"/>
        <v>0</v>
      </c>
      <c r="O17" s="12"/>
      <c r="P17" s="3">
        <f>--16.99</f>
        <v>16.989999999999998</v>
      </c>
      <c r="Q17" s="3"/>
      <c r="R17" s="23"/>
      <c r="S17" s="3"/>
      <c r="T17" s="3"/>
      <c r="U17" s="3"/>
      <c r="V17" s="23"/>
      <c r="W17" s="3"/>
      <c r="X17" s="3">
        <f t="shared" si="2"/>
        <v>16.989999999999998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"4026", " - ", "TAXABLE SALES-WRITING INSTRUME")</f>
        <v xml:space="preserve">          4026 - TAXABLE SALES-WRITING INSTRUME</v>
      </c>
      <c r="C18" s="12"/>
      <c r="D18" s="3">
        <f>--236.56</f>
        <v>236.56</v>
      </c>
      <c r="E18" s="3"/>
      <c r="F18" s="23"/>
      <c r="G18" s="3"/>
      <c r="H18" s="3"/>
      <c r="I18" s="3"/>
      <c r="J18" s="23"/>
      <c r="K18" s="3"/>
      <c r="L18" s="3">
        <f t="shared" si="0"/>
        <v>236.56</v>
      </c>
      <c r="M18" s="3"/>
      <c r="N18" s="23">
        <f t="shared" si="1"/>
        <v>0</v>
      </c>
      <c r="O18" s="12"/>
      <c r="P18" s="3">
        <f>--236.56</f>
        <v>236.56</v>
      </c>
      <c r="Q18" s="3"/>
      <c r="R18" s="23"/>
      <c r="S18" s="3"/>
      <c r="T18" s="3"/>
      <c r="U18" s="3"/>
      <c r="V18" s="23"/>
      <c r="W18" s="3"/>
      <c r="X18" s="3">
        <f t="shared" si="2"/>
        <v>236.56</v>
      </c>
      <c r="Y18" s="3"/>
      <c r="Z18" s="23">
        <f t="shared" si="3"/>
        <v>0</v>
      </c>
    </row>
    <row r="19" spans="1:26" s="24" customFormat="1" hidden="1" outlineLevel="1" x14ac:dyDescent="0.25">
      <c r="A19" s="51"/>
      <c r="B19" s="12" t="str">
        <f>CONCATENATE("          ", "4027", " - ", "TAXABLE SALES-SCHOOL SUPPLIES")</f>
        <v xml:space="preserve">          4027 - TAXABLE SALES-SCHOOL SUPPLIES</v>
      </c>
      <c r="C19" s="12"/>
      <c r="D19" s="3">
        <f>--1653.17</f>
        <v>1653.17</v>
      </c>
      <c r="E19" s="3"/>
      <c r="F19" s="23"/>
      <c r="G19" s="3"/>
      <c r="H19" s="3"/>
      <c r="I19" s="3"/>
      <c r="J19" s="23"/>
      <c r="K19" s="3"/>
      <c r="L19" s="3">
        <f t="shared" si="0"/>
        <v>1653.17</v>
      </c>
      <c r="M19" s="3"/>
      <c r="N19" s="23">
        <f t="shared" si="1"/>
        <v>0</v>
      </c>
      <c r="O19" s="12"/>
      <c r="P19" s="3">
        <f>--1653.17</f>
        <v>1653.17</v>
      </c>
      <c r="Q19" s="3"/>
      <c r="R19" s="23"/>
      <c r="S19" s="3"/>
      <c r="T19" s="3"/>
      <c r="U19" s="3"/>
      <c r="V19" s="23"/>
      <c r="W19" s="3"/>
      <c r="X19" s="3">
        <f t="shared" si="2"/>
        <v>1653.17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"4028", " - ", "TAXABLE SALES-ART/TECH")</f>
        <v xml:space="preserve">          4028 - TAXABLE SALES-ART/TECH</v>
      </c>
      <c r="C20" s="12"/>
      <c r="D20" s="3">
        <f>--19.85</f>
        <v>19.850000000000001</v>
      </c>
      <c r="E20" s="3"/>
      <c r="F20" s="23"/>
      <c r="G20" s="3"/>
      <c r="H20" s="3"/>
      <c r="I20" s="3"/>
      <c r="J20" s="23"/>
      <c r="K20" s="3"/>
      <c r="L20" s="3">
        <f t="shared" si="0"/>
        <v>19.850000000000001</v>
      </c>
      <c r="M20" s="3"/>
      <c r="N20" s="23">
        <f t="shared" si="1"/>
        <v>0</v>
      </c>
      <c r="O20" s="12"/>
      <c r="P20" s="3">
        <f>--19.85</f>
        <v>19.850000000000001</v>
      </c>
      <c r="Q20" s="3"/>
      <c r="R20" s="23"/>
      <c r="S20" s="3"/>
      <c r="T20" s="3"/>
      <c r="U20" s="3"/>
      <c r="V20" s="23"/>
      <c r="W20" s="3"/>
      <c r="X20" s="3">
        <f t="shared" si="2"/>
        <v>19.850000000000001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"4031", " - ", "TAXABLE SALES-FOOD")</f>
        <v xml:space="preserve">          4031 - TAXABLE SALES-FOOD</v>
      </c>
      <c r="C21" s="12"/>
      <c r="D21" s="3">
        <f>--19.75</f>
        <v>19.75</v>
      </c>
      <c r="E21" s="3"/>
      <c r="F21" s="23"/>
      <c r="G21" s="3"/>
      <c r="H21" s="3"/>
      <c r="I21" s="3"/>
      <c r="J21" s="23"/>
      <c r="K21" s="3"/>
      <c r="L21" s="3">
        <f t="shared" si="0"/>
        <v>19.75</v>
      </c>
      <c r="M21" s="3"/>
      <c r="N21" s="23">
        <f t="shared" si="1"/>
        <v>0</v>
      </c>
      <c r="O21" s="12"/>
      <c r="P21" s="3">
        <f>--19.75</f>
        <v>19.75</v>
      </c>
      <c r="Q21" s="3"/>
      <c r="R21" s="23"/>
      <c r="S21" s="3"/>
      <c r="T21" s="3"/>
      <c r="U21" s="3"/>
      <c r="V21" s="23"/>
      <c r="W21" s="3"/>
      <c r="X21" s="3">
        <f t="shared" si="2"/>
        <v>19.75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"4034", " - ", "TAXABLE SALES-SODA")</f>
        <v xml:space="preserve">          4034 - TAXABLE SALES-SODA</v>
      </c>
      <c r="C22" s="12"/>
      <c r="D22" s="3">
        <f>--6.78</f>
        <v>6.78</v>
      </c>
      <c r="E22" s="3"/>
      <c r="F22" s="23"/>
      <c r="G22" s="3"/>
      <c r="H22" s="3"/>
      <c r="I22" s="3"/>
      <c r="J22" s="23"/>
      <c r="K22" s="3"/>
      <c r="L22" s="3">
        <f t="shared" si="0"/>
        <v>6.78</v>
      </c>
      <c r="M22" s="3"/>
      <c r="N22" s="23">
        <f t="shared" si="1"/>
        <v>0</v>
      </c>
      <c r="O22" s="12"/>
      <c r="P22" s="3">
        <f>--6.78</f>
        <v>6.78</v>
      </c>
      <c r="Q22" s="3"/>
      <c r="R22" s="23"/>
      <c r="S22" s="3"/>
      <c r="T22" s="3"/>
      <c r="U22" s="3"/>
      <c r="V22" s="23"/>
      <c r="W22" s="3"/>
      <c r="X22" s="3">
        <f t="shared" si="2"/>
        <v>6.78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"4040", " - ", "TAXABLE SALES-LOGO CLOTHING")</f>
        <v xml:space="preserve">          4040 - TAXABLE SALES-LOGO CLOTHING</v>
      </c>
      <c r="C23" s="12"/>
      <c r="D23" s="3">
        <f>--72292.26</f>
        <v>72292.259999999995</v>
      </c>
      <c r="E23" s="3"/>
      <c r="F23" s="23"/>
      <c r="G23" s="3"/>
      <c r="H23" s="3"/>
      <c r="I23" s="3"/>
      <c r="J23" s="23"/>
      <c r="K23" s="3"/>
      <c r="L23" s="3">
        <f t="shared" si="0"/>
        <v>72292.259999999995</v>
      </c>
      <c r="M23" s="3"/>
      <c r="N23" s="23">
        <f t="shared" si="1"/>
        <v>0</v>
      </c>
      <c r="O23" s="12"/>
      <c r="P23" s="3">
        <f>--72292.26</f>
        <v>72292.259999999995</v>
      </c>
      <c r="Q23" s="3"/>
      <c r="R23" s="23"/>
      <c r="S23" s="3"/>
      <c r="T23" s="3"/>
      <c r="U23" s="3"/>
      <c r="V23" s="23"/>
      <c r="W23" s="3"/>
      <c r="X23" s="3">
        <f t="shared" si="2"/>
        <v>72292.259999999995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"4041", " - ", "TAXABLE SALES-LOGO GIFTS")</f>
        <v xml:space="preserve">          4041 - TAXABLE SALES-LOGO GIFTS</v>
      </c>
      <c r="C24" s="12"/>
      <c r="D24" s="3">
        <f>--21188.91</f>
        <v>21188.91</v>
      </c>
      <c r="E24" s="3"/>
      <c r="F24" s="23"/>
      <c r="G24" s="3"/>
      <c r="H24" s="3"/>
      <c r="I24" s="3"/>
      <c r="J24" s="23"/>
      <c r="K24" s="3"/>
      <c r="L24" s="3">
        <f t="shared" si="0"/>
        <v>21188.91</v>
      </c>
      <c r="M24" s="3"/>
      <c r="N24" s="23">
        <f t="shared" si="1"/>
        <v>0</v>
      </c>
      <c r="O24" s="12"/>
      <c r="P24" s="3">
        <f>--21188.91</f>
        <v>21188.91</v>
      </c>
      <c r="Q24" s="3"/>
      <c r="R24" s="23"/>
      <c r="S24" s="3"/>
      <c r="T24" s="3"/>
      <c r="U24" s="3"/>
      <c r="V24" s="23"/>
      <c r="W24" s="3"/>
      <c r="X24" s="3">
        <f t="shared" si="2"/>
        <v>21188.91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"4042", " - ", "TAXABLE SALES-EVERYDAY GIFTS")</f>
        <v xml:space="preserve">          4042 - TAXABLE SALES-EVERYDAY GIFTS</v>
      </c>
      <c r="C25" s="12"/>
      <c r="D25" s="3">
        <f>--9503.9</f>
        <v>9503.9</v>
      </c>
      <c r="E25" s="3"/>
      <c r="F25" s="23"/>
      <c r="G25" s="3"/>
      <c r="H25" s="3"/>
      <c r="I25" s="3"/>
      <c r="J25" s="23"/>
      <c r="K25" s="3"/>
      <c r="L25" s="3">
        <f t="shared" si="0"/>
        <v>9503.9</v>
      </c>
      <c r="M25" s="3"/>
      <c r="N25" s="23">
        <f t="shared" si="1"/>
        <v>0</v>
      </c>
      <c r="O25" s="12"/>
      <c r="P25" s="3">
        <f>--9503.9</f>
        <v>9503.9</v>
      </c>
      <c r="Q25" s="3"/>
      <c r="R25" s="23"/>
      <c r="S25" s="3"/>
      <c r="T25" s="3"/>
      <c r="U25" s="3"/>
      <c r="V25" s="23"/>
      <c r="W25" s="3"/>
      <c r="X25" s="3">
        <f t="shared" si="2"/>
        <v>9503.9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"4043", " - ", "TAXABLE SALES-CARDS")</f>
        <v xml:space="preserve">          4043 - TAXABLE SALES-CARDS</v>
      </c>
      <c r="C26" s="12"/>
      <c r="D26" s="3">
        <f>--217.36</f>
        <v>217.36</v>
      </c>
      <c r="E26" s="3"/>
      <c r="F26" s="23"/>
      <c r="G26" s="3"/>
      <c r="H26" s="3"/>
      <c r="I26" s="3"/>
      <c r="J26" s="23"/>
      <c r="K26" s="3"/>
      <c r="L26" s="3">
        <f t="shared" si="0"/>
        <v>217.36</v>
      </c>
      <c r="M26" s="3"/>
      <c r="N26" s="23">
        <f t="shared" si="1"/>
        <v>0</v>
      </c>
      <c r="O26" s="12"/>
      <c r="P26" s="3">
        <f>--217.36</f>
        <v>217.36</v>
      </c>
      <c r="Q26" s="3"/>
      <c r="R26" s="23"/>
      <c r="S26" s="3"/>
      <c r="T26" s="3"/>
      <c r="U26" s="3"/>
      <c r="V26" s="23"/>
      <c r="W26" s="3"/>
      <c r="X26" s="3">
        <f t="shared" si="2"/>
        <v>217.36</v>
      </c>
      <c r="Y26" s="3"/>
      <c r="Z26" s="23">
        <f t="shared" si="3"/>
        <v>0</v>
      </c>
    </row>
    <row r="27" spans="1:26" s="24" customFormat="1" hidden="1" outlineLevel="1" x14ac:dyDescent="0.25">
      <c r="A27" s="51"/>
      <c r="B27" s="12" t="str">
        <f>CONCATENATE("          ", "4044", " - ", "TAXABLE SALES-ACCESSORIES")</f>
        <v xml:space="preserve">          4044 - TAXABLE SALES-ACCESSORIES</v>
      </c>
      <c r="C27" s="12"/>
      <c r="D27" s="3">
        <f>--1800.68</f>
        <v>1800.68</v>
      </c>
      <c r="E27" s="3"/>
      <c r="F27" s="23"/>
      <c r="G27" s="3"/>
      <c r="H27" s="3"/>
      <c r="I27" s="3"/>
      <c r="J27" s="23"/>
      <c r="K27" s="3"/>
      <c r="L27" s="3">
        <f t="shared" si="0"/>
        <v>1800.68</v>
      </c>
      <c r="M27" s="3"/>
      <c r="N27" s="23">
        <f t="shared" si="1"/>
        <v>0</v>
      </c>
      <c r="O27" s="12"/>
      <c r="P27" s="3">
        <f>--1800.68</f>
        <v>1800.68</v>
      </c>
      <c r="Q27" s="3"/>
      <c r="R27" s="23"/>
      <c r="S27" s="3"/>
      <c r="T27" s="3"/>
      <c r="U27" s="3"/>
      <c r="V27" s="23"/>
      <c r="W27" s="3"/>
      <c r="X27" s="3">
        <f t="shared" si="2"/>
        <v>1800.68</v>
      </c>
      <c r="Y27" s="3"/>
      <c r="Z27" s="23">
        <f t="shared" si="3"/>
        <v>0</v>
      </c>
    </row>
    <row r="28" spans="1:26" s="24" customFormat="1" hidden="1" outlineLevel="1" x14ac:dyDescent="0.25">
      <c r="A28" s="51"/>
      <c r="B28" s="12" t="str">
        <f>CONCATENATE("          ", "4045", " - ", "TAXABLE SALES-SPECIAL ORDERS")</f>
        <v xml:space="preserve">          4045 - TAXABLE SALES-SPECIAL ORDERS</v>
      </c>
      <c r="C28" s="12"/>
      <c r="D28" s="3">
        <f>--43426.73</f>
        <v>43426.73</v>
      </c>
      <c r="E28" s="3"/>
      <c r="F28" s="23"/>
      <c r="G28" s="3"/>
      <c r="H28" s="3"/>
      <c r="I28" s="3"/>
      <c r="J28" s="23"/>
      <c r="K28" s="3"/>
      <c r="L28" s="3">
        <f t="shared" si="0"/>
        <v>43426.73</v>
      </c>
      <c r="M28" s="3"/>
      <c r="N28" s="23">
        <f t="shared" si="1"/>
        <v>0</v>
      </c>
      <c r="O28" s="12"/>
      <c r="P28" s="3">
        <f>--43426.73</f>
        <v>43426.73</v>
      </c>
      <c r="Q28" s="3"/>
      <c r="R28" s="23"/>
      <c r="S28" s="3"/>
      <c r="T28" s="3"/>
      <c r="U28" s="3"/>
      <c r="V28" s="23"/>
      <c r="W28" s="3"/>
      <c r="X28" s="3">
        <f t="shared" si="2"/>
        <v>43426.73</v>
      </c>
      <c r="Y28" s="3"/>
      <c r="Z28" s="23">
        <f t="shared" si="3"/>
        <v>0</v>
      </c>
    </row>
    <row r="29" spans="1:26" s="24" customFormat="1" hidden="1" outlineLevel="1" x14ac:dyDescent="0.25">
      <c r="A29" s="51"/>
      <c r="B29" s="12" t="str">
        <f>CONCATENATE("          ", "4100", " - ", "NON-TAXABLE SALES")</f>
        <v xml:space="preserve">          4100 - NON-TAXABLE SALES</v>
      </c>
      <c r="C29" s="12"/>
      <c r="D29" s="3">
        <f>--3038.3</f>
        <v>3038.3</v>
      </c>
      <c r="E29" s="3"/>
      <c r="F29" s="23"/>
      <c r="G29" s="3"/>
      <c r="H29" s="3">
        <v>500</v>
      </c>
      <c r="I29" s="3"/>
      <c r="J29" s="23"/>
      <c r="K29" s="3"/>
      <c r="L29" s="3">
        <f t="shared" si="0"/>
        <v>2538.3000000000002</v>
      </c>
      <c r="M29" s="3"/>
      <c r="N29" s="23">
        <f t="shared" si="1"/>
        <v>5.0766</v>
      </c>
      <c r="O29" s="12"/>
      <c r="P29" s="3">
        <f>--3038.3</f>
        <v>3038.3</v>
      </c>
      <c r="Q29" s="3"/>
      <c r="R29" s="23"/>
      <c r="S29" s="3"/>
      <c r="T29" s="3">
        <v>500</v>
      </c>
      <c r="U29" s="3"/>
      <c r="V29" s="23"/>
      <c r="W29" s="3"/>
      <c r="X29" s="3">
        <f t="shared" si="2"/>
        <v>2538.3000000000002</v>
      </c>
      <c r="Y29" s="3"/>
      <c r="Z29" s="23">
        <f t="shared" si="3"/>
        <v>5.0766</v>
      </c>
    </row>
    <row r="30" spans="1:26" s="24" customFormat="1" hidden="1" outlineLevel="1" x14ac:dyDescent="0.25">
      <c r="A30" s="51"/>
      <c r="B30" s="12" t="str">
        <f>CONCATENATE("          ", "4101", " - ", "NON-TAXABLE SALES-NEW TEXT")</f>
        <v xml:space="preserve">          4101 - NON-TAXABLE SALES-NEW TEXT</v>
      </c>
      <c r="C30" s="12"/>
      <c r="D30" s="3">
        <f>--10341.86</f>
        <v>10341.86</v>
      </c>
      <c r="E30" s="3"/>
      <c r="F30" s="23"/>
      <c r="G30" s="3"/>
      <c r="H30" s="3"/>
      <c r="I30" s="3"/>
      <c r="J30" s="23"/>
      <c r="K30" s="3"/>
      <c r="L30" s="3">
        <f t="shared" si="0"/>
        <v>10341.86</v>
      </c>
      <c r="M30" s="3"/>
      <c r="N30" s="23">
        <f t="shared" si="1"/>
        <v>0</v>
      </c>
      <c r="O30" s="12"/>
      <c r="P30" s="3">
        <f>--10341.86</f>
        <v>10341.86</v>
      </c>
      <c r="Q30" s="3"/>
      <c r="R30" s="23"/>
      <c r="S30" s="3"/>
      <c r="T30" s="3"/>
      <c r="U30" s="3"/>
      <c r="V30" s="23"/>
      <c r="W30" s="3"/>
      <c r="X30" s="3">
        <f t="shared" si="2"/>
        <v>10341.86</v>
      </c>
      <c r="Y30" s="3"/>
      <c r="Z30" s="23">
        <f t="shared" si="3"/>
        <v>0</v>
      </c>
    </row>
    <row r="31" spans="1:26" s="24" customFormat="1" hidden="1" outlineLevel="1" x14ac:dyDescent="0.25">
      <c r="A31" s="51"/>
      <c r="B31" s="12" t="str">
        <f>CONCATENATE("          ", "4102", " - ", "NON-TAXABLE SALES-USED TEXT")</f>
        <v xml:space="preserve">          4102 - NON-TAXABLE SALES-USED TEXT</v>
      </c>
      <c r="C31" s="12"/>
      <c r="D31" s="3">
        <f>--4190.44</f>
        <v>4190.4399999999996</v>
      </c>
      <c r="E31" s="3"/>
      <c r="F31" s="23"/>
      <c r="G31" s="3"/>
      <c r="H31" s="3"/>
      <c r="I31" s="3"/>
      <c r="J31" s="23"/>
      <c r="K31" s="3"/>
      <c r="L31" s="3">
        <f t="shared" si="0"/>
        <v>4190.4399999999996</v>
      </c>
      <c r="M31" s="3"/>
      <c r="N31" s="23">
        <f t="shared" si="1"/>
        <v>0</v>
      </c>
      <c r="O31" s="12"/>
      <c r="P31" s="3">
        <f>--4190.44</f>
        <v>4190.4399999999996</v>
      </c>
      <c r="Q31" s="3"/>
      <c r="R31" s="23"/>
      <c r="S31" s="3"/>
      <c r="T31" s="3"/>
      <c r="U31" s="3"/>
      <c r="V31" s="23"/>
      <c r="W31" s="3"/>
      <c r="X31" s="3">
        <f t="shared" si="2"/>
        <v>4190.4399999999996</v>
      </c>
      <c r="Y31" s="3"/>
      <c r="Z31" s="23">
        <f t="shared" si="3"/>
        <v>0</v>
      </c>
    </row>
    <row r="32" spans="1:26" s="24" customFormat="1" hidden="1" outlineLevel="1" x14ac:dyDescent="0.25">
      <c r="A32" s="51"/>
      <c r="B32" s="12" t="str">
        <f>CONCATENATE("          ", "4104", " - ", "NON-TAXABLE SALES-DIGITAL TEXT")</f>
        <v xml:space="preserve">          4104 - NON-TAXABLE SALES-DIGITAL TEXT</v>
      </c>
      <c r="C32" s="12"/>
      <c r="D32" s="3">
        <f>--7485.52</f>
        <v>7485.52</v>
      </c>
      <c r="E32" s="3"/>
      <c r="F32" s="23"/>
      <c r="G32" s="3"/>
      <c r="H32" s="3"/>
      <c r="I32" s="3"/>
      <c r="J32" s="23"/>
      <c r="K32" s="3"/>
      <c r="L32" s="3">
        <f t="shared" si="0"/>
        <v>7485.52</v>
      </c>
      <c r="M32" s="3"/>
      <c r="N32" s="23">
        <f t="shared" si="1"/>
        <v>0</v>
      </c>
      <c r="O32" s="12"/>
      <c r="P32" s="3">
        <f>--7485.52</f>
        <v>7485.52</v>
      </c>
      <c r="Q32" s="3"/>
      <c r="R32" s="23"/>
      <c r="S32" s="3"/>
      <c r="T32" s="3"/>
      <c r="U32" s="3"/>
      <c r="V32" s="23"/>
      <c r="W32" s="3"/>
      <c r="X32" s="3">
        <f t="shared" si="2"/>
        <v>7485.52</v>
      </c>
      <c r="Y32" s="3"/>
      <c r="Z32" s="23">
        <f t="shared" si="3"/>
        <v>0</v>
      </c>
    </row>
    <row r="33" spans="1:26" s="24" customFormat="1" hidden="1" outlineLevel="1" x14ac:dyDescent="0.25">
      <c r="A33" s="51"/>
      <c r="B33" s="12" t="str">
        <f>CONCATENATE("          ", "4118", " - ", "NON-TAXABLE SALES-STUDY GUIDES")</f>
        <v xml:space="preserve">          4118 - NON-TAXABLE SALES-STUDY GUIDES</v>
      </c>
      <c r="C33" s="12"/>
      <c r="D33" s="3">
        <f>--53.96</f>
        <v>53.96</v>
      </c>
      <c r="E33" s="3"/>
      <c r="F33" s="23"/>
      <c r="G33" s="3"/>
      <c r="H33" s="3"/>
      <c r="I33" s="3"/>
      <c r="J33" s="23"/>
      <c r="K33" s="3"/>
      <c r="L33" s="3">
        <f t="shared" si="0"/>
        <v>53.96</v>
      </c>
      <c r="M33" s="3"/>
      <c r="N33" s="23">
        <f t="shared" si="1"/>
        <v>0</v>
      </c>
      <c r="O33" s="12"/>
      <c r="P33" s="3">
        <f>--53.96</f>
        <v>53.96</v>
      </c>
      <c r="Q33" s="3"/>
      <c r="R33" s="23"/>
      <c r="S33" s="3"/>
      <c r="T33" s="3"/>
      <c r="U33" s="3"/>
      <c r="V33" s="23"/>
      <c r="W33" s="3"/>
      <c r="X33" s="3">
        <f t="shared" si="2"/>
        <v>53.96</v>
      </c>
      <c r="Y33" s="3"/>
      <c r="Z33" s="23">
        <f t="shared" si="3"/>
        <v>0</v>
      </c>
    </row>
    <row r="34" spans="1:26" s="24" customFormat="1" hidden="1" outlineLevel="1" x14ac:dyDescent="0.25">
      <c r="A34" s="51"/>
      <c r="B34" s="12" t="str">
        <f>CONCATENATE("          ", "4126", " - ", "NON-TAXABLE SALES-WRITING INST")</f>
        <v xml:space="preserve">          4126 - NON-TAXABLE SALES-WRITING INST</v>
      </c>
      <c r="C34" s="12"/>
      <c r="D34" s="3">
        <f>--52.68</f>
        <v>52.68</v>
      </c>
      <c r="E34" s="3"/>
      <c r="F34" s="23"/>
      <c r="G34" s="3"/>
      <c r="H34" s="3"/>
      <c r="I34" s="3"/>
      <c r="J34" s="23"/>
      <c r="K34" s="3"/>
      <c r="L34" s="3">
        <f t="shared" si="0"/>
        <v>52.68</v>
      </c>
      <c r="M34" s="3"/>
      <c r="N34" s="23">
        <f t="shared" si="1"/>
        <v>0</v>
      </c>
      <c r="O34" s="12"/>
      <c r="P34" s="3">
        <f>--52.68</f>
        <v>52.68</v>
      </c>
      <c r="Q34" s="3"/>
      <c r="R34" s="23"/>
      <c r="S34" s="3"/>
      <c r="T34" s="3"/>
      <c r="U34" s="3"/>
      <c r="V34" s="23"/>
      <c r="W34" s="3"/>
      <c r="X34" s="3">
        <f t="shared" si="2"/>
        <v>52.68</v>
      </c>
      <c r="Y34" s="3"/>
      <c r="Z34" s="23">
        <f t="shared" si="3"/>
        <v>0</v>
      </c>
    </row>
    <row r="35" spans="1:26" s="24" customFormat="1" hidden="1" outlineLevel="1" x14ac:dyDescent="0.25">
      <c r="A35" s="51"/>
      <c r="B35" s="12" t="str">
        <f>CONCATENATE("          ", "4127", " - ", "NON-TAXABLE SALES-SCHOOL SUPPL")</f>
        <v xml:space="preserve">          4127 - NON-TAXABLE SALES-SCHOOL SUPPL</v>
      </c>
      <c r="C35" s="12"/>
      <c r="D35" s="3">
        <f>--72.25</f>
        <v>72.25</v>
      </c>
      <c r="E35" s="3"/>
      <c r="F35" s="23"/>
      <c r="G35" s="3"/>
      <c r="H35" s="3"/>
      <c r="I35" s="3"/>
      <c r="J35" s="23"/>
      <c r="K35" s="3"/>
      <c r="L35" s="3">
        <f t="shared" si="0"/>
        <v>72.25</v>
      </c>
      <c r="M35" s="3"/>
      <c r="N35" s="23">
        <f t="shared" si="1"/>
        <v>0</v>
      </c>
      <c r="O35" s="12"/>
      <c r="P35" s="3">
        <f>--72.25</f>
        <v>72.25</v>
      </c>
      <c r="Q35" s="3"/>
      <c r="R35" s="23"/>
      <c r="S35" s="3"/>
      <c r="T35" s="3"/>
      <c r="U35" s="3"/>
      <c r="V35" s="23"/>
      <c r="W35" s="3"/>
      <c r="X35" s="3">
        <f t="shared" si="2"/>
        <v>72.25</v>
      </c>
      <c r="Y35" s="3"/>
      <c r="Z35" s="23">
        <f t="shared" si="3"/>
        <v>0</v>
      </c>
    </row>
    <row r="36" spans="1:26" s="24" customFormat="1" hidden="1" outlineLevel="1" x14ac:dyDescent="0.25">
      <c r="A36" s="51"/>
      <c r="B36" s="12" t="str">
        <f>CONCATENATE("          ", "4131", " - ", "NON-TAXABLE SALES-FOOD")</f>
        <v xml:space="preserve">          4131 - NON-TAXABLE SALES-FOOD</v>
      </c>
      <c r="C36" s="12"/>
      <c r="D36" s="3">
        <f>--259.43</f>
        <v>259.43</v>
      </c>
      <c r="E36" s="3"/>
      <c r="F36" s="23"/>
      <c r="G36" s="3"/>
      <c r="H36" s="3"/>
      <c r="I36" s="3"/>
      <c r="J36" s="23"/>
      <c r="K36" s="3"/>
      <c r="L36" s="3">
        <f t="shared" si="0"/>
        <v>259.43</v>
      </c>
      <c r="M36" s="3"/>
      <c r="N36" s="23">
        <f t="shared" si="1"/>
        <v>0</v>
      </c>
      <c r="O36" s="12"/>
      <c r="P36" s="3">
        <f>--259.43</f>
        <v>259.43</v>
      </c>
      <c r="Q36" s="3"/>
      <c r="R36" s="23"/>
      <c r="S36" s="3"/>
      <c r="T36" s="3"/>
      <c r="U36" s="3"/>
      <c r="V36" s="23"/>
      <c r="W36" s="3"/>
      <c r="X36" s="3">
        <f t="shared" si="2"/>
        <v>259.43</v>
      </c>
      <c r="Y36" s="3"/>
      <c r="Z36" s="23">
        <f t="shared" si="3"/>
        <v>0</v>
      </c>
    </row>
    <row r="37" spans="1:26" s="24" customFormat="1" hidden="1" outlineLevel="1" x14ac:dyDescent="0.25">
      <c r="A37" s="51"/>
      <c r="B37" s="12" t="str">
        <f>CONCATENATE("          ", "4132", " - ", "NON-TAXABLE SALES-JUICE")</f>
        <v xml:space="preserve">          4132 - NON-TAXABLE SALES-JUICE</v>
      </c>
      <c r="C37" s="12"/>
      <c r="D37" s="3">
        <f>--22.49</f>
        <v>22.49</v>
      </c>
      <c r="E37" s="3"/>
      <c r="F37" s="23"/>
      <c r="G37" s="3"/>
      <c r="H37" s="3"/>
      <c r="I37" s="3"/>
      <c r="J37" s="23"/>
      <c r="K37" s="3"/>
      <c r="L37" s="3">
        <f t="shared" si="0"/>
        <v>22.49</v>
      </c>
      <c r="M37" s="3"/>
      <c r="N37" s="23">
        <f t="shared" si="1"/>
        <v>0</v>
      </c>
      <c r="O37" s="12"/>
      <c r="P37" s="3">
        <f>--22.49</f>
        <v>22.49</v>
      </c>
      <c r="Q37" s="3"/>
      <c r="R37" s="23"/>
      <c r="S37" s="3"/>
      <c r="T37" s="3"/>
      <c r="U37" s="3"/>
      <c r="V37" s="23"/>
      <c r="W37" s="3"/>
      <c r="X37" s="3">
        <f t="shared" si="2"/>
        <v>22.49</v>
      </c>
      <c r="Y37" s="3"/>
      <c r="Z37" s="23">
        <f t="shared" si="3"/>
        <v>0</v>
      </c>
    </row>
    <row r="38" spans="1:26" s="24" customFormat="1" hidden="1" outlineLevel="1" x14ac:dyDescent="0.25">
      <c r="A38" s="51"/>
      <c r="B38" s="12" t="str">
        <f>CONCATENATE("          ", "4133", " - ", "NON-TAXABLE SALES-CANDY")</f>
        <v xml:space="preserve">          4133 - NON-TAXABLE SALES-CANDY</v>
      </c>
      <c r="C38" s="12"/>
      <c r="D38" s="3">
        <f>--68.28</f>
        <v>68.28</v>
      </c>
      <c r="E38" s="3"/>
      <c r="F38" s="23"/>
      <c r="G38" s="3"/>
      <c r="H38" s="3"/>
      <c r="I38" s="3"/>
      <c r="J38" s="23"/>
      <c r="K38" s="3"/>
      <c r="L38" s="3">
        <f t="shared" si="0"/>
        <v>68.28</v>
      </c>
      <c r="M38" s="3"/>
      <c r="N38" s="23">
        <f t="shared" si="1"/>
        <v>0</v>
      </c>
      <c r="O38" s="12"/>
      <c r="P38" s="3">
        <f>--68.28</f>
        <v>68.28</v>
      </c>
      <c r="Q38" s="3"/>
      <c r="R38" s="23"/>
      <c r="S38" s="3"/>
      <c r="T38" s="3"/>
      <c r="U38" s="3"/>
      <c r="V38" s="23"/>
      <c r="W38" s="3"/>
      <c r="X38" s="3">
        <f t="shared" si="2"/>
        <v>68.28</v>
      </c>
      <c r="Y38" s="3"/>
      <c r="Z38" s="23">
        <f t="shared" si="3"/>
        <v>0</v>
      </c>
    </row>
    <row r="39" spans="1:26" s="24" customFormat="1" hidden="1" outlineLevel="1" x14ac:dyDescent="0.25">
      <c r="A39" s="51"/>
      <c r="B39" s="12" t="str">
        <f>CONCATENATE("          ", "4134", " - ", "NON-TAXABLE SALES-SODA")</f>
        <v xml:space="preserve">          4134 - NON-TAXABLE SALES-SODA</v>
      </c>
      <c r="C39" s="12"/>
      <c r="D39" s="3">
        <f>--45.53</f>
        <v>45.53</v>
      </c>
      <c r="E39" s="3"/>
      <c r="F39" s="23"/>
      <c r="G39" s="3"/>
      <c r="H39" s="3"/>
      <c r="I39" s="3"/>
      <c r="J39" s="23"/>
      <c r="K39" s="3"/>
      <c r="L39" s="3">
        <f t="shared" si="0"/>
        <v>45.53</v>
      </c>
      <c r="M39" s="3"/>
      <c r="N39" s="23">
        <f t="shared" si="1"/>
        <v>0</v>
      </c>
      <c r="O39" s="12"/>
      <c r="P39" s="3">
        <f>--45.53</f>
        <v>45.53</v>
      </c>
      <c r="Q39" s="3"/>
      <c r="R39" s="23"/>
      <c r="S39" s="3"/>
      <c r="T39" s="3"/>
      <c r="U39" s="3"/>
      <c r="V39" s="23"/>
      <c r="W39" s="3"/>
      <c r="X39" s="3">
        <f t="shared" si="2"/>
        <v>45.53</v>
      </c>
      <c r="Y39" s="3"/>
      <c r="Z39" s="23">
        <f t="shared" si="3"/>
        <v>0</v>
      </c>
    </row>
    <row r="40" spans="1:26" s="24" customFormat="1" hidden="1" outlineLevel="1" x14ac:dyDescent="0.25">
      <c r="A40" s="51"/>
      <c r="B40" s="12" t="str">
        <f>CONCATENATE("          ", "4137", " - ", "NON-TAXABLE SALES-WATER")</f>
        <v xml:space="preserve">          4137 - NON-TAXABLE SALES-WATER</v>
      </c>
      <c r="C40" s="12"/>
      <c r="D40" s="3">
        <f>--68.25</f>
        <v>68.25</v>
      </c>
      <c r="E40" s="3"/>
      <c r="F40" s="23"/>
      <c r="G40" s="3"/>
      <c r="H40" s="3"/>
      <c r="I40" s="3"/>
      <c r="J40" s="23"/>
      <c r="K40" s="3"/>
      <c r="L40" s="3">
        <f t="shared" si="0"/>
        <v>68.25</v>
      </c>
      <c r="M40" s="3"/>
      <c r="N40" s="23">
        <f t="shared" si="1"/>
        <v>0</v>
      </c>
      <c r="O40" s="12"/>
      <c r="P40" s="3">
        <f>--68.25</f>
        <v>68.25</v>
      </c>
      <c r="Q40" s="3"/>
      <c r="R40" s="23"/>
      <c r="S40" s="3"/>
      <c r="T40" s="3"/>
      <c r="U40" s="3"/>
      <c r="V40" s="23"/>
      <c r="W40" s="3"/>
      <c r="X40" s="3">
        <f t="shared" si="2"/>
        <v>68.25</v>
      </c>
      <c r="Y40" s="3"/>
      <c r="Z40" s="23">
        <f t="shared" si="3"/>
        <v>0</v>
      </c>
    </row>
    <row r="41" spans="1:26" s="24" customFormat="1" hidden="1" outlineLevel="1" x14ac:dyDescent="0.25">
      <c r="A41" s="51"/>
      <c r="B41" s="12" t="str">
        <f>CONCATENATE("          ", "4140", " - ", "NON-TAXABLE SALES-LOGO CLOTHIN")</f>
        <v xml:space="preserve">          4140 - NON-TAXABLE SALES-LOGO CLOTHIN</v>
      </c>
      <c r="C41" s="12"/>
      <c r="D41" s="3">
        <f>--6846.24</f>
        <v>6846.24</v>
      </c>
      <c r="E41" s="3"/>
      <c r="F41" s="23"/>
      <c r="G41" s="3"/>
      <c r="H41" s="3"/>
      <c r="I41" s="3"/>
      <c r="J41" s="23"/>
      <c r="K41" s="3"/>
      <c r="L41" s="3">
        <f t="shared" si="0"/>
        <v>6846.24</v>
      </c>
      <c r="M41" s="3"/>
      <c r="N41" s="23">
        <f t="shared" si="1"/>
        <v>0</v>
      </c>
      <c r="O41" s="12"/>
      <c r="P41" s="3">
        <f>--6846.24</f>
        <v>6846.24</v>
      </c>
      <c r="Q41" s="3"/>
      <c r="R41" s="23"/>
      <c r="S41" s="3"/>
      <c r="T41" s="3"/>
      <c r="U41" s="3"/>
      <c r="V41" s="23"/>
      <c r="W41" s="3"/>
      <c r="X41" s="3">
        <f t="shared" si="2"/>
        <v>6846.24</v>
      </c>
      <c r="Y41" s="3"/>
      <c r="Z41" s="23">
        <f t="shared" si="3"/>
        <v>0</v>
      </c>
    </row>
    <row r="42" spans="1:26" s="24" customFormat="1" hidden="1" outlineLevel="1" x14ac:dyDescent="0.25">
      <c r="A42" s="51"/>
      <c r="B42" s="12" t="str">
        <f>CONCATENATE("          ", "4141", " - ", "NON-TAXABLE SALES-LOGO GIFTS")</f>
        <v xml:space="preserve">          4141 - NON-TAXABLE SALES-LOGO GIFTS</v>
      </c>
      <c r="C42" s="12"/>
      <c r="D42" s="3">
        <f>--1200.19</f>
        <v>1200.19</v>
      </c>
      <c r="E42" s="3"/>
      <c r="F42" s="23"/>
      <c r="G42" s="3"/>
      <c r="H42" s="3"/>
      <c r="I42" s="3"/>
      <c r="J42" s="23"/>
      <c r="K42" s="3"/>
      <c r="L42" s="3">
        <f t="shared" si="0"/>
        <v>1200.19</v>
      </c>
      <c r="M42" s="3"/>
      <c r="N42" s="23">
        <f t="shared" si="1"/>
        <v>0</v>
      </c>
      <c r="O42" s="12"/>
      <c r="P42" s="3">
        <f>--1200.19</f>
        <v>1200.19</v>
      </c>
      <c r="Q42" s="3"/>
      <c r="R42" s="23"/>
      <c r="S42" s="3"/>
      <c r="T42" s="3"/>
      <c r="U42" s="3"/>
      <c r="V42" s="23"/>
      <c r="W42" s="3"/>
      <c r="X42" s="3">
        <f t="shared" si="2"/>
        <v>1200.19</v>
      </c>
      <c r="Y42" s="3"/>
      <c r="Z42" s="23">
        <f t="shared" si="3"/>
        <v>0</v>
      </c>
    </row>
    <row r="43" spans="1:26" s="24" customFormat="1" hidden="1" outlineLevel="1" x14ac:dyDescent="0.25">
      <c r="A43" s="51"/>
      <c r="B43" s="12" t="str">
        <f>CONCATENATE("          ", "4142", " - ", "NON-TAXABLE SALES-EVERYDAY GIF")</f>
        <v xml:space="preserve">          4142 - NON-TAXABLE SALES-EVERYDAY GIF</v>
      </c>
      <c r="C43" s="12"/>
      <c r="D43" s="3">
        <f>--640.17</f>
        <v>640.16999999999996</v>
      </c>
      <c r="E43" s="3"/>
      <c r="F43" s="23"/>
      <c r="G43" s="3"/>
      <c r="H43" s="3"/>
      <c r="I43" s="3"/>
      <c r="J43" s="23"/>
      <c r="K43" s="3"/>
      <c r="L43" s="3">
        <f t="shared" si="0"/>
        <v>640.16999999999996</v>
      </c>
      <c r="M43" s="3"/>
      <c r="N43" s="23">
        <f t="shared" si="1"/>
        <v>0</v>
      </c>
      <c r="O43" s="12"/>
      <c r="P43" s="3">
        <f>--640.17</f>
        <v>640.16999999999996</v>
      </c>
      <c r="Q43" s="3"/>
      <c r="R43" s="23"/>
      <c r="S43" s="3"/>
      <c r="T43" s="3"/>
      <c r="U43" s="3"/>
      <c r="V43" s="23"/>
      <c r="W43" s="3"/>
      <c r="X43" s="3">
        <f t="shared" si="2"/>
        <v>640.16999999999996</v>
      </c>
      <c r="Y43" s="3"/>
      <c r="Z43" s="23">
        <f t="shared" si="3"/>
        <v>0</v>
      </c>
    </row>
    <row r="44" spans="1:26" s="24" customFormat="1" hidden="1" outlineLevel="1" x14ac:dyDescent="0.25">
      <c r="A44" s="51"/>
      <c r="B44" s="12" t="str">
        <f>CONCATENATE("          ", "4144", " - ", "NON-TAXABLE SALES-ACCESSORIES")</f>
        <v xml:space="preserve">          4144 - NON-TAXABLE SALES-ACCESSORIES</v>
      </c>
      <c r="C44" s="12"/>
      <c r="D44" s="3">
        <f>--47.85</f>
        <v>47.85</v>
      </c>
      <c r="E44" s="3"/>
      <c r="F44" s="23"/>
      <c r="G44" s="3"/>
      <c r="H44" s="3"/>
      <c r="I44" s="3"/>
      <c r="J44" s="23"/>
      <c r="K44" s="3"/>
      <c r="L44" s="3">
        <f t="shared" si="0"/>
        <v>47.85</v>
      </c>
      <c r="M44" s="3"/>
      <c r="N44" s="23">
        <f t="shared" si="1"/>
        <v>0</v>
      </c>
      <c r="O44" s="12"/>
      <c r="P44" s="3">
        <f>--47.85</f>
        <v>47.85</v>
      </c>
      <c r="Q44" s="3"/>
      <c r="R44" s="23"/>
      <c r="S44" s="3"/>
      <c r="T44" s="3"/>
      <c r="U44" s="3"/>
      <c r="V44" s="23"/>
      <c r="W44" s="3"/>
      <c r="X44" s="3">
        <f t="shared" si="2"/>
        <v>47.85</v>
      </c>
      <c r="Y44" s="3"/>
      <c r="Z44" s="23">
        <f t="shared" si="3"/>
        <v>0</v>
      </c>
    </row>
    <row r="45" spans="1:26" s="24" customFormat="1" hidden="1" outlineLevel="1" x14ac:dyDescent="0.25">
      <c r="A45" s="51"/>
      <c r="B45" s="12" t="str">
        <f>CONCATENATE("          ", "4145", " - ", "NON-TAXABLE SALES-SPECIAL ORDE")</f>
        <v xml:space="preserve">          4145 - NON-TAXABLE SALES-SPECIAL ORDE</v>
      </c>
      <c r="C45" s="12"/>
      <c r="D45" s="3">
        <f>--35496</f>
        <v>35496</v>
      </c>
      <c r="E45" s="3"/>
      <c r="F45" s="23"/>
      <c r="G45" s="3"/>
      <c r="H45" s="3"/>
      <c r="I45" s="3"/>
      <c r="J45" s="23"/>
      <c r="K45" s="3"/>
      <c r="L45" s="3">
        <f t="shared" si="0"/>
        <v>35496</v>
      </c>
      <c r="M45" s="3"/>
      <c r="N45" s="23">
        <f t="shared" si="1"/>
        <v>0</v>
      </c>
      <c r="O45" s="12"/>
      <c r="P45" s="3">
        <f>--35496</f>
        <v>35496</v>
      </c>
      <c r="Q45" s="3"/>
      <c r="R45" s="23"/>
      <c r="S45" s="3"/>
      <c r="T45" s="3"/>
      <c r="U45" s="3"/>
      <c r="V45" s="23"/>
      <c r="W45" s="3"/>
      <c r="X45" s="3">
        <f t="shared" si="2"/>
        <v>35496</v>
      </c>
      <c r="Y45" s="3"/>
      <c r="Z45" s="23">
        <f t="shared" si="3"/>
        <v>0</v>
      </c>
    </row>
    <row r="46" spans="1:26" s="24" customFormat="1" hidden="1" outlineLevel="1" x14ac:dyDescent="0.25">
      <c r="A46" s="51"/>
      <c r="B46" s="12" t="str">
        <f>CONCATENATE("          ", "4147", " - ", "NON-TAXABLE SALES-MISC")</f>
        <v xml:space="preserve">          4147 - NON-TAXABLE SALES-MISC</v>
      </c>
      <c r="C46" s="12"/>
      <c r="D46" s="3">
        <f>--1</f>
        <v>1</v>
      </c>
      <c r="E46" s="3"/>
      <c r="F46" s="23"/>
      <c r="G46" s="3"/>
      <c r="H46" s="3"/>
      <c r="I46" s="3"/>
      <c r="J46" s="23"/>
      <c r="K46" s="3"/>
      <c r="L46" s="3">
        <f t="shared" si="0"/>
        <v>1</v>
      </c>
      <c r="M46" s="3"/>
      <c r="N46" s="23">
        <f t="shared" si="1"/>
        <v>0</v>
      </c>
      <c r="O46" s="12"/>
      <c r="P46" s="3">
        <f>--1</f>
        <v>1</v>
      </c>
      <c r="Q46" s="3"/>
      <c r="R46" s="23"/>
      <c r="S46" s="3"/>
      <c r="T46" s="3"/>
      <c r="U46" s="3"/>
      <c r="V46" s="23"/>
      <c r="W46" s="3"/>
      <c r="X46" s="3">
        <f t="shared" si="2"/>
        <v>1</v>
      </c>
      <c r="Y46" s="3"/>
      <c r="Z46" s="23">
        <f t="shared" si="3"/>
        <v>0</v>
      </c>
    </row>
    <row r="47" spans="1:26" s="24" customFormat="1" hidden="1" outlineLevel="1" x14ac:dyDescent="0.25">
      <c r="A47" s="51"/>
      <c r="B47" s="12" t="str">
        <f>CONCATENATE("          ", "4201", " - ", "SALES RETURN TAXABLE-NEW TEXT")</f>
        <v xml:space="preserve">          4201 - SALES RETURN TAXABLE-NEW TEXT</v>
      </c>
      <c r="C47" s="12"/>
      <c r="D47" s="3">
        <f>-633.4</f>
        <v>-633.4</v>
      </c>
      <c r="E47" s="3"/>
      <c r="F47" s="23"/>
      <c r="G47" s="3"/>
      <c r="H47" s="3"/>
      <c r="I47" s="3"/>
      <c r="J47" s="23"/>
      <c r="K47" s="3"/>
      <c r="L47" s="3">
        <f t="shared" si="0"/>
        <v>-633.4</v>
      </c>
      <c r="M47" s="3"/>
      <c r="N47" s="23">
        <f t="shared" si="1"/>
        <v>0</v>
      </c>
      <c r="O47" s="12"/>
      <c r="P47" s="3">
        <f>-633.4</f>
        <v>-633.4</v>
      </c>
      <c r="Q47" s="3"/>
      <c r="R47" s="23"/>
      <c r="S47" s="3"/>
      <c r="T47" s="3"/>
      <c r="U47" s="3"/>
      <c r="V47" s="23"/>
      <c r="W47" s="3"/>
      <c r="X47" s="3">
        <f t="shared" si="2"/>
        <v>-633.4</v>
      </c>
      <c r="Y47" s="3"/>
      <c r="Z47" s="23">
        <f t="shared" si="3"/>
        <v>0</v>
      </c>
    </row>
    <row r="48" spans="1:26" s="24" customFormat="1" hidden="1" outlineLevel="1" x14ac:dyDescent="0.25">
      <c r="A48" s="51"/>
      <c r="B48" s="12" t="str">
        <f>CONCATENATE("          ", "4202", " - ", "SALES RETURN TAXABLE-USED TEXT")</f>
        <v xml:space="preserve">          4202 - SALES RETURN TAXABLE-USED TEXT</v>
      </c>
      <c r="C48" s="12"/>
      <c r="D48" s="3">
        <f>-178.35</f>
        <v>-178.35</v>
      </c>
      <c r="E48" s="3"/>
      <c r="F48" s="23"/>
      <c r="G48" s="3"/>
      <c r="H48" s="3"/>
      <c r="I48" s="3"/>
      <c r="J48" s="23"/>
      <c r="K48" s="3"/>
      <c r="L48" s="3">
        <f t="shared" si="0"/>
        <v>-178.35</v>
      </c>
      <c r="M48" s="3"/>
      <c r="N48" s="23">
        <f t="shared" si="1"/>
        <v>0</v>
      </c>
      <c r="O48" s="12"/>
      <c r="P48" s="3">
        <f>-178.35</f>
        <v>-178.35</v>
      </c>
      <c r="Q48" s="3"/>
      <c r="R48" s="23"/>
      <c r="S48" s="3"/>
      <c r="T48" s="3"/>
      <c r="U48" s="3"/>
      <c r="V48" s="23"/>
      <c r="W48" s="3"/>
      <c r="X48" s="3">
        <f t="shared" si="2"/>
        <v>-178.35</v>
      </c>
      <c r="Y48" s="3"/>
      <c r="Z48" s="23">
        <f t="shared" si="3"/>
        <v>0</v>
      </c>
    </row>
    <row r="49" spans="1:26" s="24" customFormat="1" hidden="1" outlineLevel="1" x14ac:dyDescent="0.25">
      <c r="A49" s="51"/>
      <c r="B49" s="12" t="str">
        <f>CONCATENATE("          ", "4226", " - ", "SALES RETURN TAXABLE-WRITING I")</f>
        <v xml:space="preserve">          4226 - SALES RETURN TAXABLE-WRITING I</v>
      </c>
      <c r="C49" s="12"/>
      <c r="D49" s="3">
        <f>-6.38</f>
        <v>-6.38</v>
      </c>
      <c r="E49" s="3"/>
      <c r="F49" s="23"/>
      <c r="G49" s="3"/>
      <c r="H49" s="3"/>
      <c r="I49" s="3"/>
      <c r="J49" s="23"/>
      <c r="K49" s="3"/>
      <c r="L49" s="3">
        <f t="shared" si="0"/>
        <v>-6.38</v>
      </c>
      <c r="M49" s="3"/>
      <c r="N49" s="23">
        <f t="shared" si="1"/>
        <v>0</v>
      </c>
      <c r="O49" s="12"/>
      <c r="P49" s="3">
        <f>-6.38</f>
        <v>-6.38</v>
      </c>
      <c r="Q49" s="3"/>
      <c r="R49" s="23"/>
      <c r="S49" s="3"/>
      <c r="T49" s="3"/>
      <c r="U49" s="3"/>
      <c r="V49" s="23"/>
      <c r="W49" s="3"/>
      <c r="X49" s="3">
        <f t="shared" si="2"/>
        <v>-6.38</v>
      </c>
      <c r="Y49" s="3"/>
      <c r="Z49" s="23">
        <f t="shared" si="3"/>
        <v>0</v>
      </c>
    </row>
    <row r="50" spans="1:26" s="24" customFormat="1" hidden="1" outlineLevel="1" x14ac:dyDescent="0.25">
      <c r="A50" s="51"/>
      <c r="B50" s="12" t="str">
        <f>CONCATENATE("          ", "4227", " - ", "SALES RETURN TAXABLE-SCHOOL SU")</f>
        <v xml:space="preserve">          4227 - SALES RETURN TAXABLE-SCHOOL SU</v>
      </c>
      <c r="C50" s="12"/>
      <c r="D50" s="3">
        <f>-56.77</f>
        <v>-56.77</v>
      </c>
      <c r="E50" s="3"/>
      <c r="F50" s="23"/>
      <c r="G50" s="3"/>
      <c r="H50" s="3"/>
      <c r="I50" s="3"/>
      <c r="J50" s="23"/>
      <c r="K50" s="3"/>
      <c r="L50" s="3">
        <f t="shared" si="0"/>
        <v>-56.77</v>
      </c>
      <c r="M50" s="3"/>
      <c r="N50" s="23">
        <f t="shared" si="1"/>
        <v>0</v>
      </c>
      <c r="O50" s="12"/>
      <c r="P50" s="3">
        <f>-56.77</f>
        <v>-56.77</v>
      </c>
      <c r="Q50" s="3"/>
      <c r="R50" s="23"/>
      <c r="S50" s="3"/>
      <c r="T50" s="3"/>
      <c r="U50" s="3"/>
      <c r="V50" s="23"/>
      <c r="W50" s="3"/>
      <c r="X50" s="3">
        <f t="shared" si="2"/>
        <v>-56.77</v>
      </c>
      <c r="Y50" s="3"/>
      <c r="Z50" s="23">
        <f t="shared" si="3"/>
        <v>0</v>
      </c>
    </row>
    <row r="51" spans="1:26" s="24" customFormat="1" hidden="1" outlineLevel="1" x14ac:dyDescent="0.25">
      <c r="A51" s="51"/>
      <c r="B51" s="12" t="str">
        <f>CONCATENATE("          ", "4240", " - ", "SALES RETURN TAXABLE-LOGO CLOT")</f>
        <v xml:space="preserve">          4240 - SALES RETURN TAXABLE-LOGO CLOT</v>
      </c>
      <c r="C51" s="12"/>
      <c r="D51" s="3">
        <f>-3368.1</f>
        <v>-3368.1</v>
      </c>
      <c r="E51" s="3"/>
      <c r="F51" s="23"/>
      <c r="G51" s="3"/>
      <c r="H51" s="3"/>
      <c r="I51" s="3"/>
      <c r="J51" s="23"/>
      <c r="K51" s="3"/>
      <c r="L51" s="3">
        <f t="shared" si="0"/>
        <v>-3368.1</v>
      </c>
      <c r="M51" s="3"/>
      <c r="N51" s="23">
        <f t="shared" si="1"/>
        <v>0</v>
      </c>
      <c r="O51" s="12"/>
      <c r="P51" s="3">
        <f>-3368.1</f>
        <v>-3368.1</v>
      </c>
      <c r="Q51" s="3"/>
      <c r="R51" s="23"/>
      <c r="S51" s="3"/>
      <c r="T51" s="3"/>
      <c r="U51" s="3"/>
      <c r="V51" s="23"/>
      <c r="W51" s="3"/>
      <c r="X51" s="3">
        <f t="shared" si="2"/>
        <v>-3368.1</v>
      </c>
      <c r="Y51" s="3"/>
      <c r="Z51" s="23">
        <f t="shared" si="3"/>
        <v>0</v>
      </c>
    </row>
    <row r="52" spans="1:26" s="24" customFormat="1" hidden="1" outlineLevel="1" x14ac:dyDescent="0.25">
      <c r="A52" s="51"/>
      <c r="B52" s="12" t="str">
        <f>CONCATENATE("          ", "4241", " - ", "SALES RETURN TAXABLE-LOGO GIFT")</f>
        <v xml:space="preserve">          4241 - SALES RETURN TAXABLE-LOGO GIFT</v>
      </c>
      <c r="C52" s="12"/>
      <c r="D52" s="3">
        <f>-341.98</f>
        <v>-341.98</v>
      </c>
      <c r="E52" s="3"/>
      <c r="F52" s="23"/>
      <c r="G52" s="3"/>
      <c r="H52" s="3"/>
      <c r="I52" s="3"/>
      <c r="J52" s="23"/>
      <c r="K52" s="3"/>
      <c r="L52" s="3">
        <f t="shared" si="0"/>
        <v>-341.98</v>
      </c>
      <c r="M52" s="3"/>
      <c r="N52" s="23">
        <f t="shared" si="1"/>
        <v>0</v>
      </c>
      <c r="O52" s="12"/>
      <c r="P52" s="3">
        <f>-341.98</f>
        <v>-341.98</v>
      </c>
      <c r="Q52" s="3"/>
      <c r="R52" s="23"/>
      <c r="S52" s="3"/>
      <c r="T52" s="3"/>
      <c r="U52" s="3"/>
      <c r="V52" s="23"/>
      <c r="W52" s="3"/>
      <c r="X52" s="3">
        <f t="shared" si="2"/>
        <v>-341.98</v>
      </c>
      <c r="Y52" s="3"/>
      <c r="Z52" s="23">
        <f t="shared" si="3"/>
        <v>0</v>
      </c>
    </row>
    <row r="53" spans="1:26" s="24" customFormat="1" hidden="1" outlineLevel="1" x14ac:dyDescent="0.25">
      <c r="A53" s="51"/>
      <c r="B53" s="12" t="str">
        <f>CONCATENATE("          ", "4242", " - ", "SALES RETURN TAXABLE-EVERYDAY")</f>
        <v xml:space="preserve">          4242 - SALES RETURN TAXABLE-EVERYDAY</v>
      </c>
      <c r="C53" s="12"/>
      <c r="D53" s="3">
        <f>-178.96</f>
        <v>-178.96</v>
      </c>
      <c r="E53" s="3"/>
      <c r="F53" s="23"/>
      <c r="G53" s="3"/>
      <c r="H53" s="3"/>
      <c r="I53" s="3"/>
      <c r="J53" s="23"/>
      <c r="K53" s="3"/>
      <c r="L53" s="3">
        <f t="shared" si="0"/>
        <v>-178.96</v>
      </c>
      <c r="M53" s="3"/>
      <c r="N53" s="23">
        <f t="shared" si="1"/>
        <v>0</v>
      </c>
      <c r="O53" s="12"/>
      <c r="P53" s="3">
        <f>-178.96</f>
        <v>-178.96</v>
      </c>
      <c r="Q53" s="3"/>
      <c r="R53" s="23"/>
      <c r="S53" s="3"/>
      <c r="T53" s="3"/>
      <c r="U53" s="3"/>
      <c r="V53" s="23"/>
      <c r="W53" s="3"/>
      <c r="X53" s="3">
        <f t="shared" si="2"/>
        <v>-178.96</v>
      </c>
      <c r="Y53" s="3"/>
      <c r="Z53" s="23">
        <f t="shared" si="3"/>
        <v>0</v>
      </c>
    </row>
    <row r="54" spans="1:26" s="24" customFormat="1" hidden="1" outlineLevel="1" x14ac:dyDescent="0.25">
      <c r="A54" s="51"/>
      <c r="B54" s="12" t="str">
        <f>CONCATENATE("          ", "4245", " - ", "SALES RETURN TAXABLE-SPECIAL O")</f>
        <v xml:space="preserve">          4245 - SALES RETURN TAXABLE-SPECIAL O</v>
      </c>
      <c r="C54" s="12"/>
      <c r="D54" s="3">
        <f>-1121</f>
        <v>-1121</v>
      </c>
      <c r="E54" s="3"/>
      <c r="F54" s="23"/>
      <c r="G54" s="3"/>
      <c r="H54" s="3"/>
      <c r="I54" s="3"/>
      <c r="J54" s="23"/>
      <c r="K54" s="3"/>
      <c r="L54" s="3">
        <f t="shared" si="0"/>
        <v>-1121</v>
      </c>
      <c r="M54" s="3"/>
      <c r="N54" s="23">
        <f t="shared" si="1"/>
        <v>0</v>
      </c>
      <c r="O54" s="12"/>
      <c r="P54" s="3">
        <f>-1121</f>
        <v>-1121</v>
      </c>
      <c r="Q54" s="3"/>
      <c r="R54" s="23"/>
      <c r="S54" s="3"/>
      <c r="T54" s="3"/>
      <c r="U54" s="3"/>
      <c r="V54" s="23"/>
      <c r="W54" s="3"/>
      <c r="X54" s="3">
        <f t="shared" si="2"/>
        <v>-1121</v>
      </c>
      <c r="Y54" s="3"/>
      <c r="Z54" s="23">
        <f t="shared" si="3"/>
        <v>0</v>
      </c>
    </row>
    <row r="55" spans="1:26" s="24" customFormat="1" hidden="1" outlineLevel="1" x14ac:dyDescent="0.25">
      <c r="A55" s="51"/>
      <c r="B55" s="12" t="str">
        <f>CONCATENATE("          ", "4302", " - ", "SALES RETURN NON TAXABLE-TEXT")</f>
        <v xml:space="preserve">          4302 - SALES RETURN NON TAXABLE-TEXT</v>
      </c>
      <c r="C55" s="12"/>
      <c r="D55" s="3">
        <f>-63.67</f>
        <v>-63.67</v>
      </c>
      <c r="E55" s="3"/>
      <c r="F55" s="23"/>
      <c r="G55" s="3"/>
      <c r="H55" s="3"/>
      <c r="I55" s="3"/>
      <c r="J55" s="23"/>
      <c r="K55" s="3"/>
      <c r="L55" s="3">
        <f t="shared" si="0"/>
        <v>-63.67</v>
      </c>
      <c r="M55" s="3"/>
      <c r="N55" s="23">
        <f t="shared" si="1"/>
        <v>0</v>
      </c>
      <c r="O55" s="12"/>
      <c r="P55" s="3">
        <f>-63.67</f>
        <v>-63.67</v>
      </c>
      <c r="Q55" s="3"/>
      <c r="R55" s="23"/>
      <c r="S55" s="3"/>
      <c r="T55" s="3"/>
      <c r="U55" s="3"/>
      <c r="V55" s="23"/>
      <c r="W55" s="3"/>
      <c r="X55" s="3">
        <f t="shared" si="2"/>
        <v>-63.67</v>
      </c>
      <c r="Y55" s="3"/>
      <c r="Z55" s="23">
        <f t="shared" si="3"/>
        <v>0</v>
      </c>
    </row>
    <row r="56" spans="1:26" s="24" customFormat="1" hidden="1" outlineLevel="1" x14ac:dyDescent="0.25">
      <c r="A56" s="51"/>
      <c r="B56" s="12" t="str">
        <f>CONCATENATE("          ", "4304", " - ", "SALES RETURN NON TAXABLE-DIGIT")</f>
        <v xml:space="preserve">          4304 - SALES RETURN NON TAXABLE-DIGIT</v>
      </c>
      <c r="C56" s="12"/>
      <c r="D56" s="3">
        <f>-452.05</f>
        <v>-452.05</v>
      </c>
      <c r="E56" s="3"/>
      <c r="F56" s="23"/>
      <c r="G56" s="3"/>
      <c r="H56" s="3"/>
      <c r="I56" s="3"/>
      <c r="J56" s="23"/>
      <c r="K56" s="3"/>
      <c r="L56" s="3">
        <f t="shared" si="0"/>
        <v>-452.05</v>
      </c>
      <c r="M56" s="3"/>
      <c r="N56" s="23">
        <f t="shared" si="1"/>
        <v>0</v>
      </c>
      <c r="O56" s="12"/>
      <c r="P56" s="3">
        <f>-452.05</f>
        <v>-452.05</v>
      </c>
      <c r="Q56" s="3"/>
      <c r="R56" s="23"/>
      <c r="S56" s="3"/>
      <c r="T56" s="3"/>
      <c r="U56" s="3"/>
      <c r="V56" s="23"/>
      <c r="W56" s="3"/>
      <c r="X56" s="3">
        <f t="shared" si="2"/>
        <v>-452.05</v>
      </c>
      <c r="Y56" s="3"/>
      <c r="Z56" s="23">
        <f t="shared" si="3"/>
        <v>0</v>
      </c>
    </row>
    <row r="57" spans="1:26" s="24" customFormat="1" hidden="1" outlineLevel="1" x14ac:dyDescent="0.25">
      <c r="A57" s="51"/>
      <c r="B57" s="12" t="str">
        <f>CONCATENATE("          ", "4340", " - ", "SALES RETURN NON TAXABLE-LOGO")</f>
        <v xml:space="preserve">          4340 - SALES RETURN NON TAXABLE-LOGO</v>
      </c>
      <c r="C57" s="12"/>
      <c r="D57" s="3">
        <f>-434.24</f>
        <v>-434.24</v>
      </c>
      <c r="E57" s="3"/>
      <c r="F57" s="23"/>
      <c r="G57" s="3"/>
      <c r="H57" s="3"/>
      <c r="I57" s="3"/>
      <c r="J57" s="23"/>
      <c r="K57" s="3"/>
      <c r="L57" s="3">
        <f t="shared" si="0"/>
        <v>-434.24</v>
      </c>
      <c r="M57" s="3"/>
      <c r="N57" s="23">
        <f t="shared" si="1"/>
        <v>0</v>
      </c>
      <c r="O57" s="12"/>
      <c r="P57" s="3">
        <f>-434.24</f>
        <v>-434.24</v>
      </c>
      <c r="Q57" s="3"/>
      <c r="R57" s="23"/>
      <c r="S57" s="3"/>
      <c r="T57" s="3"/>
      <c r="U57" s="3"/>
      <c r="V57" s="23"/>
      <c r="W57" s="3"/>
      <c r="X57" s="3">
        <f t="shared" si="2"/>
        <v>-434.24</v>
      </c>
      <c r="Y57" s="3"/>
      <c r="Z57" s="23">
        <f t="shared" si="3"/>
        <v>0</v>
      </c>
    </row>
    <row r="58" spans="1:26" s="24" customFormat="1" hidden="1" outlineLevel="1" x14ac:dyDescent="0.25">
      <c r="A58" s="51"/>
      <c r="B58" s="12" t="str">
        <f>CONCATENATE("          ", "4341", " - ", "SALES RETURN NON TAXABLE-LOGO")</f>
        <v xml:space="preserve">          4341 - SALES RETURN NON TAXABLE-LOGO</v>
      </c>
      <c r="C58" s="12"/>
      <c r="D58" s="3">
        <f>-16.95</f>
        <v>-16.95</v>
      </c>
      <c r="E58" s="3"/>
      <c r="F58" s="23"/>
      <c r="G58" s="3"/>
      <c r="H58" s="3"/>
      <c r="I58" s="3"/>
      <c r="J58" s="23"/>
      <c r="K58" s="3"/>
      <c r="L58" s="3">
        <f t="shared" si="0"/>
        <v>-16.95</v>
      </c>
      <c r="M58" s="3"/>
      <c r="N58" s="23">
        <f t="shared" si="1"/>
        <v>0</v>
      </c>
      <c r="O58" s="12"/>
      <c r="P58" s="3">
        <f>-16.95</f>
        <v>-16.95</v>
      </c>
      <c r="Q58" s="3"/>
      <c r="R58" s="23"/>
      <c r="S58" s="3"/>
      <c r="T58" s="3"/>
      <c r="U58" s="3"/>
      <c r="V58" s="23"/>
      <c r="W58" s="3"/>
      <c r="X58" s="3">
        <f t="shared" si="2"/>
        <v>-16.95</v>
      </c>
      <c r="Y58" s="3"/>
      <c r="Z58" s="23">
        <f t="shared" si="3"/>
        <v>0</v>
      </c>
    </row>
    <row r="59" spans="1:26" s="24" customFormat="1" hidden="1" outlineLevel="1" x14ac:dyDescent="0.25">
      <c r="A59" s="51"/>
      <c r="B59" s="12" t="str">
        <f>CONCATENATE("          ", "4342", " - ", "SALES RETURN NON TAXABLE-EVERY")</f>
        <v xml:space="preserve">          4342 - SALES RETURN NON TAXABLE-EVERY</v>
      </c>
      <c r="C59" s="12"/>
      <c r="D59" s="3">
        <f>-79.85</f>
        <v>-79.849999999999994</v>
      </c>
      <c r="E59" s="3"/>
      <c r="F59" s="23"/>
      <c r="G59" s="3"/>
      <c r="H59" s="3"/>
      <c r="I59" s="3"/>
      <c r="J59" s="23"/>
      <c r="K59" s="3"/>
      <c r="L59" s="3">
        <f t="shared" si="0"/>
        <v>-79.849999999999994</v>
      </c>
      <c r="M59" s="3"/>
      <c r="N59" s="23">
        <f t="shared" si="1"/>
        <v>0</v>
      </c>
      <c r="O59" s="12"/>
      <c r="P59" s="3">
        <f>-79.85</f>
        <v>-79.849999999999994</v>
      </c>
      <c r="Q59" s="3"/>
      <c r="R59" s="23"/>
      <c r="S59" s="3"/>
      <c r="T59" s="3"/>
      <c r="U59" s="3"/>
      <c r="V59" s="23"/>
      <c r="W59" s="3"/>
      <c r="X59" s="3">
        <f t="shared" si="2"/>
        <v>-79.849999999999994</v>
      </c>
      <c r="Y59" s="3"/>
      <c r="Z59" s="23">
        <f t="shared" si="3"/>
        <v>0</v>
      </c>
    </row>
    <row r="60" spans="1:26" x14ac:dyDescent="0.25">
      <c r="A60" s="9"/>
      <c r="B60" s="10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2" customFormat="1" collapsed="1" x14ac:dyDescent="0.25">
      <c r="A61" s="10"/>
      <c r="B61" s="26" t="s">
        <v>8</v>
      </c>
      <c r="C61" s="10"/>
      <c r="D61" s="4">
        <f>SUM(OSRRefD16x_0)</f>
        <v>141395.27000000002</v>
      </c>
      <c r="E61" s="4"/>
      <c r="F61" s="11">
        <f t="shared" ref="F61:F83" si="4">IF(D$12=0,0,D61/D$12)</f>
        <v>0.62106108805724169</v>
      </c>
      <c r="G61" s="4"/>
      <c r="H61" s="4">
        <f>SUM(OSRRefH16x_0)</f>
        <v>155096</v>
      </c>
      <c r="I61" s="4"/>
      <c r="J61" s="11">
        <f t="shared" ref="J61:J83" si="5">IF(H$12=0,0,H61/H$12)</f>
        <v>0.51357821921845348</v>
      </c>
      <c r="K61" s="4"/>
      <c r="L61" s="4">
        <f t="shared" ref="L61:L83" si="6">+D61-H61</f>
        <v>-13700.729999999981</v>
      </c>
      <c r="M61" s="4"/>
      <c r="N61" s="11">
        <f t="shared" ref="N61:N83" si="7">IF(H61=0,0,L61/H61)</f>
        <v>-8.8337094444730882E-2</v>
      </c>
      <c r="O61" s="10"/>
      <c r="P61" s="4">
        <f>SUM(OSRRefP16x_0)</f>
        <v>141395.27000000002</v>
      </c>
      <c r="Q61" s="4"/>
      <c r="R61" s="11">
        <f t="shared" ref="R61:R83" si="8">IF(P$12=0,0,P61/P$12)</f>
        <v>0.62106108805724169</v>
      </c>
      <c r="S61" s="4"/>
      <c r="T61" s="4">
        <f>SUM(OSRRefT16x_0)</f>
        <v>155096</v>
      </c>
      <c r="U61" s="4"/>
      <c r="V61" s="11">
        <f t="shared" ref="V61:V83" si="9">IF(T$12=0,0,T61/T$12)</f>
        <v>0.51357821921845348</v>
      </c>
      <c r="W61" s="4"/>
      <c r="X61" s="4">
        <f t="shared" ref="X61:X83" si="10">+P61-T61</f>
        <v>-13700.729999999981</v>
      </c>
      <c r="Y61" s="4"/>
      <c r="Z61" s="11">
        <f t="shared" ref="Z61:Z83" si="11">IF(T61=0,0,X61/T61)</f>
        <v>-8.8337094444730882E-2</v>
      </c>
    </row>
    <row r="62" spans="1:26" s="24" customFormat="1" hidden="1" outlineLevel="1" x14ac:dyDescent="0.25">
      <c r="A62" s="51"/>
      <c r="B62" s="12" t="str">
        <f>CONCATENATE("          ", "5000", " - ", "PURCHASES @ COST")</f>
        <v xml:space="preserve">          5000 - PURCHASES @ COST</v>
      </c>
      <c r="C62" s="12"/>
      <c r="D62" s="3"/>
      <c r="E62" s="3"/>
      <c r="F62" s="23">
        <f t="shared" si="4"/>
        <v>0</v>
      </c>
      <c r="G62" s="3"/>
      <c r="H62" s="3">
        <v>155096</v>
      </c>
      <c r="I62" s="3"/>
      <c r="J62" s="23">
        <f t="shared" si="5"/>
        <v>0.51357821921845348</v>
      </c>
      <c r="K62" s="3"/>
      <c r="L62" s="3">
        <f t="shared" si="6"/>
        <v>-155096</v>
      </c>
      <c r="M62" s="3"/>
      <c r="N62" s="23">
        <f t="shared" si="7"/>
        <v>-1</v>
      </c>
      <c r="O62" s="12"/>
      <c r="P62" s="3"/>
      <c r="Q62" s="3"/>
      <c r="R62" s="23">
        <f t="shared" si="8"/>
        <v>0</v>
      </c>
      <c r="S62" s="3"/>
      <c r="T62" s="3">
        <v>155096</v>
      </c>
      <c r="U62" s="3"/>
      <c r="V62" s="23">
        <f t="shared" si="9"/>
        <v>0.51357821921845348</v>
      </c>
      <c r="W62" s="3"/>
      <c r="X62" s="3">
        <f t="shared" si="10"/>
        <v>-155096</v>
      </c>
      <c r="Y62" s="3"/>
      <c r="Z62" s="23">
        <f t="shared" si="11"/>
        <v>-1</v>
      </c>
    </row>
    <row r="63" spans="1:26" s="24" customFormat="1" hidden="1" outlineLevel="1" x14ac:dyDescent="0.25">
      <c r="A63" s="51"/>
      <c r="B63" s="12" t="str">
        <f>CONCATENATE("          ", "5001", " - ", "PURCHASES @ COST-NEW TEXT")</f>
        <v xml:space="preserve">          5001 - PURCHASES @ COST-NEW TEXT</v>
      </c>
      <c r="C63" s="12"/>
      <c r="D63" s="3">
        <v>153110.63</v>
      </c>
      <c r="E63" s="3"/>
      <c r="F63" s="23">
        <f t="shared" si="4"/>
        <v>0.67251934566785532</v>
      </c>
      <c r="G63" s="3"/>
      <c r="H63" s="3"/>
      <c r="I63" s="3"/>
      <c r="J63" s="23">
        <f t="shared" si="5"/>
        <v>0</v>
      </c>
      <c r="K63" s="3"/>
      <c r="L63" s="3">
        <f t="shared" si="6"/>
        <v>153110.63</v>
      </c>
      <c r="M63" s="3"/>
      <c r="N63" s="23">
        <f t="shared" si="7"/>
        <v>0</v>
      </c>
      <c r="O63" s="12"/>
      <c r="P63" s="3">
        <v>153110.63</v>
      </c>
      <c r="Q63" s="3"/>
      <c r="R63" s="23">
        <f t="shared" si="8"/>
        <v>0.67251934566785532</v>
      </c>
      <c r="S63" s="3"/>
      <c r="T63" s="3"/>
      <c r="U63" s="3"/>
      <c r="V63" s="23">
        <f t="shared" si="9"/>
        <v>0</v>
      </c>
      <c r="W63" s="3"/>
      <c r="X63" s="3">
        <f t="shared" si="10"/>
        <v>153110.63</v>
      </c>
      <c r="Y63" s="3"/>
      <c r="Z63" s="23">
        <f t="shared" si="11"/>
        <v>0</v>
      </c>
    </row>
    <row r="64" spans="1:26" s="24" customFormat="1" hidden="1" outlineLevel="1" x14ac:dyDescent="0.25">
      <c r="A64" s="51"/>
      <c r="B64" s="12" t="str">
        <f>CONCATENATE("          ", "5002", " - ", "PURCHASES @ COST-USED TEXT")</f>
        <v xml:space="preserve">          5002 - PURCHASES @ COST-USED TEXT</v>
      </c>
      <c r="C64" s="12"/>
      <c r="D64" s="3">
        <v>60324.850000000006</v>
      </c>
      <c r="E64" s="3"/>
      <c r="F64" s="23">
        <f t="shared" si="4"/>
        <v>0.26496937965385897</v>
      </c>
      <c r="G64" s="3"/>
      <c r="H64" s="3"/>
      <c r="I64" s="3"/>
      <c r="J64" s="23">
        <f t="shared" si="5"/>
        <v>0</v>
      </c>
      <c r="K64" s="3"/>
      <c r="L64" s="3">
        <f t="shared" si="6"/>
        <v>60324.850000000006</v>
      </c>
      <c r="M64" s="3"/>
      <c r="N64" s="23">
        <f t="shared" si="7"/>
        <v>0</v>
      </c>
      <c r="O64" s="12"/>
      <c r="P64" s="3">
        <v>60324.850000000006</v>
      </c>
      <c r="Q64" s="3"/>
      <c r="R64" s="23">
        <f t="shared" si="8"/>
        <v>0.26496937965385897</v>
      </c>
      <c r="S64" s="3"/>
      <c r="T64" s="3"/>
      <c r="U64" s="3"/>
      <c r="V64" s="23">
        <f t="shared" si="9"/>
        <v>0</v>
      </c>
      <c r="W64" s="3"/>
      <c r="X64" s="3">
        <f t="shared" si="10"/>
        <v>60324.850000000006</v>
      </c>
      <c r="Y64" s="3"/>
      <c r="Z64" s="23">
        <f t="shared" si="11"/>
        <v>0</v>
      </c>
    </row>
    <row r="65" spans="1:26" s="24" customFormat="1" hidden="1" outlineLevel="1" x14ac:dyDescent="0.25">
      <c r="A65" s="51"/>
      <c r="B65" s="12" t="str">
        <f>CONCATENATE("          ", "5003", " - ", "PURCHASES @ COST-RENTAL TEXT")</f>
        <v xml:space="preserve">          5003 - PURCHASES @ COST-RENTAL TEXT</v>
      </c>
      <c r="C65" s="12"/>
      <c r="D65" s="3">
        <v>-11926.64</v>
      </c>
      <c r="E65" s="3"/>
      <c r="F65" s="23">
        <f t="shared" si="4"/>
        <v>-5.2386278658876066E-2</v>
      </c>
      <c r="G65" s="3"/>
      <c r="H65" s="3"/>
      <c r="I65" s="3"/>
      <c r="J65" s="23">
        <f t="shared" si="5"/>
        <v>0</v>
      </c>
      <c r="K65" s="3"/>
      <c r="L65" s="3">
        <f t="shared" si="6"/>
        <v>-11926.64</v>
      </c>
      <c r="M65" s="3"/>
      <c r="N65" s="23">
        <f t="shared" si="7"/>
        <v>0</v>
      </c>
      <c r="O65" s="12"/>
      <c r="P65" s="3">
        <v>-11926.64</v>
      </c>
      <c r="Q65" s="3"/>
      <c r="R65" s="23">
        <f t="shared" si="8"/>
        <v>-5.2386278658876066E-2</v>
      </c>
      <c r="S65" s="3"/>
      <c r="T65" s="3"/>
      <c r="U65" s="3"/>
      <c r="V65" s="23">
        <f t="shared" si="9"/>
        <v>0</v>
      </c>
      <c r="W65" s="3"/>
      <c r="X65" s="3">
        <f t="shared" si="10"/>
        <v>-11926.64</v>
      </c>
      <c r="Y65" s="3"/>
      <c r="Z65" s="23">
        <f t="shared" si="11"/>
        <v>0</v>
      </c>
    </row>
    <row r="66" spans="1:26" s="24" customFormat="1" hidden="1" outlineLevel="1" x14ac:dyDescent="0.25">
      <c r="A66" s="51"/>
      <c r="B66" s="12" t="str">
        <f>CONCATENATE("          ", "5004", " - ", "PURCHASES @ COST-DIGITAL TEXT")</f>
        <v xml:space="preserve">          5004 - PURCHASES @ COST-DIGITAL TEXT</v>
      </c>
      <c r="C66" s="12"/>
      <c r="D66" s="3">
        <v>4925.4799999999996</v>
      </c>
      <c r="E66" s="3"/>
      <c r="F66" s="23">
        <f t="shared" si="4"/>
        <v>2.163455657324451E-2</v>
      </c>
      <c r="G66" s="3"/>
      <c r="H66" s="3"/>
      <c r="I66" s="3"/>
      <c r="J66" s="23">
        <f t="shared" si="5"/>
        <v>0</v>
      </c>
      <c r="K66" s="3"/>
      <c r="L66" s="3">
        <f t="shared" si="6"/>
        <v>4925.4799999999996</v>
      </c>
      <c r="M66" s="3"/>
      <c r="N66" s="23">
        <f t="shared" si="7"/>
        <v>0</v>
      </c>
      <c r="O66" s="12"/>
      <c r="P66" s="3">
        <v>4925.4799999999996</v>
      </c>
      <c r="Q66" s="3"/>
      <c r="R66" s="23">
        <f t="shared" si="8"/>
        <v>2.163455657324451E-2</v>
      </c>
      <c r="S66" s="3"/>
      <c r="T66" s="3"/>
      <c r="U66" s="3"/>
      <c r="V66" s="23">
        <f t="shared" si="9"/>
        <v>0</v>
      </c>
      <c r="W66" s="3"/>
      <c r="X66" s="3">
        <f t="shared" si="10"/>
        <v>4925.4799999999996</v>
      </c>
      <c r="Y66" s="3"/>
      <c r="Z66" s="23">
        <f t="shared" si="11"/>
        <v>0</v>
      </c>
    </row>
    <row r="67" spans="1:26" s="24" customFormat="1" hidden="1" outlineLevel="1" x14ac:dyDescent="0.25">
      <c r="A67" s="51"/>
      <c r="B67" s="12" t="str">
        <f>CONCATENATE("          ", "5013", " - ", "PURCHASES @ COST-TRADE BOOKS")</f>
        <v xml:space="preserve">          5013 - PURCHASES @ COST-TRADE BOOKS</v>
      </c>
      <c r="C67" s="12"/>
      <c r="D67" s="3">
        <v>108.54</v>
      </c>
      <c r="E67" s="3"/>
      <c r="F67" s="23">
        <f t="shared" si="4"/>
        <v>4.7674841243086142E-4</v>
      </c>
      <c r="G67" s="3"/>
      <c r="H67" s="3"/>
      <c r="I67" s="3"/>
      <c r="J67" s="23">
        <f t="shared" si="5"/>
        <v>0</v>
      </c>
      <c r="K67" s="3"/>
      <c r="L67" s="3">
        <f t="shared" si="6"/>
        <v>108.54</v>
      </c>
      <c r="M67" s="3"/>
      <c r="N67" s="23">
        <f t="shared" si="7"/>
        <v>0</v>
      </c>
      <c r="O67" s="12"/>
      <c r="P67" s="3">
        <v>108.54</v>
      </c>
      <c r="Q67" s="3"/>
      <c r="R67" s="23">
        <f t="shared" si="8"/>
        <v>4.7674841243086142E-4</v>
      </c>
      <c r="S67" s="3"/>
      <c r="T67" s="3"/>
      <c r="U67" s="3"/>
      <c r="V67" s="23">
        <f t="shared" si="9"/>
        <v>0</v>
      </c>
      <c r="W67" s="3"/>
      <c r="X67" s="3">
        <f t="shared" si="10"/>
        <v>108.54</v>
      </c>
      <c r="Y67" s="3"/>
      <c r="Z67" s="23">
        <f t="shared" si="11"/>
        <v>0</v>
      </c>
    </row>
    <row r="68" spans="1:26" s="24" customFormat="1" hidden="1" outlineLevel="1" x14ac:dyDescent="0.25">
      <c r="A68" s="51"/>
      <c r="B68" s="12" t="str">
        <f>CONCATENATE("          ", "5014", " - ", "PURCHASES @ COST-REMAINDERS")</f>
        <v xml:space="preserve">          5014 - PURCHASES @ COST-REMAINDERS</v>
      </c>
      <c r="C68" s="12"/>
      <c r="D68" s="3">
        <v>-12.51</v>
      </c>
      <c r="E68" s="3"/>
      <c r="F68" s="23">
        <f t="shared" si="4"/>
        <v>-5.494861469974273E-5</v>
      </c>
      <c r="G68" s="3"/>
      <c r="H68" s="3"/>
      <c r="I68" s="3"/>
      <c r="J68" s="23">
        <f t="shared" si="5"/>
        <v>0</v>
      </c>
      <c r="K68" s="3"/>
      <c r="L68" s="3">
        <f t="shared" si="6"/>
        <v>-12.51</v>
      </c>
      <c r="M68" s="3"/>
      <c r="N68" s="23">
        <f t="shared" si="7"/>
        <v>0</v>
      </c>
      <c r="O68" s="12"/>
      <c r="P68" s="3">
        <v>-12.51</v>
      </c>
      <c r="Q68" s="3"/>
      <c r="R68" s="23">
        <f t="shared" si="8"/>
        <v>-5.494861469974273E-5</v>
      </c>
      <c r="S68" s="3"/>
      <c r="T68" s="3"/>
      <c r="U68" s="3"/>
      <c r="V68" s="23">
        <f t="shared" si="9"/>
        <v>0</v>
      </c>
      <c r="W68" s="3"/>
      <c r="X68" s="3">
        <f t="shared" si="10"/>
        <v>-12.51</v>
      </c>
      <c r="Y68" s="3"/>
      <c r="Z68" s="23">
        <f t="shared" si="11"/>
        <v>0</v>
      </c>
    </row>
    <row r="69" spans="1:26" s="24" customFormat="1" hidden="1" outlineLevel="1" x14ac:dyDescent="0.25">
      <c r="A69" s="51"/>
      <c r="B69" s="12" t="str">
        <f>CONCATENATE("          ", "5027", " - ", "PURCHASES @ COST-SCHOOL SUPPLI")</f>
        <v xml:space="preserve">          5027 - PURCHASES @ COST-SCHOOL SUPPLI</v>
      </c>
      <c r="C69" s="12"/>
      <c r="D69" s="3">
        <v>8503.4</v>
      </c>
      <c r="E69" s="3"/>
      <c r="F69" s="23">
        <f t="shared" si="4"/>
        <v>3.7350123919887478E-2</v>
      </c>
      <c r="G69" s="3"/>
      <c r="H69" s="3"/>
      <c r="I69" s="3"/>
      <c r="J69" s="23">
        <f t="shared" si="5"/>
        <v>0</v>
      </c>
      <c r="K69" s="3"/>
      <c r="L69" s="3">
        <f t="shared" si="6"/>
        <v>8503.4</v>
      </c>
      <c r="M69" s="3"/>
      <c r="N69" s="23">
        <f t="shared" si="7"/>
        <v>0</v>
      </c>
      <c r="O69" s="12"/>
      <c r="P69" s="3">
        <v>8503.4</v>
      </c>
      <c r="Q69" s="3"/>
      <c r="R69" s="23">
        <f t="shared" si="8"/>
        <v>3.7350123919887478E-2</v>
      </c>
      <c r="S69" s="3"/>
      <c r="T69" s="3"/>
      <c r="U69" s="3"/>
      <c r="V69" s="23">
        <f t="shared" si="9"/>
        <v>0</v>
      </c>
      <c r="W69" s="3"/>
      <c r="X69" s="3">
        <f t="shared" si="10"/>
        <v>8503.4</v>
      </c>
      <c r="Y69" s="3"/>
      <c r="Z69" s="23">
        <f t="shared" si="11"/>
        <v>0</v>
      </c>
    </row>
    <row r="70" spans="1:26" s="24" customFormat="1" hidden="1" outlineLevel="1" x14ac:dyDescent="0.25">
      <c r="A70" s="51"/>
      <c r="B70" s="12" t="str">
        <f>CONCATENATE("          ", "5040", " - ", "PURCHASES @ COST-LOGO CLOTHING")</f>
        <v xml:space="preserve">          5040 - PURCHASES @ COST-LOGO CLOTHING</v>
      </c>
      <c r="C70" s="12"/>
      <c r="D70" s="3">
        <v>1723.07</v>
      </c>
      <c r="E70" s="3"/>
      <c r="F70" s="23">
        <f t="shared" si="4"/>
        <v>7.5683700664017353E-3</v>
      </c>
      <c r="G70" s="3"/>
      <c r="H70" s="3"/>
      <c r="I70" s="3"/>
      <c r="J70" s="23">
        <f t="shared" si="5"/>
        <v>0</v>
      </c>
      <c r="K70" s="3"/>
      <c r="L70" s="3">
        <f t="shared" si="6"/>
        <v>1723.07</v>
      </c>
      <c r="M70" s="3"/>
      <c r="N70" s="23">
        <f t="shared" si="7"/>
        <v>0</v>
      </c>
      <c r="O70" s="12"/>
      <c r="P70" s="3">
        <v>1723.07</v>
      </c>
      <c r="Q70" s="3"/>
      <c r="R70" s="23">
        <f t="shared" si="8"/>
        <v>7.5683700664017353E-3</v>
      </c>
      <c r="S70" s="3"/>
      <c r="T70" s="3"/>
      <c r="U70" s="3"/>
      <c r="V70" s="23">
        <f t="shared" si="9"/>
        <v>0</v>
      </c>
      <c r="W70" s="3"/>
      <c r="X70" s="3">
        <f t="shared" si="10"/>
        <v>1723.07</v>
      </c>
      <c r="Y70" s="3"/>
      <c r="Z70" s="23">
        <f t="shared" si="11"/>
        <v>0</v>
      </c>
    </row>
    <row r="71" spans="1:26" s="24" customFormat="1" hidden="1" outlineLevel="1" x14ac:dyDescent="0.25">
      <c r="A71" s="51"/>
      <c r="B71" s="12" t="str">
        <f>CONCATENATE("          ", "5041", " - ", "PURCHASES @ COST-LOGO GIFTS")</f>
        <v xml:space="preserve">          5041 - PURCHASES @ COST-LOGO GIFTS</v>
      </c>
      <c r="C71" s="12"/>
      <c r="D71" s="3">
        <v>-713.75</v>
      </c>
      <c r="E71" s="3"/>
      <c r="F71" s="23">
        <f t="shared" si="4"/>
        <v>-3.1350578530728516E-3</v>
      </c>
      <c r="G71" s="3"/>
      <c r="H71" s="3"/>
      <c r="I71" s="3"/>
      <c r="J71" s="23">
        <f t="shared" si="5"/>
        <v>0</v>
      </c>
      <c r="K71" s="3"/>
      <c r="L71" s="3">
        <f t="shared" si="6"/>
        <v>-713.75</v>
      </c>
      <c r="M71" s="3"/>
      <c r="N71" s="23">
        <f t="shared" si="7"/>
        <v>0</v>
      </c>
      <c r="O71" s="12"/>
      <c r="P71" s="3">
        <v>-713.75</v>
      </c>
      <c r="Q71" s="3"/>
      <c r="R71" s="23">
        <f t="shared" si="8"/>
        <v>-3.1350578530728516E-3</v>
      </c>
      <c r="S71" s="3"/>
      <c r="T71" s="3"/>
      <c r="U71" s="3"/>
      <c r="V71" s="23">
        <f t="shared" si="9"/>
        <v>0</v>
      </c>
      <c r="W71" s="3"/>
      <c r="X71" s="3">
        <f t="shared" si="10"/>
        <v>-713.75</v>
      </c>
      <c r="Y71" s="3"/>
      <c r="Z71" s="23">
        <f t="shared" si="11"/>
        <v>0</v>
      </c>
    </row>
    <row r="72" spans="1:26" s="24" customFormat="1" hidden="1" outlineLevel="1" x14ac:dyDescent="0.25">
      <c r="A72" s="51"/>
      <c r="B72" s="12" t="str">
        <f>CONCATENATE("          ", "5042", " - ", "PURCHASES @ COST-EVERYDAY GIFT")</f>
        <v xml:space="preserve">          5042 - PURCHASES @ COST-EVERYDAY GIFT</v>
      </c>
      <c r="C72" s="12"/>
      <c r="D72" s="3">
        <v>236.16</v>
      </c>
      <c r="E72" s="3"/>
      <c r="F72" s="23">
        <f t="shared" si="4"/>
        <v>1.0373033451232009E-3</v>
      </c>
      <c r="G72" s="3"/>
      <c r="H72" s="3"/>
      <c r="I72" s="3"/>
      <c r="J72" s="23">
        <f t="shared" si="5"/>
        <v>0</v>
      </c>
      <c r="K72" s="3"/>
      <c r="L72" s="3">
        <f t="shared" si="6"/>
        <v>236.16</v>
      </c>
      <c r="M72" s="3"/>
      <c r="N72" s="23">
        <f t="shared" si="7"/>
        <v>0</v>
      </c>
      <c r="O72" s="12"/>
      <c r="P72" s="3">
        <v>236.16</v>
      </c>
      <c r="Q72" s="3"/>
      <c r="R72" s="23">
        <f t="shared" si="8"/>
        <v>1.0373033451232009E-3</v>
      </c>
      <c r="S72" s="3"/>
      <c r="T72" s="3"/>
      <c r="U72" s="3"/>
      <c r="V72" s="23">
        <f t="shared" si="9"/>
        <v>0</v>
      </c>
      <c r="W72" s="3"/>
      <c r="X72" s="3">
        <f t="shared" si="10"/>
        <v>236.16</v>
      </c>
      <c r="Y72" s="3"/>
      <c r="Z72" s="23">
        <f t="shared" si="11"/>
        <v>0</v>
      </c>
    </row>
    <row r="73" spans="1:26" s="24" customFormat="1" hidden="1" outlineLevel="1" x14ac:dyDescent="0.25">
      <c r="A73" s="51"/>
      <c r="B73" s="12" t="str">
        <f>CONCATENATE("          ", "5043", " - ", "PURCHASES @ COST-CARDS")</f>
        <v xml:space="preserve">          5043 - PURCHASES @ COST-CARDS</v>
      </c>
      <c r="C73" s="12"/>
      <c r="D73" s="3">
        <v>308.7</v>
      </c>
      <c r="E73" s="3"/>
      <c r="F73" s="23">
        <f t="shared" si="4"/>
        <v>1.355926247626745E-3</v>
      </c>
      <c r="G73" s="3"/>
      <c r="H73" s="3"/>
      <c r="I73" s="3"/>
      <c r="J73" s="23">
        <f t="shared" si="5"/>
        <v>0</v>
      </c>
      <c r="K73" s="3"/>
      <c r="L73" s="3">
        <f t="shared" si="6"/>
        <v>308.7</v>
      </c>
      <c r="M73" s="3"/>
      <c r="N73" s="23">
        <f t="shared" si="7"/>
        <v>0</v>
      </c>
      <c r="O73" s="12"/>
      <c r="P73" s="3">
        <v>308.7</v>
      </c>
      <c r="Q73" s="3"/>
      <c r="R73" s="23">
        <f t="shared" si="8"/>
        <v>1.355926247626745E-3</v>
      </c>
      <c r="S73" s="3"/>
      <c r="T73" s="3"/>
      <c r="U73" s="3"/>
      <c r="V73" s="23">
        <f t="shared" si="9"/>
        <v>0</v>
      </c>
      <c r="W73" s="3"/>
      <c r="X73" s="3">
        <f t="shared" si="10"/>
        <v>308.7</v>
      </c>
      <c r="Y73" s="3"/>
      <c r="Z73" s="23">
        <f t="shared" si="11"/>
        <v>0</v>
      </c>
    </row>
    <row r="74" spans="1:26" s="24" customFormat="1" hidden="1" outlineLevel="1" x14ac:dyDescent="0.25">
      <c r="A74" s="51"/>
      <c r="B74" s="12" t="str">
        <f>CONCATENATE("          ", "5045", " - ", "PURCHASES @ COST-SPECIAL ORDER")</f>
        <v xml:space="preserve">          5045 - PURCHASES @ COST-SPECIAL ORDER</v>
      </c>
      <c r="C74" s="12"/>
      <c r="D74" s="3">
        <v>2756.21</v>
      </c>
      <c r="E74" s="3"/>
      <c r="F74" s="23">
        <f t="shared" si="4"/>
        <v>1.2106308658799194E-2</v>
      </c>
      <c r="G74" s="3"/>
      <c r="H74" s="3"/>
      <c r="I74" s="3"/>
      <c r="J74" s="23">
        <f t="shared" si="5"/>
        <v>0</v>
      </c>
      <c r="K74" s="3"/>
      <c r="L74" s="3">
        <f t="shared" si="6"/>
        <v>2756.21</v>
      </c>
      <c r="M74" s="3"/>
      <c r="N74" s="23">
        <f t="shared" si="7"/>
        <v>0</v>
      </c>
      <c r="O74" s="12"/>
      <c r="P74" s="3">
        <v>2756.21</v>
      </c>
      <c r="Q74" s="3"/>
      <c r="R74" s="23">
        <f t="shared" si="8"/>
        <v>1.2106308658799194E-2</v>
      </c>
      <c r="S74" s="3"/>
      <c r="T74" s="3"/>
      <c r="U74" s="3"/>
      <c r="V74" s="23">
        <f t="shared" si="9"/>
        <v>0</v>
      </c>
      <c r="W74" s="3"/>
      <c r="X74" s="3">
        <f t="shared" si="10"/>
        <v>2756.21</v>
      </c>
      <c r="Y74" s="3"/>
      <c r="Z74" s="23">
        <f t="shared" si="11"/>
        <v>0</v>
      </c>
    </row>
    <row r="75" spans="1:26" s="24" customFormat="1" hidden="1" outlineLevel="1" x14ac:dyDescent="0.25">
      <c r="A75" s="51"/>
      <c r="B75" s="12" t="str">
        <f>CONCATENATE("          ", "5200", " - ", "PURCHASES OFFSET")</f>
        <v xml:space="preserve">          5200 - PURCHASES OFFSET</v>
      </c>
      <c r="C75" s="12"/>
      <c r="D75" s="3">
        <v>-215765.28</v>
      </c>
      <c r="E75" s="3"/>
      <c r="F75" s="23">
        <f t="shared" si="4"/>
        <v>-0.94772208123917712</v>
      </c>
      <c r="G75" s="3"/>
      <c r="H75" s="3"/>
      <c r="I75" s="3"/>
      <c r="J75" s="23">
        <f t="shared" si="5"/>
        <v>0</v>
      </c>
      <c r="K75" s="3"/>
      <c r="L75" s="3">
        <f t="shared" si="6"/>
        <v>-215765.28</v>
      </c>
      <c r="M75" s="3"/>
      <c r="N75" s="23">
        <f t="shared" si="7"/>
        <v>0</v>
      </c>
      <c r="O75" s="12"/>
      <c r="P75" s="3">
        <v>-215765.28</v>
      </c>
      <c r="Q75" s="3"/>
      <c r="R75" s="23">
        <f t="shared" si="8"/>
        <v>-0.94772208123917712</v>
      </c>
      <c r="S75" s="3"/>
      <c r="T75" s="3"/>
      <c r="U75" s="3"/>
      <c r="V75" s="23">
        <f t="shared" si="9"/>
        <v>0</v>
      </c>
      <c r="W75" s="3"/>
      <c r="X75" s="3">
        <f t="shared" si="10"/>
        <v>-215765.28</v>
      </c>
      <c r="Y75" s="3"/>
      <c r="Z75" s="23">
        <f t="shared" si="11"/>
        <v>0</v>
      </c>
    </row>
    <row r="76" spans="1:26" s="24" customFormat="1" hidden="1" outlineLevel="1" x14ac:dyDescent="0.25">
      <c r="A76" s="51"/>
      <c r="B76" s="12" t="str">
        <f>CONCATENATE("          ", "5300", " - ", "COG$ OFFSET")</f>
        <v xml:space="preserve">          5300 - COG$ OFFSET</v>
      </c>
      <c r="C76" s="12"/>
      <c r="D76" s="3">
        <v>135628</v>
      </c>
      <c r="E76" s="3"/>
      <c r="F76" s="23">
        <f t="shared" si="4"/>
        <v>0.59572907390061602</v>
      </c>
      <c r="G76" s="3"/>
      <c r="H76" s="3"/>
      <c r="I76" s="3"/>
      <c r="J76" s="23">
        <f t="shared" si="5"/>
        <v>0</v>
      </c>
      <c r="K76" s="3"/>
      <c r="L76" s="3">
        <f t="shared" si="6"/>
        <v>135628</v>
      </c>
      <c r="M76" s="3"/>
      <c r="N76" s="23">
        <f t="shared" si="7"/>
        <v>0</v>
      </c>
      <c r="O76" s="12"/>
      <c r="P76" s="3">
        <v>135628</v>
      </c>
      <c r="Q76" s="3"/>
      <c r="R76" s="23">
        <f t="shared" si="8"/>
        <v>0.59572907390061602</v>
      </c>
      <c r="S76" s="3"/>
      <c r="T76" s="3"/>
      <c r="U76" s="3"/>
      <c r="V76" s="23">
        <f t="shared" si="9"/>
        <v>0</v>
      </c>
      <c r="W76" s="3"/>
      <c r="X76" s="3">
        <f t="shared" si="10"/>
        <v>135628</v>
      </c>
      <c r="Y76" s="3"/>
      <c r="Z76" s="23">
        <f t="shared" si="11"/>
        <v>0</v>
      </c>
    </row>
    <row r="77" spans="1:26" s="24" customFormat="1" hidden="1" outlineLevel="1" x14ac:dyDescent="0.25">
      <c r="A77" s="51"/>
      <c r="B77" s="12" t="str">
        <f>CONCATENATE("          ", "5501", " - ", "FREIGHT-IN-NEW TEXT")</f>
        <v xml:space="preserve">          5501 - FREIGHT-IN-NEW TEXT</v>
      </c>
      <c r="C77" s="12"/>
      <c r="D77" s="3">
        <v>802.72</v>
      </c>
      <c r="E77" s="3"/>
      <c r="F77" s="23">
        <f t="shared" si="4"/>
        <v>3.5258474813571134E-3</v>
      </c>
      <c r="G77" s="3"/>
      <c r="H77" s="3"/>
      <c r="I77" s="3"/>
      <c r="J77" s="23">
        <f t="shared" si="5"/>
        <v>0</v>
      </c>
      <c r="K77" s="3"/>
      <c r="L77" s="3">
        <f t="shared" si="6"/>
        <v>802.72</v>
      </c>
      <c r="M77" s="3"/>
      <c r="N77" s="23">
        <f t="shared" si="7"/>
        <v>0</v>
      </c>
      <c r="O77" s="12"/>
      <c r="P77" s="3">
        <v>802.72</v>
      </c>
      <c r="Q77" s="3"/>
      <c r="R77" s="23">
        <f t="shared" si="8"/>
        <v>3.5258474813571134E-3</v>
      </c>
      <c r="S77" s="3"/>
      <c r="T77" s="3"/>
      <c r="U77" s="3"/>
      <c r="V77" s="23">
        <f t="shared" si="9"/>
        <v>0</v>
      </c>
      <c r="W77" s="3"/>
      <c r="X77" s="3">
        <f t="shared" si="10"/>
        <v>802.72</v>
      </c>
      <c r="Y77" s="3"/>
      <c r="Z77" s="23">
        <f t="shared" si="11"/>
        <v>0</v>
      </c>
    </row>
    <row r="78" spans="1:26" s="24" customFormat="1" hidden="1" outlineLevel="1" x14ac:dyDescent="0.25">
      <c r="A78" s="51"/>
      <c r="B78" s="12" t="str">
        <f>CONCATENATE("          ", "5502", " - ", "FREIGHT-IN-USED TEXT")</f>
        <v xml:space="preserve">          5502 - FREIGHT-IN-USED TEXT</v>
      </c>
      <c r="C78" s="12"/>
      <c r="D78" s="3">
        <v>47.89</v>
      </c>
      <c r="E78" s="3"/>
      <c r="F78" s="23">
        <f t="shared" si="4"/>
        <v>2.1035085195608949E-4</v>
      </c>
      <c r="G78" s="3"/>
      <c r="H78" s="3"/>
      <c r="I78" s="3"/>
      <c r="J78" s="23">
        <f t="shared" si="5"/>
        <v>0</v>
      </c>
      <c r="K78" s="3"/>
      <c r="L78" s="3">
        <f t="shared" si="6"/>
        <v>47.89</v>
      </c>
      <c r="M78" s="3"/>
      <c r="N78" s="23">
        <f t="shared" si="7"/>
        <v>0</v>
      </c>
      <c r="O78" s="12"/>
      <c r="P78" s="3">
        <v>47.89</v>
      </c>
      <c r="Q78" s="3"/>
      <c r="R78" s="23">
        <f t="shared" si="8"/>
        <v>2.1035085195608949E-4</v>
      </c>
      <c r="S78" s="3"/>
      <c r="T78" s="3"/>
      <c r="U78" s="3"/>
      <c r="V78" s="23">
        <f t="shared" si="9"/>
        <v>0</v>
      </c>
      <c r="W78" s="3"/>
      <c r="X78" s="3">
        <f t="shared" si="10"/>
        <v>47.89</v>
      </c>
      <c r="Y78" s="3"/>
      <c r="Z78" s="23">
        <f t="shared" si="11"/>
        <v>0</v>
      </c>
    </row>
    <row r="79" spans="1:26" s="24" customFormat="1" hidden="1" outlineLevel="1" x14ac:dyDescent="0.25">
      <c r="A79" s="51"/>
      <c r="B79" s="12" t="str">
        <f>CONCATENATE("          ", "5528", " - ", "FREIGHT-IN-ART/TECH")</f>
        <v xml:space="preserve">          5528 - FREIGHT-IN-ART/TECH</v>
      </c>
      <c r="C79" s="12"/>
      <c r="D79" s="3">
        <v>38.049999999999997</v>
      </c>
      <c r="E79" s="3"/>
      <c r="F79" s="23">
        <f t="shared" si="4"/>
        <v>1.6712987924262277E-4</v>
      </c>
      <c r="G79" s="3"/>
      <c r="H79" s="3"/>
      <c r="I79" s="3"/>
      <c r="J79" s="23">
        <f t="shared" si="5"/>
        <v>0</v>
      </c>
      <c r="K79" s="3"/>
      <c r="L79" s="3">
        <f t="shared" si="6"/>
        <v>38.049999999999997</v>
      </c>
      <c r="M79" s="3"/>
      <c r="N79" s="23">
        <f t="shared" si="7"/>
        <v>0</v>
      </c>
      <c r="O79" s="12"/>
      <c r="P79" s="3">
        <v>38.049999999999997</v>
      </c>
      <c r="Q79" s="3"/>
      <c r="R79" s="23">
        <f t="shared" si="8"/>
        <v>1.6712987924262277E-4</v>
      </c>
      <c r="S79" s="3"/>
      <c r="T79" s="3"/>
      <c r="U79" s="3"/>
      <c r="V79" s="23">
        <f t="shared" si="9"/>
        <v>0</v>
      </c>
      <c r="W79" s="3"/>
      <c r="X79" s="3">
        <f t="shared" si="10"/>
        <v>38.049999999999997</v>
      </c>
      <c r="Y79" s="3"/>
      <c r="Z79" s="23">
        <f t="shared" si="11"/>
        <v>0</v>
      </c>
    </row>
    <row r="80" spans="1:26" s="24" customFormat="1" hidden="1" outlineLevel="1" x14ac:dyDescent="0.25">
      <c r="A80" s="51"/>
      <c r="B80" s="12" t="str">
        <f>CONCATENATE("          ", "5540", " - ", "FREIGHT-IN-LOGO CLOTHING")</f>
        <v xml:space="preserve">          5540 - FREIGHT-IN-LOGO CLOTHING</v>
      </c>
      <c r="C80" s="12"/>
      <c r="D80" s="3">
        <v>909.83</v>
      </c>
      <c r="E80" s="3"/>
      <c r="F80" s="23">
        <f t="shared" si="4"/>
        <v>3.9963147971436392E-3</v>
      </c>
      <c r="G80" s="3"/>
      <c r="H80" s="3"/>
      <c r="I80" s="3"/>
      <c r="J80" s="23">
        <f t="shared" si="5"/>
        <v>0</v>
      </c>
      <c r="K80" s="3"/>
      <c r="L80" s="3">
        <f t="shared" si="6"/>
        <v>909.83</v>
      </c>
      <c r="M80" s="3"/>
      <c r="N80" s="23">
        <f t="shared" si="7"/>
        <v>0</v>
      </c>
      <c r="O80" s="12"/>
      <c r="P80" s="3">
        <v>909.83</v>
      </c>
      <c r="Q80" s="3"/>
      <c r="R80" s="23">
        <f t="shared" si="8"/>
        <v>3.9963147971436392E-3</v>
      </c>
      <c r="S80" s="3"/>
      <c r="T80" s="3"/>
      <c r="U80" s="3"/>
      <c r="V80" s="23">
        <f t="shared" si="9"/>
        <v>0</v>
      </c>
      <c r="W80" s="3"/>
      <c r="X80" s="3">
        <f t="shared" si="10"/>
        <v>909.83</v>
      </c>
      <c r="Y80" s="3"/>
      <c r="Z80" s="23">
        <f t="shared" si="11"/>
        <v>0</v>
      </c>
    </row>
    <row r="81" spans="1:26" s="24" customFormat="1" hidden="1" outlineLevel="1" x14ac:dyDescent="0.25">
      <c r="A81" s="51"/>
      <c r="B81" s="12" t="str">
        <f>CONCATENATE("          ", "5541", " - ", "FREIGHT-IN-LOGO GIFTS")</f>
        <v xml:space="preserve">          5541 - FREIGHT-IN-LOGO GIFTS</v>
      </c>
      <c r="C81" s="12"/>
      <c r="D81" s="3">
        <v>83.58</v>
      </c>
      <c r="E81" s="3"/>
      <c r="F81" s="23">
        <f t="shared" si="4"/>
        <v>3.6711472554792148E-4</v>
      </c>
      <c r="G81" s="3"/>
      <c r="H81" s="3"/>
      <c r="I81" s="3"/>
      <c r="J81" s="23">
        <f t="shared" si="5"/>
        <v>0</v>
      </c>
      <c r="K81" s="3"/>
      <c r="L81" s="3">
        <f t="shared" si="6"/>
        <v>83.58</v>
      </c>
      <c r="M81" s="3"/>
      <c r="N81" s="23">
        <f t="shared" si="7"/>
        <v>0</v>
      </c>
      <c r="O81" s="12"/>
      <c r="P81" s="3">
        <v>83.58</v>
      </c>
      <c r="Q81" s="3"/>
      <c r="R81" s="23">
        <f t="shared" si="8"/>
        <v>3.6711472554792148E-4</v>
      </c>
      <c r="S81" s="3"/>
      <c r="T81" s="3"/>
      <c r="U81" s="3"/>
      <c r="V81" s="23">
        <f t="shared" si="9"/>
        <v>0</v>
      </c>
      <c r="W81" s="3"/>
      <c r="X81" s="3">
        <f t="shared" si="10"/>
        <v>83.58</v>
      </c>
      <c r="Y81" s="3"/>
      <c r="Z81" s="23">
        <f t="shared" si="11"/>
        <v>0</v>
      </c>
    </row>
    <row r="82" spans="1:26" s="24" customFormat="1" hidden="1" outlineLevel="1" x14ac:dyDescent="0.25">
      <c r="A82" s="51"/>
      <c r="B82" s="12" t="str">
        <f>CONCATENATE("          ", "5542", " - ", "FREIGHT-IN-EVERYDAY GIFTS")</f>
        <v xml:space="preserve">          5542 - FREIGHT-IN-EVERYDAY GIFTS</v>
      </c>
      <c r="C82" s="12"/>
      <c r="D82" s="3">
        <v>5.94</v>
      </c>
      <c r="E82" s="3"/>
      <c r="F82" s="23">
        <f t="shared" si="4"/>
        <v>2.6090709138007341E-5</v>
      </c>
      <c r="G82" s="3"/>
      <c r="H82" s="3"/>
      <c r="I82" s="3"/>
      <c r="J82" s="23">
        <f t="shared" si="5"/>
        <v>0</v>
      </c>
      <c r="K82" s="3"/>
      <c r="L82" s="3">
        <f t="shared" si="6"/>
        <v>5.94</v>
      </c>
      <c r="M82" s="3"/>
      <c r="N82" s="23">
        <f t="shared" si="7"/>
        <v>0</v>
      </c>
      <c r="O82" s="12"/>
      <c r="P82" s="3">
        <v>5.94</v>
      </c>
      <c r="Q82" s="3"/>
      <c r="R82" s="23">
        <f t="shared" si="8"/>
        <v>2.6090709138007341E-5</v>
      </c>
      <c r="S82" s="3"/>
      <c r="T82" s="3"/>
      <c r="U82" s="3"/>
      <c r="V82" s="23">
        <f t="shared" si="9"/>
        <v>0</v>
      </c>
      <c r="W82" s="3"/>
      <c r="X82" s="3">
        <f t="shared" si="10"/>
        <v>5.94</v>
      </c>
      <c r="Y82" s="3"/>
      <c r="Z82" s="23">
        <f t="shared" si="11"/>
        <v>0</v>
      </c>
    </row>
    <row r="83" spans="1:26" s="24" customFormat="1" hidden="1" outlineLevel="1" x14ac:dyDescent="0.25">
      <c r="A83" s="51"/>
      <c r="B83" s="12" t="str">
        <f>CONCATENATE("          ", "5545", " - ", "FREIGHT-IN-SPECIAL ORDERS")</f>
        <v xml:space="preserve">          5545 - FREIGHT-IN-SPECIAL ORDERS</v>
      </c>
      <c r="C83" s="12"/>
      <c r="D83" s="3">
        <v>300.39999999999998</v>
      </c>
      <c r="E83" s="3"/>
      <c r="F83" s="23">
        <f t="shared" si="4"/>
        <v>1.3194695328379469E-3</v>
      </c>
      <c r="G83" s="3"/>
      <c r="H83" s="3"/>
      <c r="I83" s="3"/>
      <c r="J83" s="23">
        <f t="shared" si="5"/>
        <v>0</v>
      </c>
      <c r="K83" s="3"/>
      <c r="L83" s="3">
        <f t="shared" si="6"/>
        <v>300.39999999999998</v>
      </c>
      <c r="M83" s="3"/>
      <c r="N83" s="23">
        <f t="shared" si="7"/>
        <v>0</v>
      </c>
      <c r="O83" s="12"/>
      <c r="P83" s="3">
        <v>300.39999999999998</v>
      </c>
      <c r="Q83" s="3"/>
      <c r="R83" s="23">
        <f t="shared" si="8"/>
        <v>1.3194695328379469E-3</v>
      </c>
      <c r="S83" s="3"/>
      <c r="T83" s="3"/>
      <c r="U83" s="3"/>
      <c r="V83" s="23">
        <f t="shared" si="9"/>
        <v>0</v>
      </c>
      <c r="W83" s="3"/>
      <c r="X83" s="3">
        <f t="shared" si="10"/>
        <v>300.39999999999998</v>
      </c>
      <c r="Y83" s="3"/>
      <c r="Z83" s="23">
        <f t="shared" si="11"/>
        <v>0</v>
      </c>
    </row>
    <row r="84" spans="1:26" x14ac:dyDescent="0.25">
      <c r="A84" s="9"/>
      <c r="B84" s="10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10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2" customFormat="1" x14ac:dyDescent="0.25">
      <c r="A85" s="10"/>
      <c r="B85" s="25" t="s">
        <v>6</v>
      </c>
      <c r="C85" s="25"/>
      <c r="D85" s="21">
        <f>D12-D61</f>
        <v>86271.979999999923</v>
      </c>
      <c r="E85" s="13"/>
      <c r="F85" s="20">
        <f>IF(D$12=0,0,D85/D$12)</f>
        <v>0.37893891194275831</v>
      </c>
      <c r="G85" s="13"/>
      <c r="H85" s="21">
        <f>H12-H61</f>
        <v>146895</v>
      </c>
      <c r="I85" s="13"/>
      <c r="J85" s="20">
        <f>IF(H$12=0,0,H85/H$12)</f>
        <v>0.48642178078154646</v>
      </c>
      <c r="K85" s="15"/>
      <c r="L85" s="21">
        <f>+D85-H85</f>
        <v>-60623.020000000077</v>
      </c>
      <c r="M85" s="15"/>
      <c r="N85" s="20">
        <f>IF(H85=0,0,L85/H85)</f>
        <v>-0.41269627965553679</v>
      </c>
      <c r="O85" s="26"/>
      <c r="P85" s="21">
        <f>P12-P61</f>
        <v>86271.979999999923</v>
      </c>
      <c r="Q85" s="13"/>
      <c r="R85" s="20">
        <f>IF(P$12=0,0,P85/P$12)</f>
        <v>0.37893891194275831</v>
      </c>
      <c r="S85" s="13"/>
      <c r="T85" s="21">
        <f>T12-T61</f>
        <v>146895</v>
      </c>
      <c r="U85" s="13"/>
      <c r="V85" s="20">
        <f>IF(T$12=0,0,T85/T$12)</f>
        <v>0.48642178078154646</v>
      </c>
      <c r="W85" s="15"/>
      <c r="X85" s="21">
        <f>+P85-T85</f>
        <v>-60623.020000000077</v>
      </c>
      <c r="Y85" s="15"/>
      <c r="Z85" s="20">
        <f>IF(T85=0,0,X85/T85)</f>
        <v>-0.41269627965553679</v>
      </c>
    </row>
    <row r="86" spans="1:26" x14ac:dyDescent="0.25">
      <c r="A86" s="9"/>
      <c r="B86" s="10"/>
      <c r="C86" s="9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2" customFormat="1" x14ac:dyDescent="0.25">
      <c r="A87" s="10"/>
      <c r="B87" s="26" t="s">
        <v>9</v>
      </c>
      <c r="C87" s="10"/>
      <c r="D87" s="19">
        <f>SUM(OSRRefD22x_0)</f>
        <v>318600.79999999993</v>
      </c>
      <c r="E87" s="19"/>
      <c r="F87" s="31">
        <f t="shared" ref="F87:F98" si="12">IF(D$12=0,0,D87/D$12)</f>
        <v>1.3994142767569777</v>
      </c>
      <c r="G87" s="19"/>
      <c r="H87" s="19">
        <f>SUM(OSRRefH22x_0)</f>
        <v>387125.5557351443</v>
      </c>
      <c r="I87" s="19"/>
      <c r="J87" s="31">
        <f t="shared" ref="J87:J98" si="13">IF(H$12=0,0,H87/H$12)</f>
        <v>1.2819109037525764</v>
      </c>
      <c r="K87" s="4"/>
      <c r="L87" s="19">
        <f t="shared" ref="L87:L98" si="14">+D87-H87</f>
        <v>-68524.755735144368</v>
      </c>
      <c r="M87" s="4"/>
      <c r="N87" s="31">
        <f t="shared" ref="N87:N98" si="15">IF(H87=0,0,L87/H87)</f>
        <v>-0.17700912461079227</v>
      </c>
      <c r="O87" s="10"/>
      <c r="P87" s="19">
        <f>SUM(OSRRefP22x_0)</f>
        <v>318600.79999999993</v>
      </c>
      <c r="Q87" s="19"/>
      <c r="R87" s="31">
        <f t="shared" ref="R87:R98" si="16">IF(P$12=0,0,P87/P$12)</f>
        <v>1.3994142767569777</v>
      </c>
      <c r="S87" s="19"/>
      <c r="T87" s="19">
        <f>SUM(OSRRefT22x_0)</f>
        <v>387125.5557351443</v>
      </c>
      <c r="U87" s="19"/>
      <c r="V87" s="31">
        <f t="shared" ref="V87:V98" si="17">IF(T$12=0,0,T87/T$12)</f>
        <v>1.2819109037525764</v>
      </c>
      <c r="W87" s="4"/>
      <c r="X87" s="19">
        <f t="shared" ref="X87:X98" si="18">+P87-T87</f>
        <v>-68524.755735144368</v>
      </c>
      <c r="Y87" s="4"/>
      <c r="Z87" s="31">
        <f t="shared" ref="Z87:Z98" si="19">IF(T87=0,0,X87/T87)</f>
        <v>-0.17700912461079227</v>
      </c>
    </row>
    <row r="88" spans="1:26" s="29" customFormat="1" outlineLevel="1" collapsed="1" x14ac:dyDescent="0.25">
      <c r="A88" s="28"/>
      <c r="B88" s="14" t="str">
        <f>CONCATENATE("     ","*Benefits                                         ")</f>
        <v xml:space="preserve">     *Benefits                                         </v>
      </c>
      <c r="C88" s="14"/>
      <c r="D88" s="1">
        <f>SUM(OSRRefD22_0x_0)</f>
        <v>40666.47</v>
      </c>
      <c r="E88" s="1"/>
      <c r="F88" s="5">
        <f t="shared" si="12"/>
        <v>0.17862239738038743</v>
      </c>
      <c r="G88" s="1"/>
      <c r="H88" s="1">
        <f>SUM(OSRRefH22_0x_0)</f>
        <v>51747.158507451895</v>
      </c>
      <c r="I88" s="1"/>
      <c r="J88" s="5">
        <f t="shared" si="13"/>
        <v>0.17135331353401889</v>
      </c>
      <c r="K88" s="1"/>
      <c r="L88" s="1">
        <f t="shared" si="14"/>
        <v>-11080.688507451894</v>
      </c>
      <c r="M88" s="1"/>
      <c r="N88" s="5">
        <f t="shared" si="15"/>
        <v>-0.21413134222348093</v>
      </c>
      <c r="O88" s="14"/>
      <c r="P88" s="1">
        <f>SUM(OSRRefP22_0x_0)</f>
        <v>40666.47</v>
      </c>
      <c r="Q88" s="1"/>
      <c r="R88" s="5">
        <f t="shared" si="16"/>
        <v>0.17862239738038743</v>
      </c>
      <c r="S88" s="1"/>
      <c r="T88" s="1">
        <f>SUM(OSRRefT22_0x_0)</f>
        <v>51747.158507451895</v>
      </c>
      <c r="U88" s="1"/>
      <c r="V88" s="5">
        <f t="shared" si="17"/>
        <v>0.17135331353401889</v>
      </c>
      <c r="W88" s="1"/>
      <c r="X88" s="1">
        <f t="shared" si="18"/>
        <v>-11080.688507451894</v>
      </c>
      <c r="Y88" s="1"/>
      <c r="Z88" s="5">
        <f t="shared" si="19"/>
        <v>-0.21413134222348093</v>
      </c>
    </row>
    <row r="89" spans="1:26" s="24" customFormat="1" hidden="1" outlineLevel="2" x14ac:dyDescent="0.25">
      <c r="A89" s="27"/>
      <c r="B89" s="12" t="str">
        <f>CONCATENATE("          ", "6111", " - ", "F.I.C.A.")</f>
        <v xml:space="preserve">          6111 - F.I.C.A.</v>
      </c>
      <c r="C89" s="12"/>
      <c r="D89" s="7">
        <v>7566.94</v>
      </c>
      <c r="E89" s="3"/>
      <c r="F89" s="8">
        <f t="shared" si="12"/>
        <v>3.3236840169150378E-2</v>
      </c>
      <c r="G89" s="3"/>
      <c r="H89" s="7">
        <v>12763.417686778846</v>
      </c>
      <c r="I89" s="3"/>
      <c r="J89" s="8">
        <f t="shared" si="13"/>
        <v>4.2264232002870439E-2</v>
      </c>
      <c r="K89" s="3"/>
      <c r="L89" s="7">
        <f t="shared" si="14"/>
        <v>-5196.4776867788469</v>
      </c>
      <c r="M89" s="3"/>
      <c r="N89" s="8">
        <f t="shared" si="15"/>
        <v>-0.40713841811834511</v>
      </c>
      <c r="O89" s="12"/>
      <c r="P89" s="7">
        <v>7566.94</v>
      </c>
      <c r="Q89" s="3"/>
      <c r="R89" s="8">
        <f t="shared" si="16"/>
        <v>3.3236840169150378E-2</v>
      </c>
      <c r="S89" s="3"/>
      <c r="T89" s="7">
        <v>12763.417686778846</v>
      </c>
      <c r="U89" s="3"/>
      <c r="V89" s="8">
        <f t="shared" si="17"/>
        <v>4.2264232002870439E-2</v>
      </c>
      <c r="W89" s="3"/>
      <c r="X89" s="7">
        <f t="shared" si="18"/>
        <v>-5196.4776867788469</v>
      </c>
      <c r="Y89" s="3"/>
      <c r="Z89" s="8">
        <f t="shared" si="19"/>
        <v>-0.40713841811834511</v>
      </c>
    </row>
    <row r="90" spans="1:26" s="24" customFormat="1" hidden="1" outlineLevel="2" x14ac:dyDescent="0.25">
      <c r="A90" s="27"/>
      <c r="B90" s="12" t="str">
        <f>CONCATENATE("          ", "6112", " - ", "COMPENSATION INSURANCE")</f>
        <v xml:space="preserve">          6112 - COMPENSATION INSURANCE</v>
      </c>
      <c r="C90" s="12"/>
      <c r="D90" s="7">
        <v>1779.03</v>
      </c>
      <c r="E90" s="3"/>
      <c r="F90" s="8">
        <f t="shared" si="12"/>
        <v>7.8141673868331978E-3</v>
      </c>
      <c r="G90" s="3"/>
      <c r="H90" s="7">
        <v>3246.230310096154</v>
      </c>
      <c r="I90" s="3"/>
      <c r="J90" s="8">
        <f t="shared" si="13"/>
        <v>1.0749427334245569E-2</v>
      </c>
      <c r="K90" s="3"/>
      <c r="L90" s="7">
        <f t="shared" si="14"/>
        <v>-1467.200310096154</v>
      </c>
      <c r="M90" s="3"/>
      <c r="N90" s="8">
        <f t="shared" si="15"/>
        <v>-0.45197049190656324</v>
      </c>
      <c r="O90" s="12"/>
      <c r="P90" s="7">
        <v>1779.03</v>
      </c>
      <c r="Q90" s="3"/>
      <c r="R90" s="8">
        <f t="shared" si="16"/>
        <v>7.8141673868331978E-3</v>
      </c>
      <c r="S90" s="3"/>
      <c r="T90" s="7">
        <v>3246.230310096154</v>
      </c>
      <c r="U90" s="3"/>
      <c r="V90" s="8">
        <f t="shared" si="17"/>
        <v>1.0749427334245569E-2</v>
      </c>
      <c r="W90" s="3"/>
      <c r="X90" s="7">
        <f t="shared" si="18"/>
        <v>-1467.200310096154</v>
      </c>
      <c r="Y90" s="3"/>
      <c r="Z90" s="8">
        <f t="shared" si="19"/>
        <v>-0.45197049190656324</v>
      </c>
    </row>
    <row r="91" spans="1:26" s="24" customFormat="1" hidden="1" outlineLevel="2" x14ac:dyDescent="0.25">
      <c r="A91" s="27"/>
      <c r="B91" s="12" t="str">
        <f>CONCATENATE("          ", "6113", " - ", "GROUP INSURANCE")</f>
        <v xml:space="preserve">          6113 - GROUP INSURANCE</v>
      </c>
      <c r="C91" s="12"/>
      <c r="D91" s="7">
        <v>13468.68</v>
      </c>
      <c r="E91" s="3"/>
      <c r="F91" s="8">
        <f t="shared" si="12"/>
        <v>5.9159497029107187E-2</v>
      </c>
      <c r="G91" s="3"/>
      <c r="H91" s="7">
        <v>18067.499999999989</v>
      </c>
      <c r="I91" s="3"/>
      <c r="J91" s="8">
        <f t="shared" si="13"/>
        <v>5.9827941892308015E-2</v>
      </c>
      <c r="K91" s="3"/>
      <c r="L91" s="7">
        <f t="shared" si="14"/>
        <v>-4598.8199999999888</v>
      </c>
      <c r="M91" s="3"/>
      <c r="N91" s="8">
        <f t="shared" si="15"/>
        <v>-0.25453549190535446</v>
      </c>
      <c r="O91" s="12"/>
      <c r="P91" s="7">
        <v>13468.68</v>
      </c>
      <c r="Q91" s="3"/>
      <c r="R91" s="8">
        <f t="shared" si="16"/>
        <v>5.9159497029107187E-2</v>
      </c>
      <c r="S91" s="3"/>
      <c r="T91" s="7">
        <v>18067.499999999989</v>
      </c>
      <c r="U91" s="3"/>
      <c r="V91" s="8">
        <f t="shared" si="17"/>
        <v>5.9827941892308015E-2</v>
      </c>
      <c r="W91" s="3"/>
      <c r="X91" s="7">
        <f t="shared" si="18"/>
        <v>-4598.8199999999888</v>
      </c>
      <c r="Y91" s="3"/>
      <c r="Z91" s="8">
        <f t="shared" si="19"/>
        <v>-0.25453549190535446</v>
      </c>
    </row>
    <row r="92" spans="1:26" s="24" customFormat="1" hidden="1" outlineLevel="2" x14ac:dyDescent="0.25">
      <c r="A92" s="27"/>
      <c r="B92" s="12" t="str">
        <f>CONCATENATE("          ", "6114", " - ", "STATE UNEMPLOYMENT INSURANCE")</f>
        <v xml:space="preserve">          6114 - STATE UNEMPLOYMENT INSURANCE</v>
      </c>
      <c r="C92" s="12"/>
      <c r="D92" s="7">
        <v>275.08999999999997</v>
      </c>
      <c r="E92" s="3"/>
      <c r="F92" s="8">
        <f t="shared" si="12"/>
        <v>1.2082985146084912E-3</v>
      </c>
      <c r="G92" s="3"/>
      <c r="H92" s="7">
        <v>456.22696250000001</v>
      </c>
      <c r="I92" s="3"/>
      <c r="J92" s="8">
        <f t="shared" si="13"/>
        <v>1.5107303280561342E-3</v>
      </c>
      <c r="K92" s="3"/>
      <c r="L92" s="7">
        <f t="shared" si="14"/>
        <v>-181.13696250000004</v>
      </c>
      <c r="M92" s="3"/>
      <c r="N92" s="8">
        <f t="shared" si="15"/>
        <v>-0.39703256797322678</v>
      </c>
      <c r="O92" s="12"/>
      <c r="P92" s="7">
        <v>275.08999999999997</v>
      </c>
      <c r="Q92" s="3"/>
      <c r="R92" s="8">
        <f t="shared" si="16"/>
        <v>1.2082985146084912E-3</v>
      </c>
      <c r="S92" s="3"/>
      <c r="T92" s="7">
        <v>456.22696250000001</v>
      </c>
      <c r="U92" s="3"/>
      <c r="V92" s="8">
        <f t="shared" si="17"/>
        <v>1.5107303280561342E-3</v>
      </c>
      <c r="W92" s="3"/>
      <c r="X92" s="7">
        <f t="shared" si="18"/>
        <v>-181.13696250000004</v>
      </c>
      <c r="Y92" s="3"/>
      <c r="Z92" s="8">
        <f t="shared" si="19"/>
        <v>-0.39703256797322678</v>
      </c>
    </row>
    <row r="93" spans="1:26" s="24" customFormat="1" hidden="1" outlineLevel="2" x14ac:dyDescent="0.25">
      <c r="A93" s="27"/>
      <c r="B93" s="12" t="str">
        <f>CONCATENATE("          ", "6115", " - ", "P.E.R.S.")</f>
        <v xml:space="preserve">          6115 - P.E.R.S.</v>
      </c>
      <c r="C93" s="12"/>
      <c r="D93" s="7">
        <v>8158.49</v>
      </c>
      <c r="E93" s="3"/>
      <c r="F93" s="8">
        <f t="shared" si="12"/>
        <v>3.5835149763525503E-2</v>
      </c>
      <c r="G93" s="3"/>
      <c r="H93" s="7">
        <v>5865.944644230769</v>
      </c>
      <c r="I93" s="3"/>
      <c r="J93" s="8">
        <f t="shared" si="13"/>
        <v>1.9424236630332589E-2</v>
      </c>
      <c r="K93" s="3"/>
      <c r="L93" s="7">
        <f t="shared" si="14"/>
        <v>2292.5453557692308</v>
      </c>
      <c r="M93" s="3"/>
      <c r="N93" s="8">
        <f t="shared" si="15"/>
        <v>0.39082287590694847</v>
      </c>
      <c r="O93" s="12"/>
      <c r="P93" s="7">
        <v>8158.49</v>
      </c>
      <c r="Q93" s="3"/>
      <c r="R93" s="8">
        <f t="shared" si="16"/>
        <v>3.5835149763525503E-2</v>
      </c>
      <c r="S93" s="3"/>
      <c r="T93" s="7">
        <v>5865.944644230769</v>
      </c>
      <c r="U93" s="3"/>
      <c r="V93" s="8">
        <f t="shared" si="17"/>
        <v>1.9424236630332589E-2</v>
      </c>
      <c r="W93" s="3"/>
      <c r="X93" s="7">
        <f t="shared" si="18"/>
        <v>2292.5453557692308</v>
      </c>
      <c r="Y93" s="3"/>
      <c r="Z93" s="8">
        <f t="shared" si="19"/>
        <v>0.39082287590694847</v>
      </c>
    </row>
    <row r="94" spans="1:26" s="24" customFormat="1" hidden="1" outlineLevel="2" x14ac:dyDescent="0.25">
      <c r="A94" s="27"/>
      <c r="B94" s="12" t="str">
        <f>CONCATENATE("          ", "6116", " - ", "EDUCATIONAL BENEFITS")</f>
        <v xml:space="preserve">          6116 - EDUCATIONAL BENEFITS</v>
      </c>
      <c r="C94" s="12"/>
      <c r="D94" s="7">
        <v>0</v>
      </c>
      <c r="E94" s="3"/>
      <c r="F94" s="8">
        <f t="shared" si="12"/>
        <v>0</v>
      </c>
      <c r="G94" s="3"/>
      <c r="H94" s="7">
        <v>0</v>
      </c>
      <c r="I94" s="3"/>
      <c r="J94" s="8">
        <f t="shared" si="13"/>
        <v>0</v>
      </c>
      <c r="K94" s="3"/>
      <c r="L94" s="7">
        <f t="shared" si="14"/>
        <v>0</v>
      </c>
      <c r="M94" s="3"/>
      <c r="N94" s="8">
        <f t="shared" si="15"/>
        <v>0</v>
      </c>
      <c r="O94" s="12"/>
      <c r="P94" s="7">
        <v>0</v>
      </c>
      <c r="Q94" s="3"/>
      <c r="R94" s="8">
        <f t="shared" si="16"/>
        <v>0</v>
      </c>
      <c r="S94" s="3"/>
      <c r="T94" s="7">
        <v>0</v>
      </c>
      <c r="U94" s="3"/>
      <c r="V94" s="8">
        <f t="shared" si="17"/>
        <v>0</v>
      </c>
      <c r="W94" s="3"/>
      <c r="X94" s="7">
        <f t="shared" si="18"/>
        <v>0</v>
      </c>
      <c r="Y94" s="3"/>
      <c r="Z94" s="8">
        <f t="shared" si="19"/>
        <v>0</v>
      </c>
    </row>
    <row r="95" spans="1:26" s="24" customFormat="1" hidden="1" outlineLevel="2" x14ac:dyDescent="0.25">
      <c r="A95" s="27"/>
      <c r="B95" s="12" t="str">
        <f>CONCATENATE("          ", "6117", " - ", "RETIREMENT STAFF HOURLY")</f>
        <v xml:space="preserve">          6117 - RETIREMENT STAFF HOURLY</v>
      </c>
      <c r="C95" s="12"/>
      <c r="D95" s="7">
        <v>333.14</v>
      </c>
      <c r="E95" s="3"/>
      <c r="F95" s="8">
        <f t="shared" si="12"/>
        <v>1.4632758993662904E-3</v>
      </c>
      <c r="G95" s="3"/>
      <c r="H95" s="7"/>
      <c r="I95" s="3"/>
      <c r="J95" s="8">
        <f t="shared" si="13"/>
        <v>0</v>
      </c>
      <c r="K95" s="3"/>
      <c r="L95" s="7">
        <f t="shared" si="14"/>
        <v>333.14</v>
      </c>
      <c r="M95" s="3"/>
      <c r="N95" s="8">
        <f t="shared" si="15"/>
        <v>0</v>
      </c>
      <c r="O95" s="12"/>
      <c r="P95" s="7">
        <v>333.14</v>
      </c>
      <c r="Q95" s="3"/>
      <c r="R95" s="8">
        <f t="shared" si="16"/>
        <v>1.4632758993662904E-3</v>
      </c>
      <c r="S95" s="3"/>
      <c r="T95" s="7"/>
      <c r="U95" s="3"/>
      <c r="V95" s="8">
        <f t="shared" si="17"/>
        <v>0</v>
      </c>
      <c r="W95" s="3"/>
      <c r="X95" s="7">
        <f t="shared" si="18"/>
        <v>333.14</v>
      </c>
      <c r="Y95" s="3"/>
      <c r="Z95" s="8">
        <f t="shared" si="19"/>
        <v>0</v>
      </c>
    </row>
    <row r="96" spans="1:26" s="24" customFormat="1" hidden="1" outlineLevel="2" x14ac:dyDescent="0.25">
      <c r="A96" s="27"/>
      <c r="B96" s="12" t="str">
        <f>CONCATENATE("          ", "6118", " - ", "VACATION")</f>
        <v xml:space="preserve">          6118 - VACATION</v>
      </c>
      <c r="C96" s="12"/>
      <c r="D96" s="7">
        <v>4733.7</v>
      </c>
      <c r="E96" s="3"/>
      <c r="F96" s="8">
        <f t="shared" si="12"/>
        <v>2.0792186842859484E-2</v>
      </c>
      <c r="G96" s="3"/>
      <c r="H96" s="7">
        <v>4932.1792749999968</v>
      </c>
      <c r="I96" s="3"/>
      <c r="J96" s="8">
        <f t="shared" si="13"/>
        <v>1.633220617501845E-2</v>
      </c>
      <c r="K96" s="3"/>
      <c r="L96" s="7">
        <f t="shared" si="14"/>
        <v>-198.47927499999696</v>
      </c>
      <c r="M96" s="3"/>
      <c r="N96" s="8">
        <f t="shared" si="15"/>
        <v>-4.0241699243585803E-2</v>
      </c>
      <c r="O96" s="12"/>
      <c r="P96" s="7">
        <v>4733.7</v>
      </c>
      <c r="Q96" s="3"/>
      <c r="R96" s="8">
        <f t="shared" si="16"/>
        <v>2.0792186842859484E-2</v>
      </c>
      <c r="S96" s="3"/>
      <c r="T96" s="7">
        <v>4932.1792749999968</v>
      </c>
      <c r="U96" s="3"/>
      <c r="V96" s="8">
        <f t="shared" si="17"/>
        <v>1.633220617501845E-2</v>
      </c>
      <c r="W96" s="3"/>
      <c r="X96" s="7">
        <f t="shared" si="18"/>
        <v>-198.47927499999696</v>
      </c>
      <c r="Y96" s="3"/>
      <c r="Z96" s="8">
        <f t="shared" si="19"/>
        <v>-4.0241699243585803E-2</v>
      </c>
    </row>
    <row r="97" spans="1:26" s="24" customFormat="1" hidden="1" outlineLevel="2" x14ac:dyDescent="0.25">
      <c r="A97" s="27"/>
      <c r="B97" s="12" t="str">
        <f>CONCATENATE("          ", "6119", " - ", "SICK LEAVE")</f>
        <v xml:space="preserve">          6119 - SICK LEAVE</v>
      </c>
      <c r="C97" s="12"/>
      <c r="D97" s="7">
        <v>3335.98</v>
      </c>
      <c r="E97" s="3"/>
      <c r="F97" s="8">
        <f t="shared" si="12"/>
        <v>1.465287607242588E-2</v>
      </c>
      <c r="G97" s="3"/>
      <c r="H97" s="7">
        <v>4790.6596288461469</v>
      </c>
      <c r="I97" s="3"/>
      <c r="J97" s="8">
        <f t="shared" si="13"/>
        <v>1.5863584109613024E-2</v>
      </c>
      <c r="K97" s="3"/>
      <c r="L97" s="7">
        <f t="shared" si="14"/>
        <v>-1454.6796288461469</v>
      </c>
      <c r="M97" s="3"/>
      <c r="N97" s="8">
        <f t="shared" si="15"/>
        <v>-0.30364913008785671</v>
      </c>
      <c r="O97" s="12"/>
      <c r="P97" s="7">
        <v>3335.98</v>
      </c>
      <c r="Q97" s="3"/>
      <c r="R97" s="8">
        <f t="shared" si="16"/>
        <v>1.465287607242588E-2</v>
      </c>
      <c r="S97" s="3"/>
      <c r="T97" s="7">
        <v>4790.6596288461469</v>
      </c>
      <c r="U97" s="3"/>
      <c r="V97" s="8">
        <f t="shared" si="17"/>
        <v>1.5863584109613024E-2</v>
      </c>
      <c r="W97" s="3"/>
      <c r="X97" s="7">
        <f t="shared" si="18"/>
        <v>-1454.6796288461469</v>
      </c>
      <c r="Y97" s="3"/>
      <c r="Z97" s="8">
        <f t="shared" si="19"/>
        <v>-0.30364913008785671</v>
      </c>
    </row>
    <row r="98" spans="1:26" s="24" customFormat="1" hidden="1" outlineLevel="2" x14ac:dyDescent="0.25">
      <c r="A98" s="27"/>
      <c r="B98" s="12" t="str">
        <f>CONCATENATE("          ", "6156", " - ", "EMPLOYEE MEALS")</f>
        <v xml:space="preserve">          6156 - EMPLOYEE MEALS</v>
      </c>
      <c r="C98" s="12"/>
      <c r="D98" s="7">
        <v>1015.42</v>
      </c>
      <c r="E98" s="3"/>
      <c r="F98" s="8">
        <f t="shared" si="12"/>
        <v>4.4601057025110118E-3</v>
      </c>
      <c r="G98" s="3"/>
      <c r="H98" s="7">
        <v>1625</v>
      </c>
      <c r="I98" s="3"/>
      <c r="J98" s="8">
        <f t="shared" si="13"/>
        <v>5.3809550615746826E-3</v>
      </c>
      <c r="K98" s="3"/>
      <c r="L98" s="7">
        <f t="shared" si="14"/>
        <v>-609.58000000000004</v>
      </c>
      <c r="M98" s="3"/>
      <c r="N98" s="8">
        <f t="shared" si="15"/>
        <v>-0.37512615384615389</v>
      </c>
      <c r="O98" s="12"/>
      <c r="P98" s="7">
        <v>1015.42</v>
      </c>
      <c r="Q98" s="3"/>
      <c r="R98" s="8">
        <f t="shared" si="16"/>
        <v>4.4601057025110118E-3</v>
      </c>
      <c r="S98" s="3"/>
      <c r="T98" s="7">
        <v>1625</v>
      </c>
      <c r="U98" s="3"/>
      <c r="V98" s="8">
        <f t="shared" si="17"/>
        <v>5.3809550615746826E-3</v>
      </c>
      <c r="W98" s="3"/>
      <c r="X98" s="7">
        <f t="shared" si="18"/>
        <v>-609.58000000000004</v>
      </c>
      <c r="Y98" s="3"/>
      <c r="Z98" s="8">
        <f t="shared" si="19"/>
        <v>-0.37512615384615389</v>
      </c>
    </row>
    <row r="99" spans="1:26" s="29" customFormat="1" outlineLevel="1" collapsed="1" x14ac:dyDescent="0.25">
      <c r="A99" s="28"/>
      <c r="B99" s="14" t="str">
        <f>CONCATENATE("     ","*Payroll                                          ")</f>
        <v xml:space="preserve">     *Payroll                                          </v>
      </c>
      <c r="C99" s="14"/>
      <c r="D99" s="1">
        <f>SUM(OSRRefD22_1x_0)</f>
        <v>120477.56000000001</v>
      </c>
      <c r="E99" s="1"/>
      <c r="F99" s="5">
        <f t="shared" ref="F99:F109" si="20">IF(D$12=0,0,D99/D$12)</f>
        <v>0.52918265582774882</v>
      </c>
      <c r="G99" s="1"/>
      <c r="H99" s="1">
        <f>SUM(OSRRefH22_1x_0)</f>
        <v>163346.39722769239</v>
      </c>
      <c r="I99" s="1"/>
      <c r="J99" s="5">
        <f t="shared" ref="J99:J109" si="21">IF(H$12=0,0,H99/H$12)</f>
        <v>0.54089822950913236</v>
      </c>
      <c r="K99" s="1"/>
      <c r="L99" s="1">
        <f t="shared" ref="L99:L109" si="22">+D99-H99</f>
        <v>-42868.837227692376</v>
      </c>
      <c r="M99" s="1"/>
      <c r="N99" s="5">
        <f t="shared" ref="N99:N109" si="23">IF(H99=0,0,L99/H99)</f>
        <v>-0.26244127789323995</v>
      </c>
      <c r="O99" s="14"/>
      <c r="P99" s="1">
        <f>SUM(OSRRefP22_1x_0)</f>
        <v>120477.56000000001</v>
      </c>
      <c r="Q99" s="1"/>
      <c r="R99" s="5">
        <f t="shared" ref="R99:R109" si="24">IF(P$12=0,0,P99/P$12)</f>
        <v>0.52918265582774882</v>
      </c>
      <c r="S99" s="1"/>
      <c r="T99" s="1">
        <f>SUM(OSRRefT22_1x_0)</f>
        <v>163346.39722769239</v>
      </c>
      <c r="U99" s="1"/>
      <c r="V99" s="5">
        <f t="shared" ref="V99:V109" si="25">IF(T$12=0,0,T99/T$12)</f>
        <v>0.54089822950913236</v>
      </c>
      <c r="W99" s="1"/>
      <c r="X99" s="1">
        <f t="shared" ref="X99:X109" si="26">+P99-T99</f>
        <v>-42868.837227692376</v>
      </c>
      <c r="Y99" s="1"/>
      <c r="Z99" s="5">
        <f t="shared" ref="Z99:Z109" si="27">IF(T99=0,0,X99/T99)</f>
        <v>-0.26244127789323995</v>
      </c>
    </row>
    <row r="100" spans="1:26" s="24" customFormat="1" hidden="1" outlineLevel="2" x14ac:dyDescent="0.25">
      <c r="A100" s="27"/>
      <c r="B100" s="12" t="str">
        <f>CONCATENATE("          ", "6001", " - ", "ADMINISTRATIVE SALARIES")</f>
        <v xml:space="preserve">          6001 - ADMINISTRATIVE SALARIES</v>
      </c>
      <c r="C100" s="12"/>
      <c r="D100" s="7">
        <v>4525.8500000000004</v>
      </c>
      <c r="E100" s="3"/>
      <c r="F100" s="8">
        <f t="shared" si="20"/>
        <v>1.9879231641793019E-2</v>
      </c>
      <c r="G100" s="3"/>
      <c r="H100" s="7">
        <v>9699.6153846153902</v>
      </c>
      <c r="I100" s="3"/>
      <c r="J100" s="8">
        <f t="shared" si="21"/>
        <v>3.211888892256852E-2</v>
      </c>
      <c r="K100" s="3"/>
      <c r="L100" s="7">
        <f t="shared" si="22"/>
        <v>-5173.7653846153898</v>
      </c>
      <c r="M100" s="3"/>
      <c r="N100" s="8">
        <f t="shared" si="23"/>
        <v>-0.53339902454498611</v>
      </c>
      <c r="O100" s="12"/>
      <c r="P100" s="7">
        <v>4525.8500000000004</v>
      </c>
      <c r="Q100" s="3"/>
      <c r="R100" s="8">
        <f t="shared" si="24"/>
        <v>1.9879231641793019E-2</v>
      </c>
      <c r="S100" s="3"/>
      <c r="T100" s="7">
        <v>9699.6153846153902</v>
      </c>
      <c r="U100" s="3"/>
      <c r="V100" s="8">
        <f t="shared" si="25"/>
        <v>3.211888892256852E-2</v>
      </c>
      <c r="W100" s="3"/>
      <c r="X100" s="7">
        <f t="shared" si="26"/>
        <v>-5173.7653846153898</v>
      </c>
      <c r="Y100" s="3"/>
      <c r="Z100" s="8">
        <f t="shared" si="27"/>
        <v>-0.53339902454498611</v>
      </c>
    </row>
    <row r="101" spans="1:26" s="24" customFormat="1" hidden="1" outlineLevel="2" x14ac:dyDescent="0.25">
      <c r="A101" s="27"/>
      <c r="B101" s="12" t="str">
        <f>CONCATENATE("          ", "6002", " - ", "STAFF SALARIES")</f>
        <v xml:space="preserve">          6002 - STAFF SALARIES</v>
      </c>
      <c r="C101" s="12"/>
      <c r="D101" s="7">
        <v>64436.4</v>
      </c>
      <c r="E101" s="3"/>
      <c r="F101" s="8">
        <f t="shared" si="20"/>
        <v>0.28302885021890506</v>
      </c>
      <c r="G101" s="3"/>
      <c r="H101" s="7">
        <v>51509.094243076994</v>
      </c>
      <c r="I101" s="3"/>
      <c r="J101" s="8">
        <f t="shared" si="21"/>
        <v>0.17056499777502307</v>
      </c>
      <c r="K101" s="3"/>
      <c r="L101" s="7">
        <f t="shared" si="22"/>
        <v>12927.305756923008</v>
      </c>
      <c r="M101" s="3"/>
      <c r="N101" s="8">
        <f t="shared" si="23"/>
        <v>0.25097132743040779</v>
      </c>
      <c r="O101" s="12"/>
      <c r="P101" s="7">
        <v>64436.4</v>
      </c>
      <c r="Q101" s="3"/>
      <c r="R101" s="8">
        <f t="shared" si="24"/>
        <v>0.28302885021890506</v>
      </c>
      <c r="S101" s="3"/>
      <c r="T101" s="7">
        <v>51509.094243076994</v>
      </c>
      <c r="U101" s="3"/>
      <c r="V101" s="8">
        <f t="shared" si="25"/>
        <v>0.17056499777502307</v>
      </c>
      <c r="W101" s="3"/>
      <c r="X101" s="7">
        <f t="shared" si="26"/>
        <v>12927.305756923008</v>
      </c>
      <c r="Y101" s="3"/>
      <c r="Z101" s="8">
        <f t="shared" si="27"/>
        <v>0.25097132743040779</v>
      </c>
    </row>
    <row r="102" spans="1:26" s="24" customFormat="1" hidden="1" outlineLevel="2" x14ac:dyDescent="0.25">
      <c r="A102" s="27"/>
      <c r="B102" s="12" t="str">
        <f>CONCATENATE("          ", "6003", " - ", "STAFF HOURLY-9 MONTH")</f>
        <v xml:space="preserve">          6003 - STAFF HOURLY-9 MONTH</v>
      </c>
      <c r="C102" s="12"/>
      <c r="D102" s="7"/>
      <c r="E102" s="3"/>
      <c r="F102" s="8">
        <f t="shared" si="20"/>
        <v>0</v>
      </c>
      <c r="G102" s="3"/>
      <c r="H102" s="7">
        <v>0</v>
      </c>
      <c r="I102" s="3"/>
      <c r="J102" s="8">
        <f t="shared" si="21"/>
        <v>0</v>
      </c>
      <c r="K102" s="3"/>
      <c r="L102" s="7">
        <f t="shared" si="22"/>
        <v>0</v>
      </c>
      <c r="M102" s="3"/>
      <c r="N102" s="8">
        <f t="shared" si="23"/>
        <v>0</v>
      </c>
      <c r="O102" s="12"/>
      <c r="P102" s="7"/>
      <c r="Q102" s="3"/>
      <c r="R102" s="8">
        <f t="shared" si="24"/>
        <v>0</v>
      </c>
      <c r="S102" s="3"/>
      <c r="T102" s="7">
        <v>0</v>
      </c>
      <c r="U102" s="3"/>
      <c r="V102" s="8">
        <f t="shared" si="25"/>
        <v>0</v>
      </c>
      <c r="W102" s="3"/>
      <c r="X102" s="7">
        <f t="shared" si="26"/>
        <v>0</v>
      </c>
      <c r="Y102" s="3"/>
      <c r="Z102" s="8">
        <f t="shared" si="27"/>
        <v>0</v>
      </c>
    </row>
    <row r="103" spans="1:26" s="24" customFormat="1" hidden="1" outlineLevel="2" x14ac:dyDescent="0.25">
      <c r="A103" s="27"/>
      <c r="B103" s="12" t="str">
        <f>CONCATENATE("          ", "6004", " - ", "STAFF HOURLY")</f>
        <v xml:space="preserve">          6004 - STAFF HOURLY</v>
      </c>
      <c r="C103" s="12"/>
      <c r="D103" s="7">
        <v>15713.52</v>
      </c>
      <c r="E103" s="3"/>
      <c r="F103" s="8">
        <f t="shared" si="20"/>
        <v>6.9019676743141606E-2</v>
      </c>
      <c r="G103" s="3"/>
      <c r="H103" s="7">
        <v>30028.437600000005</v>
      </c>
      <c r="I103" s="3"/>
      <c r="J103" s="8">
        <f t="shared" si="21"/>
        <v>9.9434875873784329E-2</v>
      </c>
      <c r="K103" s="3"/>
      <c r="L103" s="7">
        <f t="shared" si="22"/>
        <v>-14314.917600000004</v>
      </c>
      <c r="M103" s="3"/>
      <c r="N103" s="8">
        <f t="shared" si="23"/>
        <v>-0.47671203512766186</v>
      </c>
      <c r="O103" s="12"/>
      <c r="P103" s="7">
        <v>15713.52</v>
      </c>
      <c r="Q103" s="3"/>
      <c r="R103" s="8">
        <f t="shared" si="24"/>
        <v>6.9019676743141606E-2</v>
      </c>
      <c r="S103" s="3"/>
      <c r="T103" s="7">
        <v>30028.437600000005</v>
      </c>
      <c r="U103" s="3"/>
      <c r="V103" s="8">
        <f t="shared" si="25"/>
        <v>9.9434875873784329E-2</v>
      </c>
      <c r="W103" s="3"/>
      <c r="X103" s="7">
        <f t="shared" si="26"/>
        <v>-14314.917600000004</v>
      </c>
      <c r="Y103" s="3"/>
      <c r="Z103" s="8">
        <f t="shared" si="27"/>
        <v>-0.47671203512766186</v>
      </c>
    </row>
    <row r="104" spans="1:26" s="24" customFormat="1" hidden="1" outlineLevel="2" x14ac:dyDescent="0.25">
      <c r="A104" s="27"/>
      <c r="B104" s="12" t="str">
        <f>CONCATENATE("          ", "6005", " - ", "TEMPORARY WAGES-HOURLY")</f>
        <v xml:space="preserve">          6005 - TEMPORARY WAGES-HOURLY</v>
      </c>
      <c r="C104" s="12"/>
      <c r="D104" s="7">
        <v>12385.55</v>
      </c>
      <c r="E104" s="3"/>
      <c r="F104" s="8">
        <f t="shared" si="20"/>
        <v>5.4401983596674544E-2</v>
      </c>
      <c r="G104" s="3"/>
      <c r="H104" s="7">
        <v>3676.5</v>
      </c>
      <c r="I104" s="3"/>
      <c r="J104" s="8">
        <f t="shared" si="21"/>
        <v>1.2174203867002659E-2</v>
      </c>
      <c r="K104" s="3"/>
      <c r="L104" s="7">
        <f t="shared" si="22"/>
        <v>8709.0499999999993</v>
      </c>
      <c r="M104" s="3"/>
      <c r="N104" s="8">
        <f t="shared" si="23"/>
        <v>2.3688426492588057</v>
      </c>
      <c r="O104" s="12"/>
      <c r="P104" s="7">
        <v>12385.55</v>
      </c>
      <c r="Q104" s="3"/>
      <c r="R104" s="8">
        <f t="shared" si="24"/>
        <v>5.4401983596674544E-2</v>
      </c>
      <c r="S104" s="3"/>
      <c r="T104" s="7">
        <v>3676.5</v>
      </c>
      <c r="U104" s="3"/>
      <c r="V104" s="8">
        <f t="shared" si="25"/>
        <v>1.2174203867002659E-2</v>
      </c>
      <c r="W104" s="3"/>
      <c r="X104" s="7">
        <f t="shared" si="26"/>
        <v>8709.0499999999993</v>
      </c>
      <c r="Y104" s="3"/>
      <c r="Z104" s="8">
        <f t="shared" si="27"/>
        <v>2.3688426492588057</v>
      </c>
    </row>
    <row r="105" spans="1:26" s="24" customFormat="1" hidden="1" outlineLevel="2" x14ac:dyDescent="0.25">
      <c r="A105" s="27"/>
      <c r="B105" s="12" t="str">
        <f>CONCATENATE("          ", "6006", " - ", "TEMPORARY PART TIME")</f>
        <v xml:space="preserve">          6006 - TEMPORARY PART TIME</v>
      </c>
      <c r="C105" s="12"/>
      <c r="D105" s="7">
        <v>2048.21</v>
      </c>
      <c r="E105" s="3"/>
      <c r="F105" s="8">
        <f t="shared" si="20"/>
        <v>8.9965069635619555E-3</v>
      </c>
      <c r="G105" s="3"/>
      <c r="H105" s="7">
        <v>0</v>
      </c>
      <c r="I105" s="3"/>
      <c r="J105" s="8">
        <f t="shared" si="21"/>
        <v>0</v>
      </c>
      <c r="K105" s="3"/>
      <c r="L105" s="7">
        <f t="shared" si="22"/>
        <v>2048.21</v>
      </c>
      <c r="M105" s="3"/>
      <c r="N105" s="8">
        <f t="shared" si="23"/>
        <v>0</v>
      </c>
      <c r="O105" s="12"/>
      <c r="P105" s="7">
        <v>2048.21</v>
      </c>
      <c r="Q105" s="3"/>
      <c r="R105" s="8">
        <f t="shared" si="24"/>
        <v>8.9965069635619555E-3</v>
      </c>
      <c r="S105" s="3"/>
      <c r="T105" s="7">
        <v>0</v>
      </c>
      <c r="U105" s="3"/>
      <c r="V105" s="8">
        <f t="shared" si="25"/>
        <v>0</v>
      </c>
      <c r="W105" s="3"/>
      <c r="X105" s="7">
        <f t="shared" si="26"/>
        <v>2048.21</v>
      </c>
      <c r="Y105" s="3"/>
      <c r="Z105" s="8">
        <f t="shared" si="27"/>
        <v>0</v>
      </c>
    </row>
    <row r="106" spans="1:26" s="24" customFormat="1" hidden="1" outlineLevel="2" x14ac:dyDescent="0.25">
      <c r="A106" s="27"/>
      <c r="B106" s="12" t="str">
        <f>CONCATENATE("          ", "6007", " - ", "STUDENT HOURLY")</f>
        <v xml:space="preserve">          6007 - STUDENT HOURLY</v>
      </c>
      <c r="C106" s="12"/>
      <c r="D106" s="7">
        <v>21368.030000000002</v>
      </c>
      <c r="E106" s="3"/>
      <c r="F106" s="8">
        <f t="shared" si="20"/>
        <v>9.3856406663672565E-2</v>
      </c>
      <c r="G106" s="3"/>
      <c r="H106" s="7">
        <v>63414</v>
      </c>
      <c r="I106" s="3"/>
      <c r="J106" s="8">
        <f t="shared" si="21"/>
        <v>0.2099863903228904</v>
      </c>
      <c r="K106" s="3"/>
      <c r="L106" s="7">
        <f t="shared" si="22"/>
        <v>-42045.97</v>
      </c>
      <c r="M106" s="3"/>
      <c r="N106" s="8">
        <f t="shared" si="23"/>
        <v>-0.6630392342384962</v>
      </c>
      <c r="O106" s="12"/>
      <c r="P106" s="7">
        <v>21368.030000000002</v>
      </c>
      <c r="Q106" s="3"/>
      <c r="R106" s="8">
        <f t="shared" si="24"/>
        <v>9.3856406663672565E-2</v>
      </c>
      <c r="S106" s="3"/>
      <c r="T106" s="7">
        <v>63414</v>
      </c>
      <c r="U106" s="3"/>
      <c r="V106" s="8">
        <f t="shared" si="25"/>
        <v>0.2099863903228904</v>
      </c>
      <c r="W106" s="3"/>
      <c r="X106" s="7">
        <f t="shared" si="26"/>
        <v>-42045.97</v>
      </c>
      <c r="Y106" s="3"/>
      <c r="Z106" s="8">
        <f t="shared" si="27"/>
        <v>-0.6630392342384962</v>
      </c>
    </row>
    <row r="107" spans="1:26" s="24" customFormat="1" hidden="1" outlineLevel="2" x14ac:dyDescent="0.25">
      <c r="A107" s="27"/>
      <c r="B107" s="12" t="str">
        <f>CONCATENATE("          ", "6008", " - ", "STUDENT HOURLY-FICA EXEMPT")</f>
        <v xml:space="preserve">          6008 - STUDENT HOURLY-FICA EXEMPT</v>
      </c>
      <c r="C107" s="12"/>
      <c r="D107" s="7"/>
      <c r="E107" s="3"/>
      <c r="F107" s="8">
        <f t="shared" si="20"/>
        <v>0</v>
      </c>
      <c r="G107" s="3"/>
      <c r="H107" s="7">
        <v>5018.75</v>
      </c>
      <c r="I107" s="3"/>
      <c r="J107" s="8">
        <f t="shared" si="21"/>
        <v>1.6618872747863347E-2</v>
      </c>
      <c r="K107" s="3"/>
      <c r="L107" s="7">
        <f t="shared" si="22"/>
        <v>-5018.75</v>
      </c>
      <c r="M107" s="3"/>
      <c r="N107" s="8">
        <f t="shared" si="23"/>
        <v>-1</v>
      </c>
      <c r="O107" s="12"/>
      <c r="P107" s="7"/>
      <c r="Q107" s="3"/>
      <c r="R107" s="8">
        <f t="shared" si="24"/>
        <v>0</v>
      </c>
      <c r="S107" s="3"/>
      <c r="T107" s="7">
        <v>5018.75</v>
      </c>
      <c r="U107" s="3"/>
      <c r="V107" s="8">
        <f t="shared" si="25"/>
        <v>1.6618872747863347E-2</v>
      </c>
      <c r="W107" s="3"/>
      <c r="X107" s="7">
        <f t="shared" si="26"/>
        <v>-5018.75</v>
      </c>
      <c r="Y107" s="3"/>
      <c r="Z107" s="8">
        <f t="shared" si="27"/>
        <v>-1</v>
      </c>
    </row>
    <row r="108" spans="1:26" s="24" customFormat="1" hidden="1" outlineLevel="2" x14ac:dyDescent="0.25">
      <c r="A108" s="27"/>
      <c r="B108" s="12" t="str">
        <f>CONCATENATE("          ", "6009", " - ", "TEMPORARY-SEASONAL")</f>
        <v xml:space="preserve">          6009 - TEMPORARY-SEASONAL</v>
      </c>
      <c r="C108" s="12"/>
      <c r="D108" s="7"/>
      <c r="E108" s="3"/>
      <c r="F108" s="8">
        <f t="shared" si="20"/>
        <v>0</v>
      </c>
      <c r="G108" s="3"/>
      <c r="H108" s="7">
        <v>0</v>
      </c>
      <c r="I108" s="3"/>
      <c r="J108" s="8">
        <f t="shared" si="21"/>
        <v>0</v>
      </c>
      <c r="K108" s="3"/>
      <c r="L108" s="7">
        <f t="shared" si="22"/>
        <v>0</v>
      </c>
      <c r="M108" s="3"/>
      <c r="N108" s="8">
        <f t="shared" si="23"/>
        <v>0</v>
      </c>
      <c r="O108" s="12"/>
      <c r="P108" s="7"/>
      <c r="Q108" s="3"/>
      <c r="R108" s="8">
        <f t="shared" si="24"/>
        <v>0</v>
      </c>
      <c r="S108" s="3"/>
      <c r="T108" s="7">
        <v>0</v>
      </c>
      <c r="U108" s="3"/>
      <c r="V108" s="8">
        <f t="shared" si="25"/>
        <v>0</v>
      </c>
      <c r="W108" s="3"/>
      <c r="X108" s="7">
        <f t="shared" si="26"/>
        <v>0</v>
      </c>
      <c r="Y108" s="3"/>
      <c r="Z108" s="8">
        <f t="shared" si="27"/>
        <v>0</v>
      </c>
    </row>
    <row r="109" spans="1:26" s="24" customFormat="1" hidden="1" outlineLevel="2" x14ac:dyDescent="0.25">
      <c r="A109" s="27"/>
      <c r="B109" s="12" t="str">
        <f>CONCATENATE("          ", "6010", " - ", "GRATUITY")</f>
        <v xml:space="preserve">          6010 - GRATUITY</v>
      </c>
      <c r="C109" s="12"/>
      <c r="D109" s="7"/>
      <c r="E109" s="3"/>
      <c r="F109" s="8">
        <f t="shared" si="20"/>
        <v>0</v>
      </c>
      <c r="G109" s="3"/>
      <c r="H109" s="7">
        <v>0</v>
      </c>
      <c r="I109" s="3"/>
      <c r="J109" s="8">
        <f t="shared" si="21"/>
        <v>0</v>
      </c>
      <c r="K109" s="3"/>
      <c r="L109" s="7">
        <f t="shared" si="22"/>
        <v>0</v>
      </c>
      <c r="M109" s="3"/>
      <c r="N109" s="8">
        <f t="shared" si="23"/>
        <v>0</v>
      </c>
      <c r="O109" s="12"/>
      <c r="P109" s="7"/>
      <c r="Q109" s="3"/>
      <c r="R109" s="8">
        <f t="shared" si="24"/>
        <v>0</v>
      </c>
      <c r="S109" s="3"/>
      <c r="T109" s="7">
        <v>0</v>
      </c>
      <c r="U109" s="3"/>
      <c r="V109" s="8">
        <f t="shared" si="25"/>
        <v>0</v>
      </c>
      <c r="W109" s="3"/>
      <c r="X109" s="7">
        <f t="shared" si="26"/>
        <v>0</v>
      </c>
      <c r="Y109" s="3"/>
      <c r="Z109" s="8">
        <f t="shared" si="27"/>
        <v>0</v>
      </c>
    </row>
    <row r="110" spans="1:26" s="29" customFormat="1" outlineLevel="1" collapsed="1" x14ac:dyDescent="0.25">
      <c r="A110" s="28"/>
      <c r="B110" s="14" t="str">
        <f>CONCATENATE("     ","Advertising/Promo                                 ")</f>
        <v xml:space="preserve">     Advertising/Promo                                 </v>
      </c>
      <c r="C110" s="14"/>
      <c r="D110" s="1">
        <f>SUM(OSRRefD22_2x_0)</f>
        <v>2590.83</v>
      </c>
      <c r="E110" s="1"/>
      <c r="F110" s="5">
        <f t="shared" ref="F110:F114" si="28">IF(D$12=0,0,D110/D$12)</f>
        <v>1.13798976356942E-2</v>
      </c>
      <c r="G110" s="1"/>
      <c r="H110" s="1">
        <f>SUM(OSRRefH22_2x_0)</f>
        <v>780</v>
      </c>
      <c r="I110" s="1"/>
      <c r="J110" s="5">
        <f t="shared" ref="J110:J114" si="29">IF(H$12=0,0,H110/H$12)</f>
        <v>2.5828584295558479E-3</v>
      </c>
      <c r="K110" s="1"/>
      <c r="L110" s="1">
        <f t="shared" ref="L110:L114" si="30">+D110-H110</f>
        <v>1810.83</v>
      </c>
      <c r="M110" s="1"/>
      <c r="N110" s="5">
        <f t="shared" ref="N110:N114" si="31">IF(H110=0,0,L110/H110)</f>
        <v>2.3215769230769232</v>
      </c>
      <c r="O110" s="14"/>
      <c r="P110" s="1">
        <f>SUM(OSRRefP22_2x_0)</f>
        <v>2590.83</v>
      </c>
      <c r="Q110" s="1"/>
      <c r="R110" s="5">
        <f t="shared" ref="R110:R114" si="32">IF(P$12=0,0,P110/P$12)</f>
        <v>1.13798976356942E-2</v>
      </c>
      <c r="S110" s="1"/>
      <c r="T110" s="1">
        <f>SUM(OSRRefT22_2x_0)</f>
        <v>780</v>
      </c>
      <c r="U110" s="1"/>
      <c r="V110" s="5">
        <f t="shared" ref="V110:V114" si="33">IF(T$12=0,0,T110/T$12)</f>
        <v>2.5828584295558479E-3</v>
      </c>
      <c r="W110" s="1"/>
      <c r="X110" s="1">
        <f t="shared" ref="X110:X114" si="34">+P110-T110</f>
        <v>1810.83</v>
      </c>
      <c r="Y110" s="1"/>
      <c r="Z110" s="5">
        <f t="shared" ref="Z110:Z114" si="35">IF(T110=0,0,X110/T110)</f>
        <v>2.3215769230769232</v>
      </c>
    </row>
    <row r="111" spans="1:26" s="24" customFormat="1" hidden="1" outlineLevel="2" x14ac:dyDescent="0.25">
      <c r="A111" s="27"/>
      <c r="B111" s="12" t="str">
        <f>CONCATENATE("          ", "6362", " - ", "ADVERTISING EXPENSE")</f>
        <v xml:space="preserve">          6362 - ADVERTISING EXPENSE</v>
      </c>
      <c r="C111" s="12"/>
      <c r="D111" s="7">
        <v>2590.83</v>
      </c>
      <c r="E111" s="3"/>
      <c r="F111" s="8">
        <f t="shared" si="28"/>
        <v>1.13798976356942E-2</v>
      </c>
      <c r="G111" s="3"/>
      <c r="H111" s="7">
        <v>780</v>
      </c>
      <c r="I111" s="3"/>
      <c r="J111" s="8">
        <f t="shared" si="29"/>
        <v>2.5828584295558479E-3</v>
      </c>
      <c r="K111" s="3"/>
      <c r="L111" s="7">
        <f t="shared" si="30"/>
        <v>1810.83</v>
      </c>
      <c r="M111" s="3"/>
      <c r="N111" s="8">
        <f t="shared" si="31"/>
        <v>2.3215769230769232</v>
      </c>
      <c r="O111" s="12"/>
      <c r="P111" s="7">
        <v>2590.83</v>
      </c>
      <c r="Q111" s="3"/>
      <c r="R111" s="8">
        <f t="shared" si="32"/>
        <v>1.13798976356942E-2</v>
      </c>
      <c r="S111" s="3"/>
      <c r="T111" s="7">
        <v>780</v>
      </c>
      <c r="U111" s="3"/>
      <c r="V111" s="8">
        <f t="shared" si="33"/>
        <v>2.5828584295558479E-3</v>
      </c>
      <c r="W111" s="3"/>
      <c r="X111" s="7">
        <f t="shared" si="34"/>
        <v>1810.83</v>
      </c>
      <c r="Y111" s="3"/>
      <c r="Z111" s="8">
        <f t="shared" si="35"/>
        <v>2.3215769230769232</v>
      </c>
    </row>
    <row r="112" spans="1:26" s="29" customFormat="1" outlineLevel="1" collapsed="1" x14ac:dyDescent="0.25">
      <c r="A112" s="28"/>
      <c r="B112" s="14" t="str">
        <f>CONCATENATE("     ","Bad Debts/Over/Short                              ")</f>
        <v xml:space="preserve">     Bad Debts/Over/Short                              </v>
      </c>
      <c r="C112" s="14"/>
      <c r="D112" s="1">
        <f>SUM(OSRRefD22_3x_0)</f>
        <v>4.9800000000000004</v>
      </c>
      <c r="E112" s="1"/>
      <c r="F112" s="5">
        <f t="shared" si="28"/>
        <v>2.1874028873278884E-5</v>
      </c>
      <c r="G112" s="1"/>
      <c r="H112" s="1">
        <f>SUM(OSRRefH22_3x_0)</f>
        <v>110</v>
      </c>
      <c r="I112" s="1"/>
      <c r="J112" s="5">
        <f t="shared" si="29"/>
        <v>3.6424926570659391E-4</v>
      </c>
      <c r="K112" s="1"/>
      <c r="L112" s="1">
        <f t="shared" si="30"/>
        <v>-105.02</v>
      </c>
      <c r="M112" s="1"/>
      <c r="N112" s="5">
        <f t="shared" si="31"/>
        <v>-0.95472727272727265</v>
      </c>
      <c r="O112" s="14"/>
      <c r="P112" s="1">
        <f>SUM(OSRRefP22_3x_0)</f>
        <v>4.9800000000000004</v>
      </c>
      <c r="Q112" s="1"/>
      <c r="R112" s="5">
        <f t="shared" si="32"/>
        <v>2.1874028873278884E-5</v>
      </c>
      <c r="S112" s="1"/>
      <c r="T112" s="1">
        <f>SUM(OSRRefT22_3x_0)</f>
        <v>110</v>
      </c>
      <c r="U112" s="1"/>
      <c r="V112" s="5">
        <f t="shared" si="33"/>
        <v>3.6424926570659391E-4</v>
      </c>
      <c r="W112" s="1"/>
      <c r="X112" s="1">
        <f t="shared" si="34"/>
        <v>-105.02</v>
      </c>
      <c r="Y112" s="1"/>
      <c r="Z112" s="5">
        <f t="shared" si="35"/>
        <v>-0.95472727272727265</v>
      </c>
    </row>
    <row r="113" spans="1:26" s="24" customFormat="1" hidden="1" outlineLevel="2" x14ac:dyDescent="0.25">
      <c r="A113" s="27"/>
      <c r="B113" s="12" t="str">
        <f>CONCATENATE("          ", "6272", " - ", "CASH (OVER/SHORT)")</f>
        <v xml:space="preserve">          6272 - CASH (OVER/SHORT)</v>
      </c>
      <c r="C113" s="12"/>
      <c r="D113" s="7">
        <v>4.9800000000000004</v>
      </c>
      <c r="E113" s="3"/>
      <c r="F113" s="8">
        <f t="shared" si="28"/>
        <v>2.1874028873278884E-5</v>
      </c>
      <c r="G113" s="3"/>
      <c r="H113" s="7">
        <v>60</v>
      </c>
      <c r="I113" s="3"/>
      <c r="J113" s="8">
        <f t="shared" si="29"/>
        <v>1.9868141765814212E-4</v>
      </c>
      <c r="K113" s="3"/>
      <c r="L113" s="7">
        <f t="shared" si="30"/>
        <v>-55.019999999999996</v>
      </c>
      <c r="M113" s="3"/>
      <c r="N113" s="8">
        <f t="shared" si="31"/>
        <v>-0.91699999999999993</v>
      </c>
      <c r="O113" s="12"/>
      <c r="P113" s="7">
        <v>4.9800000000000004</v>
      </c>
      <c r="Q113" s="3"/>
      <c r="R113" s="8">
        <f t="shared" si="32"/>
        <v>2.1874028873278884E-5</v>
      </c>
      <c r="S113" s="3"/>
      <c r="T113" s="7">
        <v>60</v>
      </c>
      <c r="U113" s="3"/>
      <c r="V113" s="8">
        <f t="shared" si="33"/>
        <v>1.9868141765814212E-4</v>
      </c>
      <c r="W113" s="3"/>
      <c r="X113" s="7">
        <f t="shared" si="34"/>
        <v>-55.019999999999996</v>
      </c>
      <c r="Y113" s="3"/>
      <c r="Z113" s="8">
        <f t="shared" si="35"/>
        <v>-0.91699999999999993</v>
      </c>
    </row>
    <row r="114" spans="1:26" s="24" customFormat="1" hidden="1" outlineLevel="2" x14ac:dyDescent="0.25">
      <c r="A114" s="27"/>
      <c r="B114" s="12" t="str">
        <f>CONCATENATE("          ", "6342", " - ", "BAD DEBT")</f>
        <v xml:space="preserve">          6342 - BAD DEBT</v>
      </c>
      <c r="C114" s="12"/>
      <c r="D114" s="7"/>
      <c r="E114" s="3"/>
      <c r="F114" s="8">
        <f t="shared" si="28"/>
        <v>0</v>
      </c>
      <c r="G114" s="3"/>
      <c r="H114" s="7">
        <v>50</v>
      </c>
      <c r="I114" s="3"/>
      <c r="J114" s="8">
        <f t="shared" si="29"/>
        <v>1.6556784804845178E-4</v>
      </c>
      <c r="K114" s="3"/>
      <c r="L114" s="7">
        <f t="shared" si="30"/>
        <v>-50</v>
      </c>
      <c r="M114" s="3"/>
      <c r="N114" s="8">
        <f t="shared" si="31"/>
        <v>-1</v>
      </c>
      <c r="O114" s="12"/>
      <c r="P114" s="7"/>
      <c r="Q114" s="3"/>
      <c r="R114" s="8">
        <f t="shared" si="32"/>
        <v>0</v>
      </c>
      <c r="S114" s="3"/>
      <c r="T114" s="7">
        <v>50</v>
      </c>
      <c r="U114" s="3"/>
      <c r="V114" s="8">
        <f t="shared" si="33"/>
        <v>1.6556784804845178E-4</v>
      </c>
      <c r="W114" s="3"/>
      <c r="X114" s="7">
        <f t="shared" si="34"/>
        <v>-50</v>
      </c>
      <c r="Y114" s="3"/>
      <c r="Z114" s="8">
        <f t="shared" si="35"/>
        <v>-1</v>
      </c>
    </row>
    <row r="115" spans="1:26" s="29" customFormat="1" outlineLevel="1" collapsed="1" x14ac:dyDescent="0.25">
      <c r="A115" s="28"/>
      <c r="B115" s="14" t="str">
        <f>CONCATENATE("     ","Bank/card Fees                                    ")</f>
        <v xml:space="preserve">     Bank/card Fees                                    </v>
      </c>
      <c r="C115" s="14"/>
      <c r="D115" s="1">
        <f>SUM(OSRRefD22_4x_0)</f>
        <v>3117.21</v>
      </c>
      <c r="E115" s="1"/>
      <c r="F115" s="5">
        <f t="shared" ref="F115:F119" si="36">IF(D$12=0,0,D115/D$12)</f>
        <v>1.3691956133348124E-2</v>
      </c>
      <c r="G115" s="1"/>
      <c r="H115" s="1">
        <f>SUM(OSRRefH22_4x_0)</f>
        <v>4600</v>
      </c>
      <c r="I115" s="1"/>
      <c r="J115" s="5">
        <f t="shared" ref="J115:J119" si="37">IF(H$12=0,0,H115/H$12)</f>
        <v>1.5232242020457563E-2</v>
      </c>
      <c r="K115" s="1"/>
      <c r="L115" s="1">
        <f t="shared" ref="L115:L119" si="38">+D115-H115</f>
        <v>-1482.79</v>
      </c>
      <c r="M115" s="1"/>
      <c r="N115" s="5">
        <f t="shared" ref="N115:N119" si="39">IF(H115=0,0,L115/H115)</f>
        <v>-0.32234565217391303</v>
      </c>
      <c r="O115" s="14"/>
      <c r="P115" s="1">
        <f>SUM(OSRRefP22_4x_0)</f>
        <v>3117.21</v>
      </c>
      <c r="Q115" s="1"/>
      <c r="R115" s="5">
        <f t="shared" ref="R115:R119" si="40">IF(P$12=0,0,P115/P$12)</f>
        <v>1.3691956133348124E-2</v>
      </c>
      <c r="S115" s="1"/>
      <c r="T115" s="1">
        <f>SUM(OSRRefT22_4x_0)</f>
        <v>4600</v>
      </c>
      <c r="U115" s="1"/>
      <c r="V115" s="5">
        <f t="shared" ref="V115:V119" si="41">IF(T$12=0,0,T115/T$12)</f>
        <v>1.5232242020457563E-2</v>
      </c>
      <c r="W115" s="1"/>
      <c r="X115" s="1">
        <f t="shared" ref="X115:X119" si="42">+P115-T115</f>
        <v>-1482.79</v>
      </c>
      <c r="Y115" s="1"/>
      <c r="Z115" s="5">
        <f t="shared" ref="Z115:Z119" si="43">IF(T115=0,0,X115/T115)</f>
        <v>-0.32234565217391303</v>
      </c>
    </row>
    <row r="116" spans="1:26" s="24" customFormat="1" hidden="1" outlineLevel="2" x14ac:dyDescent="0.25">
      <c r="A116" s="27"/>
      <c r="B116" s="12" t="str">
        <f>CONCATENATE("          ", "6381", " - ", "BANK/CREDIT CARD FEES")</f>
        <v xml:space="preserve">          6381 - BANK/CREDIT CARD FEES</v>
      </c>
      <c r="C116" s="12"/>
      <c r="D116" s="7">
        <v>3117.21</v>
      </c>
      <c r="E116" s="3"/>
      <c r="F116" s="8">
        <f t="shared" si="36"/>
        <v>1.3691956133348124E-2</v>
      </c>
      <c r="G116" s="3"/>
      <c r="H116" s="7">
        <v>4600</v>
      </c>
      <c r="I116" s="3"/>
      <c r="J116" s="8">
        <f t="shared" si="37"/>
        <v>1.5232242020457563E-2</v>
      </c>
      <c r="K116" s="3"/>
      <c r="L116" s="7">
        <f t="shared" si="38"/>
        <v>-1482.79</v>
      </c>
      <c r="M116" s="3"/>
      <c r="N116" s="8">
        <f t="shared" si="39"/>
        <v>-0.32234565217391303</v>
      </c>
      <c r="O116" s="12"/>
      <c r="P116" s="7">
        <v>3117.21</v>
      </c>
      <c r="Q116" s="3"/>
      <c r="R116" s="8">
        <f t="shared" si="40"/>
        <v>1.3691956133348124E-2</v>
      </c>
      <c r="S116" s="3"/>
      <c r="T116" s="7">
        <v>4600</v>
      </c>
      <c r="U116" s="3"/>
      <c r="V116" s="8">
        <f t="shared" si="41"/>
        <v>1.5232242020457563E-2</v>
      </c>
      <c r="W116" s="3"/>
      <c r="X116" s="7">
        <f t="shared" si="42"/>
        <v>-1482.79</v>
      </c>
      <c r="Y116" s="3"/>
      <c r="Z116" s="8">
        <f t="shared" si="43"/>
        <v>-0.32234565217391303</v>
      </c>
    </row>
    <row r="117" spans="1:26" s="29" customFormat="1" outlineLevel="1" collapsed="1" x14ac:dyDescent="0.25">
      <c r="A117" s="28"/>
      <c r="B117" s="14" t="str">
        <f>CONCATENATE("     ","Depreciation                                      ")</f>
        <v xml:space="preserve">     Depreciation                                      </v>
      </c>
      <c r="C117" s="14"/>
      <c r="D117" s="1">
        <f>SUM(OSRRefD22_5x_0)</f>
        <v>30346.86</v>
      </c>
      <c r="E117" s="1"/>
      <c r="F117" s="5">
        <f t="shared" si="36"/>
        <v>0.13329479756091406</v>
      </c>
      <c r="G117" s="1"/>
      <c r="H117" s="1">
        <f>SUM(OSRRefH22_5x_0)</f>
        <v>30630</v>
      </c>
      <c r="I117" s="1"/>
      <c r="J117" s="5">
        <f t="shared" si="37"/>
        <v>0.10142686371448156</v>
      </c>
      <c r="K117" s="1"/>
      <c r="L117" s="1">
        <f t="shared" si="38"/>
        <v>-283.13999999999942</v>
      </c>
      <c r="M117" s="1"/>
      <c r="N117" s="5">
        <f t="shared" si="39"/>
        <v>-9.2438785504407248E-3</v>
      </c>
      <c r="O117" s="14"/>
      <c r="P117" s="1">
        <f>SUM(OSRRefP22_5x_0)</f>
        <v>30346.86</v>
      </c>
      <c r="Q117" s="1"/>
      <c r="R117" s="5">
        <f t="shared" si="40"/>
        <v>0.13329479756091406</v>
      </c>
      <c r="S117" s="1"/>
      <c r="T117" s="1">
        <f>SUM(OSRRefT22_5x_0)</f>
        <v>30630</v>
      </c>
      <c r="U117" s="1"/>
      <c r="V117" s="5">
        <f t="shared" si="41"/>
        <v>0.10142686371448156</v>
      </c>
      <c r="W117" s="1"/>
      <c r="X117" s="1">
        <f t="shared" si="42"/>
        <v>-283.13999999999942</v>
      </c>
      <c r="Y117" s="1"/>
      <c r="Z117" s="5">
        <f t="shared" si="43"/>
        <v>-9.2438785504407248E-3</v>
      </c>
    </row>
    <row r="118" spans="1:26" s="24" customFormat="1" hidden="1" outlineLevel="2" x14ac:dyDescent="0.25">
      <c r="A118" s="27"/>
      <c r="B118" s="12" t="str">
        <f>CONCATENATE("          ", "6321", " - ", "BUILDING DEPRECIATION")</f>
        <v xml:space="preserve">          6321 - BUILDING DEPRECIATION</v>
      </c>
      <c r="C118" s="12"/>
      <c r="D118" s="7">
        <v>16396.52</v>
      </c>
      <c r="E118" s="3"/>
      <c r="F118" s="8">
        <f t="shared" si="36"/>
        <v>7.2019669056484867E-2</v>
      </c>
      <c r="G118" s="3"/>
      <c r="H118" s="7"/>
      <c r="I118" s="3"/>
      <c r="J118" s="8">
        <f t="shared" si="37"/>
        <v>0</v>
      </c>
      <c r="K118" s="3"/>
      <c r="L118" s="7">
        <f t="shared" si="38"/>
        <v>16396.52</v>
      </c>
      <c r="M118" s="3"/>
      <c r="N118" s="8">
        <f t="shared" si="39"/>
        <v>0</v>
      </c>
      <c r="O118" s="12"/>
      <c r="P118" s="7">
        <v>16396.52</v>
      </c>
      <c r="Q118" s="3"/>
      <c r="R118" s="8">
        <f t="shared" si="40"/>
        <v>7.2019669056484867E-2</v>
      </c>
      <c r="S118" s="3"/>
      <c r="T118" s="7"/>
      <c r="U118" s="3"/>
      <c r="V118" s="8">
        <f t="shared" si="41"/>
        <v>0</v>
      </c>
      <c r="W118" s="3"/>
      <c r="X118" s="7">
        <f t="shared" si="42"/>
        <v>16396.52</v>
      </c>
      <c r="Y118" s="3"/>
      <c r="Z118" s="8">
        <f t="shared" si="43"/>
        <v>0</v>
      </c>
    </row>
    <row r="119" spans="1:26" s="24" customFormat="1" hidden="1" outlineLevel="2" x14ac:dyDescent="0.25">
      <c r="A119" s="27"/>
      <c r="B119" s="12" t="str">
        <f>CONCATENATE("          ", "6322", " - ", "EQUIPMENT DEPRECIATION EXPENSE")</f>
        <v xml:space="preserve">          6322 - EQUIPMENT DEPRECIATION EXPENSE</v>
      </c>
      <c r="C119" s="12"/>
      <c r="D119" s="7">
        <v>13950.34</v>
      </c>
      <c r="E119" s="3"/>
      <c r="F119" s="8">
        <f t="shared" si="36"/>
        <v>6.1275128504429177E-2</v>
      </c>
      <c r="G119" s="3"/>
      <c r="H119" s="7">
        <v>30630</v>
      </c>
      <c r="I119" s="3"/>
      <c r="J119" s="8">
        <f t="shared" si="37"/>
        <v>0.10142686371448156</v>
      </c>
      <c r="K119" s="3"/>
      <c r="L119" s="7">
        <f t="shared" si="38"/>
        <v>-16679.66</v>
      </c>
      <c r="M119" s="3"/>
      <c r="N119" s="8">
        <f t="shared" si="39"/>
        <v>-0.54455305256284692</v>
      </c>
      <c r="O119" s="12"/>
      <c r="P119" s="7">
        <v>13950.34</v>
      </c>
      <c r="Q119" s="3"/>
      <c r="R119" s="8">
        <f t="shared" si="40"/>
        <v>6.1275128504429177E-2</v>
      </c>
      <c r="S119" s="3"/>
      <c r="T119" s="7">
        <v>30630</v>
      </c>
      <c r="U119" s="3"/>
      <c r="V119" s="8">
        <f t="shared" si="41"/>
        <v>0.10142686371448156</v>
      </c>
      <c r="W119" s="3"/>
      <c r="X119" s="7">
        <f t="shared" si="42"/>
        <v>-16679.66</v>
      </c>
      <c r="Y119" s="3"/>
      <c r="Z119" s="8">
        <f t="shared" si="43"/>
        <v>-0.54455305256284692</v>
      </c>
    </row>
    <row r="120" spans="1:26" s="29" customFormat="1" outlineLevel="1" collapsed="1" x14ac:dyDescent="0.25">
      <c r="A120" s="28"/>
      <c r="B120" s="14" t="str">
        <f>CONCATENATE("     ","Discounts and Markdowns                           ")</f>
        <v xml:space="preserve">     Discounts and Markdowns                           </v>
      </c>
      <c r="C120" s="14"/>
      <c r="D120" s="1">
        <f>SUM(OSRRefD22_6x_0)</f>
        <v>0</v>
      </c>
      <c r="E120" s="1"/>
      <c r="F120" s="5">
        <f t="shared" ref="F120:F124" si="44">IF(D$12=0,0,D120/D$12)</f>
        <v>0</v>
      </c>
      <c r="G120" s="1"/>
      <c r="H120" s="1">
        <f>SUM(OSRRefH22_6x_0)</f>
        <v>19519</v>
      </c>
      <c r="I120" s="1"/>
      <c r="J120" s="5">
        <f t="shared" ref="J120:J124" si="45">IF(H$12=0,0,H120/H$12)</f>
        <v>6.4634376521154599E-2</v>
      </c>
      <c r="K120" s="1"/>
      <c r="L120" s="1">
        <f t="shared" ref="L120:L124" si="46">+D120-H120</f>
        <v>-19519</v>
      </c>
      <c r="M120" s="1"/>
      <c r="N120" s="5">
        <f t="shared" ref="N120:N124" si="47">IF(H120=0,0,L120/H120)</f>
        <v>-1</v>
      </c>
      <c r="O120" s="14"/>
      <c r="P120" s="1">
        <f>SUM(OSRRefP22_6x_0)</f>
        <v>0</v>
      </c>
      <c r="Q120" s="1"/>
      <c r="R120" s="5">
        <f t="shared" ref="R120:R124" si="48">IF(P$12=0,0,P120/P$12)</f>
        <v>0</v>
      </c>
      <c r="S120" s="1"/>
      <c r="T120" s="1">
        <f>SUM(OSRRefT22_6x_0)</f>
        <v>19519</v>
      </c>
      <c r="U120" s="1"/>
      <c r="V120" s="5">
        <f t="shared" ref="V120:V124" si="49">IF(T$12=0,0,T120/T$12)</f>
        <v>6.4634376521154599E-2</v>
      </c>
      <c r="W120" s="1"/>
      <c r="X120" s="1">
        <f t="shared" ref="X120:X124" si="50">+P120-T120</f>
        <v>-19519</v>
      </c>
      <c r="Y120" s="1"/>
      <c r="Z120" s="5">
        <f t="shared" ref="Z120:Z124" si="51">IF(T120=0,0,X120/T120)</f>
        <v>-1</v>
      </c>
    </row>
    <row r="121" spans="1:26" s="24" customFormat="1" hidden="1" outlineLevel="2" x14ac:dyDescent="0.25">
      <c r="A121" s="27"/>
      <c r="B121" s="12" t="str">
        <f>CONCATENATE("          ", "6382", " - ", "DISCOUNTS/MARK DOWNS")</f>
        <v xml:space="preserve">          6382 - DISCOUNTS/MARK DOWNS</v>
      </c>
      <c r="C121" s="12"/>
      <c r="D121" s="7"/>
      <c r="E121" s="3"/>
      <c r="F121" s="8">
        <f t="shared" si="44"/>
        <v>0</v>
      </c>
      <c r="G121" s="3"/>
      <c r="H121" s="7">
        <v>19519</v>
      </c>
      <c r="I121" s="3"/>
      <c r="J121" s="8">
        <f t="shared" si="45"/>
        <v>6.4634376521154599E-2</v>
      </c>
      <c r="K121" s="3"/>
      <c r="L121" s="7">
        <f t="shared" si="46"/>
        <v>-19519</v>
      </c>
      <c r="M121" s="3"/>
      <c r="N121" s="8">
        <f t="shared" si="47"/>
        <v>-1</v>
      </c>
      <c r="O121" s="12"/>
      <c r="P121" s="7"/>
      <c r="Q121" s="3"/>
      <c r="R121" s="8">
        <f t="shared" si="48"/>
        <v>0</v>
      </c>
      <c r="S121" s="3"/>
      <c r="T121" s="7">
        <v>19519</v>
      </c>
      <c r="U121" s="3"/>
      <c r="V121" s="8">
        <f t="shared" si="49"/>
        <v>6.4634376521154599E-2</v>
      </c>
      <c r="W121" s="3"/>
      <c r="X121" s="7">
        <f t="shared" si="50"/>
        <v>-19519</v>
      </c>
      <c r="Y121" s="3"/>
      <c r="Z121" s="8">
        <f t="shared" si="51"/>
        <v>-1</v>
      </c>
    </row>
    <row r="122" spans="1:26" s="29" customFormat="1" outlineLevel="1" collapsed="1" x14ac:dyDescent="0.25">
      <c r="A122" s="28"/>
      <c r="B122" s="14" t="str">
        <f>CONCATENATE("     ","Donations                                         ")</f>
        <v xml:space="preserve">     Donations                                         </v>
      </c>
      <c r="C122" s="14"/>
      <c r="D122" s="1">
        <f>SUM(OSRRefD22_7x_0)</f>
        <v>0</v>
      </c>
      <c r="E122" s="1"/>
      <c r="F122" s="5">
        <f t="shared" si="44"/>
        <v>0</v>
      </c>
      <c r="G122" s="1"/>
      <c r="H122" s="1">
        <f>SUM(OSRRefH22_7x_0)</f>
        <v>1000</v>
      </c>
      <c r="I122" s="1"/>
      <c r="J122" s="5">
        <f t="shared" si="45"/>
        <v>3.3113569609690354E-3</v>
      </c>
      <c r="K122" s="1"/>
      <c r="L122" s="1">
        <f t="shared" si="46"/>
        <v>-1000</v>
      </c>
      <c r="M122" s="1"/>
      <c r="N122" s="5">
        <f t="shared" si="47"/>
        <v>-1</v>
      </c>
      <c r="O122" s="14"/>
      <c r="P122" s="1">
        <f>SUM(OSRRefP22_7x_0)</f>
        <v>0</v>
      </c>
      <c r="Q122" s="1"/>
      <c r="R122" s="5">
        <f t="shared" si="48"/>
        <v>0</v>
      </c>
      <c r="S122" s="1"/>
      <c r="T122" s="1">
        <f>SUM(OSRRefT22_7x_0)</f>
        <v>1000</v>
      </c>
      <c r="U122" s="1"/>
      <c r="V122" s="5">
        <f t="shared" si="49"/>
        <v>3.3113569609690354E-3</v>
      </c>
      <c r="W122" s="1"/>
      <c r="X122" s="1">
        <f t="shared" si="50"/>
        <v>-1000</v>
      </c>
      <c r="Y122" s="1"/>
      <c r="Z122" s="5">
        <f t="shared" si="51"/>
        <v>-1</v>
      </c>
    </row>
    <row r="123" spans="1:26" s="24" customFormat="1" hidden="1" outlineLevel="2" x14ac:dyDescent="0.25">
      <c r="A123" s="27"/>
      <c r="B123" s="12" t="str">
        <f>CONCATENATE("          ", "6395", " - ", "DONATION-OFF CAMPUS")</f>
        <v xml:space="preserve">          6395 - DONATION-OFF CAMPUS</v>
      </c>
      <c r="C123" s="12"/>
      <c r="D123" s="7"/>
      <c r="E123" s="3"/>
      <c r="F123" s="8">
        <f t="shared" si="44"/>
        <v>0</v>
      </c>
      <c r="G123" s="3"/>
      <c r="H123" s="7">
        <v>0</v>
      </c>
      <c r="I123" s="3"/>
      <c r="J123" s="8">
        <f t="shared" si="45"/>
        <v>0</v>
      </c>
      <c r="K123" s="3"/>
      <c r="L123" s="7">
        <f t="shared" si="46"/>
        <v>0</v>
      </c>
      <c r="M123" s="3"/>
      <c r="N123" s="8">
        <f t="shared" si="47"/>
        <v>0</v>
      </c>
      <c r="O123" s="12"/>
      <c r="P123" s="7"/>
      <c r="Q123" s="3"/>
      <c r="R123" s="8">
        <f t="shared" si="48"/>
        <v>0</v>
      </c>
      <c r="S123" s="3"/>
      <c r="T123" s="7">
        <v>0</v>
      </c>
      <c r="U123" s="3"/>
      <c r="V123" s="8">
        <f t="shared" si="49"/>
        <v>0</v>
      </c>
      <c r="W123" s="3"/>
      <c r="X123" s="7">
        <f t="shared" si="50"/>
        <v>0</v>
      </c>
      <c r="Y123" s="3"/>
      <c r="Z123" s="8">
        <f t="shared" si="51"/>
        <v>0</v>
      </c>
    </row>
    <row r="124" spans="1:26" s="24" customFormat="1" hidden="1" outlineLevel="2" x14ac:dyDescent="0.25">
      <c r="A124" s="27"/>
      <c r="B124" s="12" t="str">
        <f>CONCATENATE("          ", "6399", " - ", "DONATION-ON CAMPUS")</f>
        <v xml:space="preserve">          6399 - DONATION-ON CAMPUS</v>
      </c>
      <c r="C124" s="12"/>
      <c r="D124" s="7"/>
      <c r="E124" s="3"/>
      <c r="F124" s="8">
        <f t="shared" si="44"/>
        <v>0</v>
      </c>
      <c r="G124" s="3"/>
      <c r="H124" s="7">
        <v>1000</v>
      </c>
      <c r="I124" s="3"/>
      <c r="J124" s="8">
        <f t="shared" si="45"/>
        <v>3.3113569609690354E-3</v>
      </c>
      <c r="K124" s="3"/>
      <c r="L124" s="7">
        <f t="shared" si="46"/>
        <v>-1000</v>
      </c>
      <c r="M124" s="3"/>
      <c r="N124" s="8">
        <f t="shared" si="47"/>
        <v>-1</v>
      </c>
      <c r="O124" s="12"/>
      <c r="P124" s="7"/>
      <c r="Q124" s="3"/>
      <c r="R124" s="8">
        <f t="shared" si="48"/>
        <v>0</v>
      </c>
      <c r="S124" s="3"/>
      <c r="T124" s="7">
        <v>1000</v>
      </c>
      <c r="U124" s="3"/>
      <c r="V124" s="8">
        <f t="shared" si="49"/>
        <v>3.3113569609690354E-3</v>
      </c>
      <c r="W124" s="3"/>
      <c r="X124" s="7">
        <f t="shared" si="50"/>
        <v>-1000</v>
      </c>
      <c r="Y124" s="3"/>
      <c r="Z124" s="8">
        <f t="shared" si="51"/>
        <v>-1</v>
      </c>
    </row>
    <row r="125" spans="1:26" s="29" customFormat="1" outlineLevel="1" collapsed="1" x14ac:dyDescent="0.25">
      <c r="A125" s="28"/>
      <c r="B125" s="14" t="str">
        <f>CONCATENATE("     ","Employees' Appreciation                           ")</f>
        <v xml:space="preserve">     Employees' Appreciation                           </v>
      </c>
      <c r="C125" s="14"/>
      <c r="D125" s="1">
        <f>SUM(OSRRefD22_8x_0)</f>
        <v>107.7</v>
      </c>
      <c r="E125" s="1"/>
      <c r="F125" s="5">
        <f t="shared" ref="F125:F131" si="52">IF(D$12=0,0,D125/D$12)</f>
        <v>4.7305881719922398E-4</v>
      </c>
      <c r="G125" s="1"/>
      <c r="H125" s="1">
        <f>SUM(OSRRefH22_8x_0)</f>
        <v>425</v>
      </c>
      <c r="I125" s="1"/>
      <c r="J125" s="5">
        <f t="shared" ref="J125:J131" si="53">IF(H$12=0,0,H125/H$12)</f>
        <v>1.40732670841184E-3</v>
      </c>
      <c r="K125" s="1"/>
      <c r="L125" s="1">
        <f t="shared" ref="L125:L131" si="54">+D125-H125</f>
        <v>-317.3</v>
      </c>
      <c r="M125" s="1"/>
      <c r="N125" s="5">
        <f t="shared" ref="N125:N131" si="55">IF(H125=0,0,L125/H125)</f>
        <v>-0.74658823529411766</v>
      </c>
      <c r="O125" s="14"/>
      <c r="P125" s="1">
        <f>SUM(OSRRefP22_8x_0)</f>
        <v>107.7</v>
      </c>
      <c r="Q125" s="1"/>
      <c r="R125" s="5">
        <f t="shared" ref="R125:R131" si="56">IF(P$12=0,0,P125/P$12)</f>
        <v>4.7305881719922398E-4</v>
      </c>
      <c r="S125" s="1"/>
      <c r="T125" s="1">
        <f>SUM(OSRRefT22_8x_0)</f>
        <v>425</v>
      </c>
      <c r="U125" s="1"/>
      <c r="V125" s="5">
        <f t="shared" ref="V125:V131" si="57">IF(T$12=0,0,T125/T$12)</f>
        <v>1.40732670841184E-3</v>
      </c>
      <c r="W125" s="1"/>
      <c r="X125" s="1">
        <f t="shared" ref="X125:X131" si="58">+P125-T125</f>
        <v>-317.3</v>
      </c>
      <c r="Y125" s="1"/>
      <c r="Z125" s="5">
        <f t="shared" ref="Z125:Z131" si="59">IF(T125=0,0,X125/T125)</f>
        <v>-0.74658823529411766</v>
      </c>
    </row>
    <row r="126" spans="1:26" s="24" customFormat="1" hidden="1" outlineLevel="2" x14ac:dyDescent="0.25">
      <c r="A126" s="27"/>
      <c r="B126" s="12" t="str">
        <f>CONCATENATE("          ", "6277", " - ", "EMPLOYEE APPRECIATION")</f>
        <v xml:space="preserve">          6277 - EMPLOYEE APPRECIATION</v>
      </c>
      <c r="C126" s="12"/>
      <c r="D126" s="7">
        <v>107.7</v>
      </c>
      <c r="E126" s="3"/>
      <c r="F126" s="8">
        <f t="shared" si="52"/>
        <v>4.7305881719922398E-4</v>
      </c>
      <c r="G126" s="3"/>
      <c r="H126" s="7">
        <v>425</v>
      </c>
      <c r="I126" s="3"/>
      <c r="J126" s="8">
        <f t="shared" si="53"/>
        <v>1.40732670841184E-3</v>
      </c>
      <c r="K126" s="3"/>
      <c r="L126" s="7">
        <f t="shared" si="54"/>
        <v>-317.3</v>
      </c>
      <c r="M126" s="3"/>
      <c r="N126" s="8">
        <f t="shared" si="55"/>
        <v>-0.74658823529411766</v>
      </c>
      <c r="O126" s="12"/>
      <c r="P126" s="7">
        <v>107.7</v>
      </c>
      <c r="Q126" s="3"/>
      <c r="R126" s="8">
        <f t="shared" si="56"/>
        <v>4.7305881719922398E-4</v>
      </c>
      <c r="S126" s="3"/>
      <c r="T126" s="7">
        <v>425</v>
      </c>
      <c r="U126" s="3"/>
      <c r="V126" s="8">
        <f t="shared" si="57"/>
        <v>1.40732670841184E-3</v>
      </c>
      <c r="W126" s="3"/>
      <c r="X126" s="7">
        <f t="shared" si="58"/>
        <v>-317.3</v>
      </c>
      <c r="Y126" s="3"/>
      <c r="Z126" s="8">
        <f t="shared" si="59"/>
        <v>-0.74658823529411766</v>
      </c>
    </row>
    <row r="127" spans="1:26" s="29" customFormat="1" outlineLevel="1" collapsed="1" x14ac:dyDescent="0.25">
      <c r="A127" s="28"/>
      <c r="B127" s="14" t="str">
        <f>CONCATENATE("     ","Equipment Rental                                  ")</f>
        <v xml:space="preserve">     Equipment Rental                                  </v>
      </c>
      <c r="C127" s="14"/>
      <c r="D127" s="1">
        <f>SUM(OSRRefD22_9x_0)</f>
        <v>1388.16</v>
      </c>
      <c r="E127" s="1"/>
      <c r="F127" s="5">
        <f t="shared" si="52"/>
        <v>6.0973196627973521E-3</v>
      </c>
      <c r="G127" s="1"/>
      <c r="H127" s="1">
        <f>SUM(OSRRefH22_9x_0)</f>
        <v>3006</v>
      </c>
      <c r="I127" s="1"/>
      <c r="J127" s="5">
        <f t="shared" si="53"/>
        <v>9.9539390246729201E-3</v>
      </c>
      <c r="K127" s="1"/>
      <c r="L127" s="1">
        <f t="shared" si="54"/>
        <v>-1617.84</v>
      </c>
      <c r="M127" s="1"/>
      <c r="N127" s="5">
        <f t="shared" si="55"/>
        <v>-0.53820359281437125</v>
      </c>
      <c r="O127" s="14"/>
      <c r="P127" s="1">
        <f>SUM(OSRRefP22_9x_0)</f>
        <v>1388.16</v>
      </c>
      <c r="Q127" s="1"/>
      <c r="R127" s="5">
        <f t="shared" si="56"/>
        <v>6.0973196627973521E-3</v>
      </c>
      <c r="S127" s="1"/>
      <c r="T127" s="1">
        <f>SUM(OSRRefT22_9x_0)</f>
        <v>3006</v>
      </c>
      <c r="U127" s="1"/>
      <c r="V127" s="5">
        <f t="shared" si="57"/>
        <v>9.9539390246729201E-3</v>
      </c>
      <c r="W127" s="1"/>
      <c r="X127" s="1">
        <f t="shared" si="58"/>
        <v>-1617.84</v>
      </c>
      <c r="Y127" s="1"/>
      <c r="Z127" s="5">
        <f t="shared" si="59"/>
        <v>-0.53820359281437125</v>
      </c>
    </row>
    <row r="128" spans="1:26" s="24" customFormat="1" hidden="1" outlineLevel="2" x14ac:dyDescent="0.25">
      <c r="A128" s="27"/>
      <c r="B128" s="12" t="str">
        <f>CONCATENATE("          ", "6351", " - ", "EQUIPMENT RENTAL")</f>
        <v xml:space="preserve">          6351 - EQUIPMENT RENTAL</v>
      </c>
      <c r="C128" s="12"/>
      <c r="D128" s="7">
        <v>1388.16</v>
      </c>
      <c r="E128" s="3"/>
      <c r="F128" s="8">
        <f t="shared" si="52"/>
        <v>6.0973196627973521E-3</v>
      </c>
      <c r="G128" s="3"/>
      <c r="H128" s="7">
        <v>3006</v>
      </c>
      <c r="I128" s="3"/>
      <c r="J128" s="8">
        <f t="shared" si="53"/>
        <v>9.9539390246729201E-3</v>
      </c>
      <c r="K128" s="3"/>
      <c r="L128" s="7">
        <f t="shared" si="54"/>
        <v>-1617.84</v>
      </c>
      <c r="M128" s="3"/>
      <c r="N128" s="8">
        <f t="shared" si="55"/>
        <v>-0.53820359281437125</v>
      </c>
      <c r="O128" s="12"/>
      <c r="P128" s="7">
        <v>1388.16</v>
      </c>
      <c r="Q128" s="3"/>
      <c r="R128" s="8">
        <f t="shared" si="56"/>
        <v>6.0973196627973521E-3</v>
      </c>
      <c r="S128" s="3"/>
      <c r="T128" s="7">
        <v>3006</v>
      </c>
      <c r="U128" s="3"/>
      <c r="V128" s="8">
        <f t="shared" si="57"/>
        <v>9.9539390246729201E-3</v>
      </c>
      <c r="W128" s="3"/>
      <c r="X128" s="7">
        <f t="shared" si="58"/>
        <v>-1617.84</v>
      </c>
      <c r="Y128" s="3"/>
      <c r="Z128" s="8">
        <f t="shared" si="59"/>
        <v>-0.53820359281437125</v>
      </c>
    </row>
    <row r="129" spans="1:26" s="29" customFormat="1" outlineLevel="1" collapsed="1" x14ac:dyDescent="0.25">
      <c r="A129" s="28"/>
      <c r="B129" s="14" t="str">
        <f>CONCATENATE("     ","Freight out/Postage                               ")</f>
        <v xml:space="preserve">     Freight out/Postage                               </v>
      </c>
      <c r="C129" s="14"/>
      <c r="D129" s="1">
        <f>SUM(OSRRefD22_10x_0)</f>
        <v>8928.65</v>
      </c>
      <c r="E129" s="1"/>
      <c r="F129" s="5">
        <f t="shared" si="52"/>
        <v>3.9217981505903908E-2</v>
      </c>
      <c r="G129" s="1"/>
      <c r="H129" s="1">
        <f>SUM(OSRRefH22_10x_0)</f>
        <v>5020</v>
      </c>
      <c r="I129" s="1"/>
      <c r="J129" s="5">
        <f t="shared" si="53"/>
        <v>1.6623011944064559E-2</v>
      </c>
      <c r="K129" s="1"/>
      <c r="L129" s="1">
        <f t="shared" si="54"/>
        <v>3908.6499999999996</v>
      </c>
      <c r="M129" s="1"/>
      <c r="N129" s="5">
        <f t="shared" si="55"/>
        <v>0.77861553784860549</v>
      </c>
      <c r="O129" s="14"/>
      <c r="P129" s="1">
        <f>SUM(OSRRefP22_10x_0)</f>
        <v>8928.65</v>
      </c>
      <c r="Q129" s="1"/>
      <c r="R129" s="5">
        <f t="shared" si="56"/>
        <v>3.9217981505903908E-2</v>
      </c>
      <c r="S129" s="1"/>
      <c r="T129" s="1">
        <f>SUM(OSRRefT22_10x_0)</f>
        <v>5020</v>
      </c>
      <c r="U129" s="1"/>
      <c r="V129" s="5">
        <f t="shared" si="57"/>
        <v>1.6623011944064559E-2</v>
      </c>
      <c r="W129" s="1"/>
      <c r="X129" s="1">
        <f t="shared" si="58"/>
        <v>3908.6499999999996</v>
      </c>
      <c r="Y129" s="1"/>
      <c r="Z129" s="5">
        <f t="shared" si="59"/>
        <v>0.77861553784860549</v>
      </c>
    </row>
    <row r="130" spans="1:26" s="24" customFormat="1" hidden="1" outlineLevel="2" x14ac:dyDescent="0.25">
      <c r="A130" s="27"/>
      <c r="B130" s="12" t="str">
        <f>CONCATENATE("          ", "6305", " - ", "FREIGHT OUT")</f>
        <v xml:space="preserve">          6305 - FREIGHT OUT</v>
      </c>
      <c r="C130" s="12"/>
      <c r="D130" s="7">
        <v>12089.09</v>
      </c>
      <c r="E130" s="3"/>
      <c r="F130" s="8">
        <f t="shared" si="52"/>
        <v>5.309982002242309E-2</v>
      </c>
      <c r="G130" s="3"/>
      <c r="H130" s="7">
        <v>1500</v>
      </c>
      <c r="I130" s="3"/>
      <c r="J130" s="8">
        <f t="shared" si="53"/>
        <v>4.9670354414535533E-3</v>
      </c>
      <c r="K130" s="3"/>
      <c r="L130" s="7">
        <f t="shared" si="54"/>
        <v>10589.09</v>
      </c>
      <c r="M130" s="3"/>
      <c r="N130" s="8">
        <f t="shared" si="55"/>
        <v>7.0593933333333334</v>
      </c>
      <c r="O130" s="12"/>
      <c r="P130" s="7">
        <v>12089.09</v>
      </c>
      <c r="Q130" s="3"/>
      <c r="R130" s="8">
        <f t="shared" si="56"/>
        <v>5.309982002242309E-2</v>
      </c>
      <c r="S130" s="3"/>
      <c r="T130" s="7">
        <v>1500</v>
      </c>
      <c r="U130" s="3"/>
      <c r="V130" s="8">
        <f t="shared" si="57"/>
        <v>4.9670354414535533E-3</v>
      </c>
      <c r="W130" s="3"/>
      <c r="X130" s="7">
        <f t="shared" si="58"/>
        <v>10589.09</v>
      </c>
      <c r="Y130" s="3"/>
      <c r="Z130" s="8">
        <f t="shared" si="59"/>
        <v>7.0593933333333334</v>
      </c>
    </row>
    <row r="131" spans="1:26" s="24" customFormat="1" hidden="1" outlineLevel="2" x14ac:dyDescent="0.25">
      <c r="A131" s="27"/>
      <c r="B131" s="12" t="str">
        <f>CONCATENATE("          ", "6307", " - ", "POSTAGE")</f>
        <v xml:space="preserve">          6307 - POSTAGE</v>
      </c>
      <c r="C131" s="12"/>
      <c r="D131" s="7">
        <v>-3160.44</v>
      </c>
      <c r="E131" s="3"/>
      <c r="F131" s="8">
        <f t="shared" si="52"/>
        <v>-1.3881838516519179E-2</v>
      </c>
      <c r="G131" s="3"/>
      <c r="H131" s="7">
        <v>3520</v>
      </c>
      <c r="I131" s="3"/>
      <c r="J131" s="8">
        <f t="shared" si="53"/>
        <v>1.1655976502611005E-2</v>
      </c>
      <c r="K131" s="3"/>
      <c r="L131" s="7">
        <f t="shared" si="54"/>
        <v>-6680.4400000000005</v>
      </c>
      <c r="M131" s="3"/>
      <c r="N131" s="8">
        <f t="shared" si="55"/>
        <v>-1.8978522727272729</v>
      </c>
      <c r="O131" s="12"/>
      <c r="P131" s="7">
        <v>-3160.44</v>
      </c>
      <c r="Q131" s="3"/>
      <c r="R131" s="8">
        <f t="shared" si="56"/>
        <v>-1.3881838516519179E-2</v>
      </c>
      <c r="S131" s="3"/>
      <c r="T131" s="7">
        <v>3520</v>
      </c>
      <c r="U131" s="3"/>
      <c r="V131" s="8">
        <f t="shared" si="57"/>
        <v>1.1655976502611005E-2</v>
      </c>
      <c r="W131" s="3"/>
      <c r="X131" s="7">
        <f t="shared" si="58"/>
        <v>-6680.4400000000005</v>
      </c>
      <c r="Y131" s="3"/>
      <c r="Z131" s="8">
        <f t="shared" si="59"/>
        <v>-1.8978522727272729</v>
      </c>
    </row>
    <row r="132" spans="1:26" s="29" customFormat="1" outlineLevel="1" collapsed="1" x14ac:dyDescent="0.25">
      <c r="A132" s="28"/>
      <c r="B132" s="14" t="str">
        <f>CONCATENATE("     ","General                                           ")</f>
        <v xml:space="preserve">     General                                           </v>
      </c>
      <c r="C132" s="14"/>
      <c r="D132" s="1">
        <f>SUM(OSRRefD22_11x_0)</f>
        <v>-3320.09</v>
      </c>
      <c r="E132" s="1"/>
      <c r="F132" s="5">
        <f t="shared" ref="F132:F134" si="60">IF(D$12=0,0,D132/D$12)</f>
        <v>-1.4583081229294073E-2</v>
      </c>
      <c r="G132" s="1"/>
      <c r="H132" s="1">
        <f>SUM(OSRRefH22_11x_0)</f>
        <v>1650</v>
      </c>
      <c r="I132" s="1"/>
      <c r="J132" s="5">
        <f t="shared" ref="J132:J134" si="61">IF(H$12=0,0,H132/H$12)</f>
        <v>5.4637389855989081E-3</v>
      </c>
      <c r="K132" s="1"/>
      <c r="L132" s="1">
        <f t="shared" ref="L132:L134" si="62">+D132-H132</f>
        <v>-4970.09</v>
      </c>
      <c r="M132" s="1"/>
      <c r="N132" s="5">
        <f t="shared" ref="N132:N134" si="63">IF(H132=0,0,L132/H132)</f>
        <v>-3.0121757575757577</v>
      </c>
      <c r="O132" s="14"/>
      <c r="P132" s="1">
        <f>SUM(OSRRefP22_11x_0)</f>
        <v>-3320.09</v>
      </c>
      <c r="Q132" s="1"/>
      <c r="R132" s="5">
        <f t="shared" ref="R132:R134" si="64">IF(P$12=0,0,P132/P$12)</f>
        <v>-1.4583081229294073E-2</v>
      </c>
      <c r="S132" s="1"/>
      <c r="T132" s="1">
        <f>SUM(OSRRefT22_11x_0)</f>
        <v>1650</v>
      </c>
      <c r="U132" s="1"/>
      <c r="V132" s="5">
        <f t="shared" ref="V132:V134" si="65">IF(T$12=0,0,T132/T$12)</f>
        <v>5.4637389855989081E-3</v>
      </c>
      <c r="W132" s="1"/>
      <c r="X132" s="1">
        <f t="shared" ref="X132:X134" si="66">+P132-T132</f>
        <v>-4970.09</v>
      </c>
      <c r="Y132" s="1"/>
      <c r="Z132" s="5">
        <f t="shared" ref="Z132:Z134" si="67">IF(T132=0,0,X132/T132)</f>
        <v>-3.0121757575757577</v>
      </c>
    </row>
    <row r="133" spans="1:26" s="24" customFormat="1" hidden="1" outlineLevel="2" x14ac:dyDescent="0.25">
      <c r="A133" s="27"/>
      <c r="B133" s="12" t="str">
        <f>CONCATENATE("          ", "6276", " - ", "PROPERTY TAX")</f>
        <v xml:space="preserve">          6276 - PROPERTY TAX</v>
      </c>
      <c r="C133" s="12"/>
      <c r="D133" s="7"/>
      <c r="E133" s="3"/>
      <c r="F133" s="8">
        <f t="shared" si="60"/>
        <v>0</v>
      </c>
      <c r="G133" s="3"/>
      <c r="H133" s="7">
        <v>150</v>
      </c>
      <c r="I133" s="3"/>
      <c r="J133" s="8">
        <f t="shared" si="61"/>
        <v>4.9670354414535533E-4</v>
      </c>
      <c r="K133" s="3"/>
      <c r="L133" s="7">
        <f t="shared" si="62"/>
        <v>-150</v>
      </c>
      <c r="M133" s="3"/>
      <c r="N133" s="8">
        <f t="shared" si="63"/>
        <v>-1</v>
      </c>
      <c r="O133" s="12"/>
      <c r="P133" s="7"/>
      <c r="Q133" s="3"/>
      <c r="R133" s="8">
        <f t="shared" si="64"/>
        <v>0</v>
      </c>
      <c r="S133" s="3"/>
      <c r="T133" s="7">
        <v>150</v>
      </c>
      <c r="U133" s="3"/>
      <c r="V133" s="8">
        <f t="shared" si="65"/>
        <v>4.9670354414535533E-4</v>
      </c>
      <c r="W133" s="3"/>
      <c r="X133" s="7">
        <f t="shared" si="66"/>
        <v>-150</v>
      </c>
      <c r="Y133" s="3"/>
      <c r="Z133" s="8">
        <f t="shared" si="67"/>
        <v>-1</v>
      </c>
    </row>
    <row r="134" spans="1:26" s="24" customFormat="1" hidden="1" outlineLevel="2" x14ac:dyDescent="0.25">
      <c r="A134" s="27"/>
      <c r="B134" s="12" t="str">
        <f>CONCATENATE("          ", "6279", " - ", "GENERAL EXPENSE")</f>
        <v xml:space="preserve">          6279 - GENERAL EXPENSE</v>
      </c>
      <c r="C134" s="12"/>
      <c r="D134" s="7">
        <v>-3320.09</v>
      </c>
      <c r="E134" s="3"/>
      <c r="F134" s="8">
        <f t="shared" si="60"/>
        <v>-1.4583081229294073E-2</v>
      </c>
      <c r="G134" s="3"/>
      <c r="H134" s="7">
        <v>1500</v>
      </c>
      <c r="I134" s="3"/>
      <c r="J134" s="8">
        <f t="shared" si="61"/>
        <v>4.9670354414535533E-3</v>
      </c>
      <c r="K134" s="3"/>
      <c r="L134" s="7">
        <f t="shared" si="62"/>
        <v>-4820.09</v>
      </c>
      <c r="M134" s="3"/>
      <c r="N134" s="8">
        <f t="shared" si="63"/>
        <v>-3.2133933333333333</v>
      </c>
      <c r="O134" s="12"/>
      <c r="P134" s="7">
        <v>-3320.09</v>
      </c>
      <c r="Q134" s="3"/>
      <c r="R134" s="8">
        <f t="shared" si="64"/>
        <v>-1.4583081229294073E-2</v>
      </c>
      <c r="S134" s="3"/>
      <c r="T134" s="7">
        <v>1500</v>
      </c>
      <c r="U134" s="3"/>
      <c r="V134" s="8">
        <f t="shared" si="65"/>
        <v>4.9670354414535533E-3</v>
      </c>
      <c r="W134" s="3"/>
      <c r="X134" s="7">
        <f t="shared" si="66"/>
        <v>-4820.09</v>
      </c>
      <c r="Y134" s="3"/>
      <c r="Z134" s="8">
        <f t="shared" si="67"/>
        <v>-3.2133933333333333</v>
      </c>
    </row>
    <row r="135" spans="1:26" s="29" customFormat="1" outlineLevel="1" collapsed="1" x14ac:dyDescent="0.25">
      <c r="A135" s="28"/>
      <c r="B135" s="14" t="str">
        <f>CONCATENATE("     ","Insurance                                         ")</f>
        <v xml:space="preserve">     Insurance                                         </v>
      </c>
      <c r="C135" s="14"/>
      <c r="D135" s="1">
        <f>SUM(OSRRefD22_12x_0)</f>
        <v>4044.74</v>
      </c>
      <c r="E135" s="1"/>
      <c r="F135" s="5">
        <f t="shared" ref="F135:F146" si="68">IF(D$12=0,0,D135/D$12)</f>
        <v>1.7766015972872695E-2</v>
      </c>
      <c r="G135" s="1"/>
      <c r="H135" s="1">
        <f>SUM(OSRRefH22_12x_0)</f>
        <v>4446</v>
      </c>
      <c r="I135" s="1"/>
      <c r="J135" s="5">
        <f t="shared" ref="J135:J146" si="69">IF(H$12=0,0,H135/H$12)</f>
        <v>1.4722293048468333E-2</v>
      </c>
      <c r="K135" s="1"/>
      <c r="L135" s="1">
        <f t="shared" ref="L135:L146" si="70">+D135-H135</f>
        <v>-401.26000000000022</v>
      </c>
      <c r="M135" s="1"/>
      <c r="N135" s="5">
        <f t="shared" ref="N135:N146" si="71">IF(H135=0,0,L135/H135)</f>
        <v>-9.0251911830859247E-2</v>
      </c>
      <c r="O135" s="14"/>
      <c r="P135" s="1">
        <f>SUM(OSRRefP22_12x_0)</f>
        <v>4044.74</v>
      </c>
      <c r="Q135" s="1"/>
      <c r="R135" s="5">
        <f t="shared" ref="R135:R146" si="72">IF(P$12=0,0,P135/P$12)</f>
        <v>1.7766015972872695E-2</v>
      </c>
      <c r="S135" s="1"/>
      <c r="T135" s="1">
        <f>SUM(OSRRefT22_12x_0)</f>
        <v>4446</v>
      </c>
      <c r="U135" s="1"/>
      <c r="V135" s="5">
        <f t="shared" ref="V135:V146" si="73">IF(T$12=0,0,T135/T$12)</f>
        <v>1.4722293048468333E-2</v>
      </c>
      <c r="W135" s="1"/>
      <c r="X135" s="1">
        <f t="shared" ref="X135:X146" si="74">+P135-T135</f>
        <v>-401.26000000000022</v>
      </c>
      <c r="Y135" s="1"/>
      <c r="Z135" s="5">
        <f t="shared" ref="Z135:Z146" si="75">IF(T135=0,0,X135/T135)</f>
        <v>-9.0251911830859247E-2</v>
      </c>
    </row>
    <row r="136" spans="1:26" s="24" customFormat="1" hidden="1" outlineLevel="2" x14ac:dyDescent="0.25">
      <c r="A136" s="27"/>
      <c r="B136" s="12" t="str">
        <f>CONCATENATE("          ", "6314", " - ", "LIABILITY INSURANCE")</f>
        <v xml:space="preserve">          6314 - LIABILITY INSURANCE</v>
      </c>
      <c r="C136" s="12"/>
      <c r="D136" s="7">
        <v>4044.74</v>
      </c>
      <c r="E136" s="3"/>
      <c r="F136" s="8">
        <f t="shared" si="68"/>
        <v>1.7766015972872695E-2</v>
      </c>
      <c r="G136" s="3"/>
      <c r="H136" s="7">
        <v>4446</v>
      </c>
      <c r="I136" s="3"/>
      <c r="J136" s="8">
        <f t="shared" si="69"/>
        <v>1.4722293048468333E-2</v>
      </c>
      <c r="K136" s="3"/>
      <c r="L136" s="7">
        <f t="shared" si="70"/>
        <v>-401.26000000000022</v>
      </c>
      <c r="M136" s="3"/>
      <c r="N136" s="8">
        <f t="shared" si="71"/>
        <v>-9.0251911830859247E-2</v>
      </c>
      <c r="O136" s="12"/>
      <c r="P136" s="7">
        <v>4044.74</v>
      </c>
      <c r="Q136" s="3"/>
      <c r="R136" s="8">
        <f t="shared" si="72"/>
        <v>1.7766015972872695E-2</v>
      </c>
      <c r="S136" s="3"/>
      <c r="T136" s="7">
        <v>4446</v>
      </c>
      <c r="U136" s="3"/>
      <c r="V136" s="8">
        <f t="shared" si="73"/>
        <v>1.4722293048468333E-2</v>
      </c>
      <c r="W136" s="3"/>
      <c r="X136" s="7">
        <f t="shared" si="74"/>
        <v>-401.26000000000022</v>
      </c>
      <c r="Y136" s="3"/>
      <c r="Z136" s="8">
        <f t="shared" si="75"/>
        <v>-9.0251911830859247E-2</v>
      </c>
    </row>
    <row r="137" spans="1:26" s="29" customFormat="1" outlineLevel="1" collapsed="1" x14ac:dyDescent="0.25">
      <c r="A137" s="28"/>
      <c r="B137" s="14" t="str">
        <f>CONCATENATE("     ","Inventory Adjustment                              ")</f>
        <v xml:space="preserve">     Inventory Adjustment                              </v>
      </c>
      <c r="C137" s="14"/>
      <c r="D137" s="1">
        <f>SUM(OSRRefD22_13x_0)</f>
        <v>2100</v>
      </c>
      <c r="E137" s="1"/>
      <c r="F137" s="5">
        <f t="shared" si="68"/>
        <v>9.2239880790935033E-3</v>
      </c>
      <c r="G137" s="1"/>
      <c r="H137" s="1">
        <f>SUM(OSRRefH22_13x_0)</f>
        <v>3100</v>
      </c>
      <c r="I137" s="1"/>
      <c r="J137" s="5">
        <f t="shared" si="69"/>
        <v>1.026520657900401E-2</v>
      </c>
      <c r="K137" s="1"/>
      <c r="L137" s="1">
        <f t="shared" si="70"/>
        <v>-1000</v>
      </c>
      <c r="M137" s="1"/>
      <c r="N137" s="5">
        <f t="shared" si="71"/>
        <v>-0.32258064516129031</v>
      </c>
      <c r="O137" s="14"/>
      <c r="P137" s="1">
        <f>SUM(OSRRefP22_13x_0)</f>
        <v>2100</v>
      </c>
      <c r="Q137" s="1"/>
      <c r="R137" s="5">
        <f t="shared" si="72"/>
        <v>9.2239880790935033E-3</v>
      </c>
      <c r="S137" s="1"/>
      <c r="T137" s="1">
        <f>SUM(OSRRefT22_13x_0)</f>
        <v>3100</v>
      </c>
      <c r="U137" s="1"/>
      <c r="V137" s="5">
        <f t="shared" si="73"/>
        <v>1.026520657900401E-2</v>
      </c>
      <c r="W137" s="1"/>
      <c r="X137" s="1">
        <f t="shared" si="74"/>
        <v>-1000</v>
      </c>
      <c r="Y137" s="1"/>
      <c r="Z137" s="5">
        <f t="shared" si="75"/>
        <v>-0.32258064516129031</v>
      </c>
    </row>
    <row r="138" spans="1:26" s="24" customFormat="1" hidden="1" outlineLevel="2" x14ac:dyDescent="0.25">
      <c r="A138" s="27"/>
      <c r="B138" s="12" t="str">
        <f>CONCATENATE("          ", "6408", " - ", "INVENTORY ADJUSTMENT")</f>
        <v xml:space="preserve">          6408 - INVENTORY ADJUSTMENT</v>
      </c>
      <c r="C138" s="12"/>
      <c r="D138" s="7">
        <v>2100</v>
      </c>
      <c r="E138" s="3"/>
      <c r="F138" s="8">
        <f t="shared" si="68"/>
        <v>9.2239880790935033E-3</v>
      </c>
      <c r="G138" s="3"/>
      <c r="H138" s="7">
        <v>3100</v>
      </c>
      <c r="I138" s="3"/>
      <c r="J138" s="8">
        <f t="shared" si="69"/>
        <v>1.026520657900401E-2</v>
      </c>
      <c r="K138" s="3"/>
      <c r="L138" s="7">
        <f t="shared" si="70"/>
        <v>-1000</v>
      </c>
      <c r="M138" s="3"/>
      <c r="N138" s="8">
        <f t="shared" si="71"/>
        <v>-0.32258064516129031</v>
      </c>
      <c r="O138" s="12"/>
      <c r="P138" s="7">
        <v>2100</v>
      </c>
      <c r="Q138" s="3"/>
      <c r="R138" s="8">
        <f t="shared" si="72"/>
        <v>9.2239880790935033E-3</v>
      </c>
      <c r="S138" s="3"/>
      <c r="T138" s="7">
        <v>3100</v>
      </c>
      <c r="U138" s="3"/>
      <c r="V138" s="8">
        <f t="shared" si="73"/>
        <v>1.026520657900401E-2</v>
      </c>
      <c r="W138" s="3"/>
      <c r="X138" s="7">
        <f t="shared" si="74"/>
        <v>-1000</v>
      </c>
      <c r="Y138" s="3"/>
      <c r="Z138" s="8">
        <f t="shared" si="75"/>
        <v>-0.32258064516129031</v>
      </c>
    </row>
    <row r="139" spans="1:26" s="29" customFormat="1" outlineLevel="1" collapsed="1" x14ac:dyDescent="0.25">
      <c r="A139" s="28"/>
      <c r="B139" s="14" t="str">
        <f>CONCATENATE("     ","Professional Services                             ")</f>
        <v xml:space="preserve">     Professional Services                             </v>
      </c>
      <c r="C139" s="14"/>
      <c r="D139" s="1">
        <f>SUM(OSRRefD22_14x_0)</f>
        <v>0</v>
      </c>
      <c r="E139" s="1"/>
      <c r="F139" s="5">
        <f t="shared" si="68"/>
        <v>0</v>
      </c>
      <c r="G139" s="1"/>
      <c r="H139" s="1">
        <f>SUM(OSRRefH22_14x_0)</f>
        <v>6550</v>
      </c>
      <c r="I139" s="1"/>
      <c r="J139" s="5">
        <f t="shared" si="69"/>
        <v>2.1689388094347183E-2</v>
      </c>
      <c r="K139" s="1"/>
      <c r="L139" s="1">
        <f t="shared" si="70"/>
        <v>-6550</v>
      </c>
      <c r="M139" s="1"/>
      <c r="N139" s="5">
        <f t="shared" si="71"/>
        <v>-1</v>
      </c>
      <c r="O139" s="14"/>
      <c r="P139" s="1">
        <f>SUM(OSRRefP22_14x_0)</f>
        <v>0</v>
      </c>
      <c r="Q139" s="1"/>
      <c r="R139" s="5">
        <f t="shared" si="72"/>
        <v>0</v>
      </c>
      <c r="S139" s="1"/>
      <c r="T139" s="1">
        <f>SUM(OSRRefT22_14x_0)</f>
        <v>6550</v>
      </c>
      <c r="U139" s="1"/>
      <c r="V139" s="5">
        <f t="shared" si="73"/>
        <v>2.1689388094347183E-2</v>
      </c>
      <c r="W139" s="1"/>
      <c r="X139" s="1">
        <f t="shared" si="74"/>
        <v>-6550</v>
      </c>
      <c r="Y139" s="1"/>
      <c r="Z139" s="5">
        <f t="shared" si="75"/>
        <v>-1</v>
      </c>
    </row>
    <row r="140" spans="1:26" s="24" customFormat="1" hidden="1" outlineLevel="2" x14ac:dyDescent="0.25">
      <c r="A140" s="27"/>
      <c r="B140" s="12" t="str">
        <f>CONCATENATE("          ", "6336", " - ", "PROFESSIONAL SERVICES")</f>
        <v xml:space="preserve">          6336 - PROFESSIONAL SERVICES</v>
      </c>
      <c r="C140" s="12"/>
      <c r="D140" s="7"/>
      <c r="E140" s="3"/>
      <c r="F140" s="8">
        <f t="shared" si="68"/>
        <v>0</v>
      </c>
      <c r="G140" s="3"/>
      <c r="H140" s="7">
        <v>6550</v>
      </c>
      <c r="I140" s="3"/>
      <c r="J140" s="8">
        <f t="shared" si="69"/>
        <v>2.1689388094347183E-2</v>
      </c>
      <c r="K140" s="3"/>
      <c r="L140" s="7">
        <f t="shared" si="70"/>
        <v>-6550</v>
      </c>
      <c r="M140" s="3"/>
      <c r="N140" s="8">
        <f t="shared" si="71"/>
        <v>-1</v>
      </c>
      <c r="O140" s="12"/>
      <c r="P140" s="7"/>
      <c r="Q140" s="3"/>
      <c r="R140" s="8">
        <f t="shared" si="72"/>
        <v>0</v>
      </c>
      <c r="S140" s="3"/>
      <c r="T140" s="7">
        <v>6550</v>
      </c>
      <c r="U140" s="3"/>
      <c r="V140" s="8">
        <f t="shared" si="73"/>
        <v>2.1689388094347183E-2</v>
      </c>
      <c r="W140" s="3"/>
      <c r="X140" s="7">
        <f t="shared" si="74"/>
        <v>-6550</v>
      </c>
      <c r="Y140" s="3"/>
      <c r="Z140" s="8">
        <f t="shared" si="75"/>
        <v>-1</v>
      </c>
    </row>
    <row r="141" spans="1:26" s="29" customFormat="1" outlineLevel="1" collapsed="1" x14ac:dyDescent="0.25">
      <c r="A141" s="28"/>
      <c r="B141" s="14" t="str">
        <f>CONCATENATE("     ","Rent                                              ")</f>
        <v xml:space="preserve">     Rent                                              </v>
      </c>
      <c r="C141" s="14"/>
      <c r="D141" s="1">
        <f>SUM(OSRRefD22_15x_0)</f>
        <v>6100</v>
      </c>
      <c r="E141" s="1"/>
      <c r="F141" s="5">
        <f t="shared" si="68"/>
        <v>2.679348918212875E-2</v>
      </c>
      <c r="G141" s="1"/>
      <c r="H141" s="1">
        <f>SUM(OSRRefH22_15x_0)</f>
        <v>6100</v>
      </c>
      <c r="I141" s="1"/>
      <c r="J141" s="5">
        <f t="shared" si="69"/>
        <v>2.0199277461911115E-2</v>
      </c>
      <c r="K141" s="1"/>
      <c r="L141" s="1">
        <f t="shared" si="70"/>
        <v>0</v>
      </c>
      <c r="M141" s="1"/>
      <c r="N141" s="5">
        <f t="shared" si="71"/>
        <v>0</v>
      </c>
      <c r="O141" s="14"/>
      <c r="P141" s="1">
        <f>SUM(OSRRefP22_15x_0)</f>
        <v>6100</v>
      </c>
      <c r="Q141" s="1"/>
      <c r="R141" s="5">
        <f t="shared" si="72"/>
        <v>2.679348918212875E-2</v>
      </c>
      <c r="S141" s="1"/>
      <c r="T141" s="1">
        <f>SUM(OSRRefT22_15x_0)</f>
        <v>6100</v>
      </c>
      <c r="U141" s="1"/>
      <c r="V141" s="5">
        <f t="shared" si="73"/>
        <v>2.0199277461911115E-2</v>
      </c>
      <c r="W141" s="1"/>
      <c r="X141" s="1">
        <f t="shared" si="74"/>
        <v>0</v>
      </c>
      <c r="Y141" s="1"/>
      <c r="Z141" s="5">
        <f t="shared" si="75"/>
        <v>0</v>
      </c>
    </row>
    <row r="142" spans="1:26" s="24" customFormat="1" hidden="1" outlineLevel="2" x14ac:dyDescent="0.25">
      <c r="A142" s="27"/>
      <c r="B142" s="12" t="str">
        <f>CONCATENATE("          ", "6273", " - ", "RENT")</f>
        <v xml:space="preserve">          6273 - RENT</v>
      </c>
      <c r="C142" s="12"/>
      <c r="D142" s="7">
        <v>6100</v>
      </c>
      <c r="E142" s="3"/>
      <c r="F142" s="8">
        <f t="shared" si="68"/>
        <v>2.679348918212875E-2</v>
      </c>
      <c r="G142" s="3"/>
      <c r="H142" s="7">
        <v>6100</v>
      </c>
      <c r="I142" s="3"/>
      <c r="J142" s="8">
        <f t="shared" si="69"/>
        <v>2.0199277461911115E-2</v>
      </c>
      <c r="K142" s="3"/>
      <c r="L142" s="7">
        <f t="shared" si="70"/>
        <v>0</v>
      </c>
      <c r="M142" s="3"/>
      <c r="N142" s="8">
        <f t="shared" si="71"/>
        <v>0</v>
      </c>
      <c r="O142" s="12"/>
      <c r="P142" s="7">
        <v>6100</v>
      </c>
      <c r="Q142" s="3"/>
      <c r="R142" s="8">
        <f t="shared" si="72"/>
        <v>2.679348918212875E-2</v>
      </c>
      <c r="S142" s="3"/>
      <c r="T142" s="7">
        <v>6100</v>
      </c>
      <c r="U142" s="3"/>
      <c r="V142" s="8">
        <f t="shared" si="73"/>
        <v>2.0199277461911115E-2</v>
      </c>
      <c r="W142" s="3"/>
      <c r="X142" s="7">
        <f t="shared" si="74"/>
        <v>0</v>
      </c>
      <c r="Y142" s="3"/>
      <c r="Z142" s="8">
        <f t="shared" si="75"/>
        <v>0</v>
      </c>
    </row>
    <row r="143" spans="1:26" s="29" customFormat="1" outlineLevel="1" collapsed="1" x14ac:dyDescent="0.25">
      <c r="A143" s="28"/>
      <c r="B143" s="14" t="str">
        <f>CONCATENATE("     ","Repair and Maintenance                            ")</f>
        <v xml:space="preserve">     Repair and Maintenance                            </v>
      </c>
      <c r="C143" s="14"/>
      <c r="D143" s="1">
        <f>SUM(OSRRefD22_16x_0)</f>
        <v>66347.77</v>
      </c>
      <c r="E143" s="1"/>
      <c r="F143" s="5">
        <f t="shared" si="68"/>
        <v>0.29142430454973223</v>
      </c>
      <c r="G143" s="1"/>
      <c r="H143" s="1">
        <f>SUM(OSRRefH22_16x_0)</f>
        <v>56890</v>
      </c>
      <c r="I143" s="1"/>
      <c r="J143" s="5">
        <f t="shared" si="69"/>
        <v>0.18838309750952842</v>
      </c>
      <c r="K143" s="1"/>
      <c r="L143" s="1">
        <f t="shared" si="70"/>
        <v>9457.7700000000041</v>
      </c>
      <c r="M143" s="1"/>
      <c r="N143" s="5">
        <f t="shared" si="71"/>
        <v>0.16624661627702592</v>
      </c>
      <c r="O143" s="14"/>
      <c r="P143" s="1">
        <f>SUM(OSRRefP22_16x_0)</f>
        <v>66347.77</v>
      </c>
      <c r="Q143" s="1"/>
      <c r="R143" s="5">
        <f t="shared" si="72"/>
        <v>0.29142430454973223</v>
      </c>
      <c r="S143" s="1"/>
      <c r="T143" s="1">
        <f>SUM(OSRRefT22_16x_0)</f>
        <v>56890</v>
      </c>
      <c r="U143" s="1"/>
      <c r="V143" s="5">
        <f t="shared" si="73"/>
        <v>0.18838309750952842</v>
      </c>
      <c r="W143" s="1"/>
      <c r="X143" s="1">
        <f t="shared" si="74"/>
        <v>9457.7700000000041</v>
      </c>
      <c r="Y143" s="1"/>
      <c r="Z143" s="5">
        <f t="shared" si="75"/>
        <v>0.16624661627702592</v>
      </c>
    </row>
    <row r="144" spans="1:26" s="24" customFormat="1" hidden="1" outlineLevel="2" x14ac:dyDescent="0.25">
      <c r="A144" s="27"/>
      <c r="B144" s="12" t="str">
        <f>CONCATENATE("          ", "6371", " - ", "COMPUTER SOFTWARE MAINTENANCE")</f>
        <v xml:space="preserve">          6371 - COMPUTER SOFTWARE MAINTENANCE</v>
      </c>
      <c r="C144" s="12"/>
      <c r="D144" s="7">
        <v>58428.780000000006</v>
      </c>
      <c r="E144" s="3"/>
      <c r="F144" s="8">
        <f t="shared" si="68"/>
        <v>0.25664112866475097</v>
      </c>
      <c r="G144" s="3"/>
      <c r="H144" s="7">
        <v>45000</v>
      </c>
      <c r="I144" s="3"/>
      <c r="J144" s="8">
        <f t="shared" si="69"/>
        <v>0.14901106324360661</v>
      </c>
      <c r="K144" s="3"/>
      <c r="L144" s="7">
        <f t="shared" si="70"/>
        <v>13428.780000000006</v>
      </c>
      <c r="M144" s="3"/>
      <c r="N144" s="8">
        <f t="shared" si="71"/>
        <v>0.29841733333333348</v>
      </c>
      <c r="O144" s="12"/>
      <c r="P144" s="7">
        <v>58428.780000000006</v>
      </c>
      <c r="Q144" s="3"/>
      <c r="R144" s="8">
        <f t="shared" si="72"/>
        <v>0.25664112866475097</v>
      </c>
      <c r="S144" s="3"/>
      <c r="T144" s="7">
        <v>45000</v>
      </c>
      <c r="U144" s="3"/>
      <c r="V144" s="8">
        <f t="shared" si="73"/>
        <v>0.14901106324360661</v>
      </c>
      <c r="W144" s="3"/>
      <c r="X144" s="7">
        <f t="shared" si="74"/>
        <v>13428.780000000006</v>
      </c>
      <c r="Y144" s="3"/>
      <c r="Z144" s="8">
        <f t="shared" si="75"/>
        <v>0.29841733333333348</v>
      </c>
    </row>
    <row r="145" spans="1:26" s="24" customFormat="1" hidden="1" outlineLevel="2" x14ac:dyDescent="0.25">
      <c r="A145" s="27"/>
      <c r="B145" s="12" t="str">
        <f>CONCATENATE("          ", "6373", " - ", "MAINTENANCE CONTRACTS")</f>
        <v xml:space="preserve">          6373 - MAINTENANCE CONTRACTS</v>
      </c>
      <c r="C145" s="12"/>
      <c r="D145" s="7">
        <v>6416.01</v>
      </c>
      <c r="E145" s="3"/>
      <c r="F145" s="8">
        <f t="shared" si="68"/>
        <v>2.8181523693021293E-2</v>
      </c>
      <c r="G145" s="3"/>
      <c r="H145" s="7">
        <v>3540</v>
      </c>
      <c r="I145" s="3"/>
      <c r="J145" s="8">
        <f t="shared" si="69"/>
        <v>1.1722203641830386E-2</v>
      </c>
      <c r="K145" s="3"/>
      <c r="L145" s="7">
        <f t="shared" si="70"/>
        <v>2876.01</v>
      </c>
      <c r="M145" s="3"/>
      <c r="N145" s="8">
        <f t="shared" si="71"/>
        <v>0.81243220338983058</v>
      </c>
      <c r="O145" s="12"/>
      <c r="P145" s="7">
        <v>6416.01</v>
      </c>
      <c r="Q145" s="3"/>
      <c r="R145" s="8">
        <f t="shared" si="72"/>
        <v>2.8181523693021293E-2</v>
      </c>
      <c r="S145" s="3"/>
      <c r="T145" s="7">
        <v>3540</v>
      </c>
      <c r="U145" s="3"/>
      <c r="V145" s="8">
        <f t="shared" si="73"/>
        <v>1.1722203641830386E-2</v>
      </c>
      <c r="W145" s="3"/>
      <c r="X145" s="7">
        <f t="shared" si="74"/>
        <v>2876.01</v>
      </c>
      <c r="Y145" s="3"/>
      <c r="Z145" s="8">
        <f t="shared" si="75"/>
        <v>0.81243220338983058</v>
      </c>
    </row>
    <row r="146" spans="1:26" s="24" customFormat="1" hidden="1" outlineLevel="2" x14ac:dyDescent="0.25">
      <c r="A146" s="27"/>
      <c r="B146" s="12" t="str">
        <f>CONCATENATE("          ", "6375", " - ", "OUTSIDE REPAIRS &amp; MAINTENANCE")</f>
        <v xml:space="preserve">          6375 - OUTSIDE REPAIRS &amp; MAINTENANCE</v>
      </c>
      <c r="C146" s="12"/>
      <c r="D146" s="7">
        <v>1502.98</v>
      </c>
      <c r="E146" s="3"/>
      <c r="F146" s="8">
        <f t="shared" si="68"/>
        <v>6.6016521919599787E-3</v>
      </c>
      <c r="G146" s="3"/>
      <c r="H146" s="7">
        <v>8350</v>
      </c>
      <c r="I146" s="3"/>
      <c r="J146" s="8">
        <f t="shared" si="69"/>
        <v>2.7649830624091445E-2</v>
      </c>
      <c r="K146" s="3"/>
      <c r="L146" s="7">
        <f t="shared" si="70"/>
        <v>-6847.02</v>
      </c>
      <c r="M146" s="3"/>
      <c r="N146" s="8">
        <f t="shared" si="71"/>
        <v>-0.82000239520958085</v>
      </c>
      <c r="O146" s="12"/>
      <c r="P146" s="7">
        <v>1502.98</v>
      </c>
      <c r="Q146" s="3"/>
      <c r="R146" s="8">
        <f t="shared" si="72"/>
        <v>6.6016521919599787E-3</v>
      </c>
      <c r="S146" s="3"/>
      <c r="T146" s="7">
        <v>8350</v>
      </c>
      <c r="U146" s="3"/>
      <c r="V146" s="8">
        <f t="shared" si="73"/>
        <v>2.7649830624091445E-2</v>
      </c>
      <c r="W146" s="3"/>
      <c r="X146" s="7">
        <f t="shared" si="74"/>
        <v>-6847.02</v>
      </c>
      <c r="Y146" s="3"/>
      <c r="Z146" s="8">
        <f t="shared" si="75"/>
        <v>-0.82000239520958085</v>
      </c>
    </row>
    <row r="147" spans="1:26" s="29" customFormat="1" outlineLevel="1" collapsed="1" x14ac:dyDescent="0.25">
      <c r="A147" s="28"/>
      <c r="B147" s="14" t="str">
        <f>CONCATENATE("     ","Royalty &amp; Commissions                             ")</f>
        <v xml:space="preserve">     Royalty &amp; Commissions                             </v>
      </c>
      <c r="C147" s="14"/>
      <c r="D147" s="1">
        <f>SUM(OSRRefD22_17x_0)</f>
        <v>10989.75</v>
      </c>
      <c r="E147" s="1"/>
      <c r="F147" s="5">
        <f t="shared" ref="F147:F151" si="76">IF(D$12=0,0,D147/D$12)</f>
        <v>4.8271106186770399E-2</v>
      </c>
      <c r="G147" s="1"/>
      <c r="H147" s="1">
        <f>SUM(OSRRefH22_17x_0)</f>
        <v>6421</v>
      </c>
      <c r="I147" s="1"/>
      <c r="J147" s="5">
        <f t="shared" ref="J147:J151" si="77">IF(H$12=0,0,H147/H$12)</f>
        <v>2.1262223046382176E-2</v>
      </c>
      <c r="K147" s="1"/>
      <c r="L147" s="1">
        <f t="shared" ref="L147:L151" si="78">+D147-H147</f>
        <v>4568.75</v>
      </c>
      <c r="M147" s="1"/>
      <c r="N147" s="5">
        <f t="shared" ref="N147:N151" si="79">IF(H147=0,0,L147/H147)</f>
        <v>0.71153247157763588</v>
      </c>
      <c r="O147" s="14"/>
      <c r="P147" s="1">
        <f>SUM(OSRRefP22_17x_0)</f>
        <v>10989.75</v>
      </c>
      <c r="Q147" s="1"/>
      <c r="R147" s="5">
        <f t="shared" ref="R147:R151" si="80">IF(P$12=0,0,P147/P$12)</f>
        <v>4.8271106186770399E-2</v>
      </c>
      <c r="S147" s="1"/>
      <c r="T147" s="1">
        <f>SUM(OSRRefT22_17x_0)</f>
        <v>6421</v>
      </c>
      <c r="U147" s="1"/>
      <c r="V147" s="5">
        <f t="shared" ref="V147:V151" si="81">IF(T$12=0,0,T147/T$12)</f>
        <v>2.1262223046382176E-2</v>
      </c>
      <c r="W147" s="1"/>
      <c r="X147" s="1">
        <f t="shared" ref="X147:X151" si="82">+P147-T147</f>
        <v>4568.75</v>
      </c>
      <c r="Y147" s="1"/>
      <c r="Z147" s="5">
        <f t="shared" ref="Z147:Z151" si="83">IF(T147=0,0,X147/T147)</f>
        <v>0.71153247157763588</v>
      </c>
    </row>
    <row r="148" spans="1:26" s="24" customFormat="1" hidden="1" outlineLevel="2" x14ac:dyDescent="0.25">
      <c r="A148" s="27"/>
      <c r="B148" s="12" t="str">
        <f>CONCATENATE("          ", "6252", " - ", "ROYALTY DUE CSTV")</f>
        <v xml:space="preserve">          6252 - ROYALTY DUE CSTV</v>
      </c>
      <c r="C148" s="12"/>
      <c r="D148" s="7"/>
      <c r="E148" s="3"/>
      <c r="F148" s="8">
        <f t="shared" si="76"/>
        <v>0</v>
      </c>
      <c r="G148" s="3"/>
      <c r="H148" s="7">
        <v>1085</v>
      </c>
      <c r="I148" s="3"/>
      <c r="J148" s="8">
        <f t="shared" si="77"/>
        <v>3.5928223026514034E-3</v>
      </c>
      <c r="K148" s="3"/>
      <c r="L148" s="7">
        <f t="shared" si="78"/>
        <v>-1085</v>
      </c>
      <c r="M148" s="3"/>
      <c r="N148" s="8">
        <f t="shared" si="79"/>
        <v>-1</v>
      </c>
      <c r="O148" s="12"/>
      <c r="P148" s="7"/>
      <c r="Q148" s="3"/>
      <c r="R148" s="8">
        <f t="shared" si="80"/>
        <v>0</v>
      </c>
      <c r="S148" s="3"/>
      <c r="T148" s="7">
        <v>1085</v>
      </c>
      <c r="U148" s="3"/>
      <c r="V148" s="8">
        <f t="shared" si="81"/>
        <v>3.5928223026514034E-3</v>
      </c>
      <c r="W148" s="3"/>
      <c r="X148" s="7">
        <f t="shared" si="82"/>
        <v>-1085</v>
      </c>
      <c r="Y148" s="3"/>
      <c r="Z148" s="8">
        <f t="shared" si="83"/>
        <v>-1</v>
      </c>
    </row>
    <row r="149" spans="1:26" s="24" customFormat="1" hidden="1" outlineLevel="2" x14ac:dyDescent="0.25">
      <c r="A149" s="27"/>
      <c r="B149" s="12" t="str">
        <f>CONCATENATE("          ", "6253", " - ", "ROYALTY DUE ATHLETICS-LRG")</f>
        <v xml:space="preserve">          6253 - ROYALTY DUE ATHLETICS-LRG</v>
      </c>
      <c r="C149" s="12"/>
      <c r="D149" s="7">
        <v>5672.2</v>
      </c>
      <c r="E149" s="3"/>
      <c r="F149" s="8">
        <f t="shared" si="76"/>
        <v>2.4914431039159128E-2</v>
      </c>
      <c r="G149" s="3"/>
      <c r="H149" s="7">
        <v>4037</v>
      </c>
      <c r="I149" s="3"/>
      <c r="J149" s="8">
        <f t="shared" si="77"/>
        <v>1.3367948051431997E-2</v>
      </c>
      <c r="K149" s="3"/>
      <c r="L149" s="7">
        <f t="shared" si="78"/>
        <v>1635.1999999999998</v>
      </c>
      <c r="M149" s="3"/>
      <c r="N149" s="8">
        <f t="shared" si="79"/>
        <v>0.40505325736933362</v>
      </c>
      <c r="O149" s="12"/>
      <c r="P149" s="7">
        <v>5672.2</v>
      </c>
      <c r="Q149" s="3"/>
      <c r="R149" s="8">
        <f t="shared" si="80"/>
        <v>2.4914431039159128E-2</v>
      </c>
      <c r="S149" s="3"/>
      <c r="T149" s="7">
        <v>4037</v>
      </c>
      <c r="U149" s="3"/>
      <c r="V149" s="8">
        <f t="shared" si="81"/>
        <v>1.3367948051431997E-2</v>
      </c>
      <c r="W149" s="3"/>
      <c r="X149" s="7">
        <f t="shared" si="82"/>
        <v>1635.1999999999998</v>
      </c>
      <c r="Y149" s="3"/>
      <c r="Z149" s="8">
        <f t="shared" si="83"/>
        <v>0.40505325736933362</v>
      </c>
    </row>
    <row r="150" spans="1:26" s="24" customFormat="1" hidden="1" outlineLevel="2" x14ac:dyDescent="0.25">
      <c r="A150" s="27"/>
      <c r="B150" s="12" t="str">
        <f>CONCATENATE("          ", "6254", " - ", "ROYALTY &amp; COMMISSIONS")</f>
        <v xml:space="preserve">          6254 - ROYALTY &amp; COMMISSIONS</v>
      </c>
      <c r="C150" s="12"/>
      <c r="D150" s="7"/>
      <c r="E150" s="3"/>
      <c r="F150" s="8">
        <f t="shared" si="76"/>
        <v>0</v>
      </c>
      <c r="G150" s="3"/>
      <c r="H150" s="7">
        <v>1149</v>
      </c>
      <c r="I150" s="3"/>
      <c r="J150" s="8">
        <f t="shared" si="77"/>
        <v>3.8047491481534219E-3</v>
      </c>
      <c r="K150" s="3"/>
      <c r="L150" s="7">
        <f t="shared" si="78"/>
        <v>-1149</v>
      </c>
      <c r="M150" s="3"/>
      <c r="N150" s="8">
        <f t="shared" si="79"/>
        <v>-1</v>
      </c>
      <c r="O150" s="12"/>
      <c r="P150" s="7"/>
      <c r="Q150" s="3"/>
      <c r="R150" s="8">
        <f t="shared" si="80"/>
        <v>0</v>
      </c>
      <c r="S150" s="3"/>
      <c r="T150" s="7">
        <v>1149</v>
      </c>
      <c r="U150" s="3"/>
      <c r="V150" s="8">
        <f t="shared" si="81"/>
        <v>3.8047491481534219E-3</v>
      </c>
      <c r="W150" s="3"/>
      <c r="X150" s="7">
        <f t="shared" si="82"/>
        <v>-1149</v>
      </c>
      <c r="Y150" s="3"/>
      <c r="Z150" s="8">
        <f t="shared" si="83"/>
        <v>-1</v>
      </c>
    </row>
    <row r="151" spans="1:26" s="24" customFormat="1" hidden="1" outlineLevel="2" x14ac:dyDescent="0.25">
      <c r="A151" s="27"/>
      <c r="B151" s="12" t="str">
        <f>CONCATENATE("          ", "6259", " - ", "ROYALTY &amp; COMMISSIONS")</f>
        <v xml:space="preserve">          6259 - ROYALTY &amp; COMMISSIONS</v>
      </c>
      <c r="C151" s="12"/>
      <c r="D151" s="7">
        <v>5317.55</v>
      </c>
      <c r="E151" s="3"/>
      <c r="F151" s="8">
        <f t="shared" si="76"/>
        <v>2.3356675147611267E-2</v>
      </c>
      <c r="G151" s="3"/>
      <c r="H151" s="7">
        <v>150</v>
      </c>
      <c r="I151" s="3"/>
      <c r="J151" s="8">
        <f t="shared" si="77"/>
        <v>4.9670354414535533E-4</v>
      </c>
      <c r="K151" s="3"/>
      <c r="L151" s="7">
        <f t="shared" si="78"/>
        <v>5167.55</v>
      </c>
      <c r="M151" s="3"/>
      <c r="N151" s="8">
        <f t="shared" si="79"/>
        <v>34.450333333333333</v>
      </c>
      <c r="O151" s="12"/>
      <c r="P151" s="7">
        <v>5317.55</v>
      </c>
      <c r="Q151" s="3"/>
      <c r="R151" s="8">
        <f t="shared" si="80"/>
        <v>2.3356675147611267E-2</v>
      </c>
      <c r="S151" s="3"/>
      <c r="T151" s="7">
        <v>150</v>
      </c>
      <c r="U151" s="3"/>
      <c r="V151" s="8">
        <f t="shared" si="81"/>
        <v>4.9670354414535533E-4</v>
      </c>
      <c r="W151" s="3"/>
      <c r="X151" s="7">
        <f t="shared" si="82"/>
        <v>5167.55</v>
      </c>
      <c r="Y151" s="3"/>
      <c r="Z151" s="8">
        <f t="shared" si="83"/>
        <v>34.450333333333333</v>
      </c>
    </row>
    <row r="152" spans="1:26" s="29" customFormat="1" outlineLevel="1" collapsed="1" x14ac:dyDescent="0.25">
      <c r="A152" s="28"/>
      <c r="B152" s="14" t="str">
        <f>CONCATENATE("     ","Services                                          ")</f>
        <v xml:space="preserve">     Services                                          </v>
      </c>
      <c r="C152" s="14"/>
      <c r="D152" s="1">
        <f>SUM(OSRRefD22_18x_0)</f>
        <v>3883.7400000000002</v>
      </c>
      <c r="E152" s="1"/>
      <c r="F152" s="5">
        <f t="shared" ref="F152:F156" si="84">IF(D$12=0,0,D152/D$12)</f>
        <v>1.7058843553475526E-2</v>
      </c>
      <c r="G152" s="1"/>
      <c r="H152" s="1">
        <f>SUM(OSRRefH22_18x_0)</f>
        <v>4455</v>
      </c>
      <c r="I152" s="1"/>
      <c r="J152" s="5">
        <f t="shared" ref="J152:J156" si="85">IF(H$12=0,0,H152/H$12)</f>
        <v>1.4752095261117053E-2</v>
      </c>
      <c r="K152" s="1"/>
      <c r="L152" s="1">
        <f t="shared" ref="L152:L156" si="86">+D152-H152</f>
        <v>-571.25999999999976</v>
      </c>
      <c r="M152" s="1"/>
      <c r="N152" s="5">
        <f t="shared" ref="N152:N156" si="87">IF(H152=0,0,L152/H152)</f>
        <v>-0.12822895622895616</v>
      </c>
      <c r="O152" s="14"/>
      <c r="P152" s="1">
        <f>SUM(OSRRefP22_18x_0)</f>
        <v>3883.7400000000002</v>
      </c>
      <c r="Q152" s="1"/>
      <c r="R152" s="5">
        <f t="shared" ref="R152:R156" si="88">IF(P$12=0,0,P152/P$12)</f>
        <v>1.7058843553475526E-2</v>
      </c>
      <c r="S152" s="1"/>
      <c r="T152" s="1">
        <f>SUM(OSRRefT22_18x_0)</f>
        <v>4455</v>
      </c>
      <c r="U152" s="1"/>
      <c r="V152" s="5">
        <f t="shared" ref="V152:V156" si="89">IF(T$12=0,0,T152/T$12)</f>
        <v>1.4752095261117053E-2</v>
      </c>
      <c r="W152" s="1"/>
      <c r="X152" s="1">
        <f t="shared" ref="X152:X156" si="90">+P152-T152</f>
        <v>-571.25999999999976</v>
      </c>
      <c r="Y152" s="1"/>
      <c r="Z152" s="5">
        <f t="shared" ref="Z152:Z156" si="91">IF(T152=0,0,X152/T152)</f>
        <v>-0.12822895622895616</v>
      </c>
    </row>
    <row r="153" spans="1:26" s="24" customFormat="1" hidden="1" outlineLevel="2" x14ac:dyDescent="0.25">
      <c r="A153" s="27"/>
      <c r="B153" s="12" t="str">
        <f>CONCATENATE("          ", "6282", " - ", "JANITORIAL/EXTERMINATOR EXPENS")</f>
        <v xml:space="preserve">          6282 - JANITORIAL/EXTERMINATOR EXPENS</v>
      </c>
      <c r="C153" s="12"/>
      <c r="D153" s="7">
        <v>136.5</v>
      </c>
      <c r="E153" s="3"/>
      <c r="F153" s="8">
        <f t="shared" si="84"/>
        <v>5.9955922514107771E-4</v>
      </c>
      <c r="G153" s="3"/>
      <c r="H153" s="7">
        <v>4000</v>
      </c>
      <c r="I153" s="3"/>
      <c r="J153" s="8">
        <f t="shared" si="85"/>
        <v>1.3245427843876141E-2</v>
      </c>
      <c r="K153" s="3"/>
      <c r="L153" s="7">
        <f t="shared" si="86"/>
        <v>-3863.5</v>
      </c>
      <c r="M153" s="3"/>
      <c r="N153" s="8">
        <f t="shared" si="87"/>
        <v>-0.96587500000000004</v>
      </c>
      <c r="O153" s="12"/>
      <c r="P153" s="7">
        <v>136.5</v>
      </c>
      <c r="Q153" s="3"/>
      <c r="R153" s="8">
        <f t="shared" si="88"/>
        <v>5.9955922514107771E-4</v>
      </c>
      <c r="S153" s="3"/>
      <c r="T153" s="7">
        <v>4000</v>
      </c>
      <c r="U153" s="3"/>
      <c r="V153" s="8">
        <f t="shared" si="89"/>
        <v>1.3245427843876141E-2</v>
      </c>
      <c r="W153" s="3"/>
      <c r="X153" s="7">
        <f t="shared" si="90"/>
        <v>-3863.5</v>
      </c>
      <c r="Y153" s="3"/>
      <c r="Z153" s="8">
        <f t="shared" si="91"/>
        <v>-0.96587500000000004</v>
      </c>
    </row>
    <row r="154" spans="1:26" s="24" customFormat="1" hidden="1" outlineLevel="2" x14ac:dyDescent="0.25">
      <c r="A154" s="27"/>
      <c r="B154" s="12" t="str">
        <f>CONCATENATE("          ", "6283", " - ", "PLANT SERVICE")</f>
        <v xml:space="preserve">          6283 - PLANT SERVICE</v>
      </c>
      <c r="C154" s="12"/>
      <c r="D154" s="7">
        <v>130</v>
      </c>
      <c r="E154" s="3"/>
      <c r="F154" s="8">
        <f t="shared" si="84"/>
        <v>5.7100878584864551E-4</v>
      </c>
      <c r="G154" s="3"/>
      <c r="H154" s="7">
        <v>0</v>
      </c>
      <c r="I154" s="3"/>
      <c r="J154" s="8">
        <f t="shared" si="85"/>
        <v>0</v>
      </c>
      <c r="K154" s="3"/>
      <c r="L154" s="7">
        <f t="shared" si="86"/>
        <v>130</v>
      </c>
      <c r="M154" s="3"/>
      <c r="N154" s="8">
        <f t="shared" si="87"/>
        <v>0</v>
      </c>
      <c r="O154" s="12"/>
      <c r="P154" s="7">
        <v>130</v>
      </c>
      <c r="Q154" s="3"/>
      <c r="R154" s="8">
        <f t="shared" si="88"/>
        <v>5.7100878584864551E-4</v>
      </c>
      <c r="S154" s="3"/>
      <c r="T154" s="7">
        <v>0</v>
      </c>
      <c r="U154" s="3"/>
      <c r="V154" s="8">
        <f t="shared" si="89"/>
        <v>0</v>
      </c>
      <c r="W154" s="3"/>
      <c r="X154" s="7">
        <f t="shared" si="90"/>
        <v>130</v>
      </c>
      <c r="Y154" s="3"/>
      <c r="Z154" s="8">
        <f t="shared" si="91"/>
        <v>0</v>
      </c>
    </row>
    <row r="155" spans="1:26" s="24" customFormat="1" hidden="1" outlineLevel="2" x14ac:dyDescent="0.25">
      <c r="A155" s="27"/>
      <c r="B155" s="12" t="str">
        <f>CONCATENATE("          ", "6284", " - ", "TRASH REMOVAL EXPENSE")</f>
        <v xml:space="preserve">          6284 - TRASH REMOVAL EXPENSE</v>
      </c>
      <c r="C155" s="12"/>
      <c r="D155" s="7">
        <v>142.57</v>
      </c>
      <c r="E155" s="3"/>
      <c r="F155" s="8">
        <f t="shared" si="84"/>
        <v>6.2622094306493369E-4</v>
      </c>
      <c r="G155" s="3"/>
      <c r="H155" s="7">
        <v>55</v>
      </c>
      <c r="I155" s="3"/>
      <c r="J155" s="8">
        <f t="shared" si="85"/>
        <v>1.8212463285329695E-4</v>
      </c>
      <c r="K155" s="3"/>
      <c r="L155" s="7">
        <f t="shared" si="86"/>
        <v>87.57</v>
      </c>
      <c r="M155" s="3"/>
      <c r="N155" s="8">
        <f t="shared" si="87"/>
        <v>1.5921818181818181</v>
      </c>
      <c r="O155" s="12"/>
      <c r="P155" s="7">
        <v>142.57</v>
      </c>
      <c r="Q155" s="3"/>
      <c r="R155" s="8">
        <f t="shared" si="88"/>
        <v>6.2622094306493369E-4</v>
      </c>
      <c r="S155" s="3"/>
      <c r="T155" s="7">
        <v>55</v>
      </c>
      <c r="U155" s="3"/>
      <c r="V155" s="8">
        <f t="shared" si="89"/>
        <v>1.8212463285329695E-4</v>
      </c>
      <c r="W155" s="3"/>
      <c r="X155" s="7">
        <f t="shared" si="90"/>
        <v>87.57</v>
      </c>
      <c r="Y155" s="3"/>
      <c r="Z155" s="8">
        <f t="shared" si="91"/>
        <v>1.5921818181818181</v>
      </c>
    </row>
    <row r="156" spans="1:26" s="24" customFormat="1" hidden="1" outlineLevel="2" x14ac:dyDescent="0.25">
      <c r="A156" s="27"/>
      <c r="B156" s="12" t="str">
        <f>CONCATENATE("          ", "6285", " - ", "JANITORIAL SERVICES")</f>
        <v xml:space="preserve">          6285 - JANITORIAL SERVICES</v>
      </c>
      <c r="C156" s="12"/>
      <c r="D156" s="7">
        <v>3474.67</v>
      </c>
      <c r="E156" s="3"/>
      <c r="F156" s="8">
        <f t="shared" si="84"/>
        <v>1.5262054599420869E-2</v>
      </c>
      <c r="G156" s="3"/>
      <c r="H156" s="7">
        <v>400</v>
      </c>
      <c r="I156" s="3"/>
      <c r="J156" s="8">
        <f t="shared" si="85"/>
        <v>1.3245427843876143E-3</v>
      </c>
      <c r="K156" s="3"/>
      <c r="L156" s="7">
        <f t="shared" si="86"/>
        <v>3074.67</v>
      </c>
      <c r="M156" s="3"/>
      <c r="N156" s="8">
        <f t="shared" si="87"/>
        <v>7.6866750000000001</v>
      </c>
      <c r="O156" s="12"/>
      <c r="P156" s="7">
        <v>3474.67</v>
      </c>
      <c r="Q156" s="3"/>
      <c r="R156" s="8">
        <f t="shared" si="88"/>
        <v>1.5262054599420869E-2</v>
      </c>
      <c r="S156" s="3"/>
      <c r="T156" s="7">
        <v>400</v>
      </c>
      <c r="U156" s="3"/>
      <c r="V156" s="8">
        <f t="shared" si="89"/>
        <v>1.3245427843876143E-3</v>
      </c>
      <c r="W156" s="3"/>
      <c r="X156" s="7">
        <f t="shared" si="90"/>
        <v>3074.67</v>
      </c>
      <c r="Y156" s="3"/>
      <c r="Z156" s="8">
        <f t="shared" si="91"/>
        <v>7.6866750000000001</v>
      </c>
    </row>
    <row r="157" spans="1:26" s="29" customFormat="1" outlineLevel="1" collapsed="1" x14ac:dyDescent="0.25">
      <c r="A157" s="28"/>
      <c r="B157" s="14" t="str">
        <f>CONCATENATE("     ","Subscriptions &amp; Dues                              ")</f>
        <v xml:space="preserve">     Subscriptions &amp; Dues                              </v>
      </c>
      <c r="C157" s="14"/>
      <c r="D157" s="1">
        <f>SUM(OSRRefD22_19x_0)</f>
        <v>365</v>
      </c>
      <c r="E157" s="1"/>
      <c r="F157" s="5">
        <f t="shared" ref="F157:F159" si="92">IF(D$12=0,0,D157/D$12)</f>
        <v>1.6032169756519661E-3</v>
      </c>
      <c r="G157" s="1"/>
      <c r="H157" s="1">
        <f>SUM(OSRRefH22_19x_0)</f>
        <v>2495</v>
      </c>
      <c r="I157" s="1"/>
      <c r="J157" s="5">
        <f t="shared" ref="J157:J159" si="93">IF(H$12=0,0,H157/H$12)</f>
        <v>8.2618356176177438E-3</v>
      </c>
      <c r="K157" s="1"/>
      <c r="L157" s="1">
        <f t="shared" ref="L157:L159" si="94">+D157-H157</f>
        <v>-2130</v>
      </c>
      <c r="M157" s="1"/>
      <c r="N157" s="5">
        <f t="shared" ref="N157:N159" si="95">IF(H157=0,0,L157/H157)</f>
        <v>-0.85370741482965928</v>
      </c>
      <c r="O157" s="14"/>
      <c r="P157" s="1">
        <f>SUM(OSRRefP22_19x_0)</f>
        <v>365</v>
      </c>
      <c r="Q157" s="1"/>
      <c r="R157" s="5">
        <f t="shared" ref="R157:R159" si="96">IF(P$12=0,0,P157/P$12)</f>
        <v>1.6032169756519661E-3</v>
      </c>
      <c r="S157" s="1"/>
      <c r="T157" s="1">
        <f>SUM(OSRRefT22_19x_0)</f>
        <v>2495</v>
      </c>
      <c r="U157" s="1"/>
      <c r="V157" s="5">
        <f t="shared" ref="V157:V159" si="97">IF(T$12=0,0,T157/T$12)</f>
        <v>8.2618356176177438E-3</v>
      </c>
      <c r="W157" s="1"/>
      <c r="X157" s="1">
        <f t="shared" ref="X157:X159" si="98">+P157-T157</f>
        <v>-2130</v>
      </c>
      <c r="Y157" s="1"/>
      <c r="Z157" s="5">
        <f t="shared" ref="Z157:Z159" si="99">IF(T157=0,0,X157/T157)</f>
        <v>-0.85370741482965928</v>
      </c>
    </row>
    <row r="158" spans="1:26" s="24" customFormat="1" hidden="1" outlineLevel="2" x14ac:dyDescent="0.25">
      <c r="A158" s="27"/>
      <c r="B158" s="12" t="str">
        <f>CONCATENATE("          ", "6258", " - ", "MEMBERSHIP DUES")</f>
        <v xml:space="preserve">          6258 - MEMBERSHIP DUES</v>
      </c>
      <c r="C158" s="12"/>
      <c r="D158" s="7">
        <v>290</v>
      </c>
      <c r="E158" s="3"/>
      <c r="F158" s="8">
        <f t="shared" si="92"/>
        <v>1.2737888299700552E-3</v>
      </c>
      <c r="G158" s="3"/>
      <c r="H158" s="7">
        <v>2495</v>
      </c>
      <c r="I158" s="3"/>
      <c r="J158" s="8">
        <f t="shared" si="93"/>
        <v>8.2618356176177438E-3</v>
      </c>
      <c r="K158" s="3"/>
      <c r="L158" s="7">
        <f t="shared" si="94"/>
        <v>-2205</v>
      </c>
      <c r="M158" s="3"/>
      <c r="N158" s="8">
        <f t="shared" si="95"/>
        <v>-0.88376753507014028</v>
      </c>
      <c r="O158" s="12"/>
      <c r="P158" s="7">
        <v>290</v>
      </c>
      <c r="Q158" s="3"/>
      <c r="R158" s="8">
        <f t="shared" si="96"/>
        <v>1.2737888299700552E-3</v>
      </c>
      <c r="S158" s="3"/>
      <c r="T158" s="7">
        <v>2495</v>
      </c>
      <c r="U158" s="3"/>
      <c r="V158" s="8">
        <f t="shared" si="97"/>
        <v>8.2618356176177438E-3</v>
      </c>
      <c r="W158" s="3"/>
      <c r="X158" s="7">
        <f t="shared" si="98"/>
        <v>-2205</v>
      </c>
      <c r="Y158" s="3"/>
      <c r="Z158" s="8">
        <f t="shared" si="99"/>
        <v>-0.88376753507014028</v>
      </c>
    </row>
    <row r="159" spans="1:26" s="24" customFormat="1" hidden="1" outlineLevel="2" x14ac:dyDescent="0.25">
      <c r="A159" s="27"/>
      <c r="B159" s="12" t="str">
        <f>CONCATENATE("          ", "6275", " - ", "SUBSCRIPTIONS")</f>
        <v xml:space="preserve">          6275 - SUBSCRIPTIONS</v>
      </c>
      <c r="C159" s="12"/>
      <c r="D159" s="7">
        <v>75</v>
      </c>
      <c r="E159" s="3"/>
      <c r="F159" s="8">
        <f t="shared" si="92"/>
        <v>3.2942814568191086E-4</v>
      </c>
      <c r="G159" s="3"/>
      <c r="H159" s="7">
        <v>0</v>
      </c>
      <c r="I159" s="3"/>
      <c r="J159" s="8">
        <f t="shared" si="93"/>
        <v>0</v>
      </c>
      <c r="K159" s="3"/>
      <c r="L159" s="7">
        <f t="shared" si="94"/>
        <v>75</v>
      </c>
      <c r="M159" s="3"/>
      <c r="N159" s="8">
        <f t="shared" si="95"/>
        <v>0</v>
      </c>
      <c r="O159" s="12"/>
      <c r="P159" s="7">
        <v>75</v>
      </c>
      <c r="Q159" s="3"/>
      <c r="R159" s="8">
        <f t="shared" si="96"/>
        <v>3.2942814568191086E-4</v>
      </c>
      <c r="S159" s="3"/>
      <c r="T159" s="7">
        <v>0</v>
      </c>
      <c r="U159" s="3"/>
      <c r="V159" s="8">
        <f t="shared" si="97"/>
        <v>0</v>
      </c>
      <c r="W159" s="3"/>
      <c r="X159" s="7">
        <f t="shared" si="98"/>
        <v>75</v>
      </c>
      <c r="Y159" s="3"/>
      <c r="Z159" s="8">
        <f t="shared" si="99"/>
        <v>0</v>
      </c>
    </row>
    <row r="160" spans="1:26" s="29" customFormat="1" outlineLevel="1" collapsed="1" x14ac:dyDescent="0.25">
      <c r="A160" s="28"/>
      <c r="B160" s="14" t="str">
        <f>CONCATENATE("     ","Supplies                                          ")</f>
        <v xml:space="preserve">     Supplies                                          </v>
      </c>
      <c r="C160" s="14"/>
      <c r="D160" s="1">
        <f>SUM(OSRRefD22_20x_0)</f>
        <v>11519.92</v>
      </c>
      <c r="E160" s="1"/>
      <c r="F160" s="5">
        <f t="shared" ref="F160:F169" si="100">IF(D$12=0,0,D160/D$12)</f>
        <v>5.0599811786719448E-2</v>
      </c>
      <c r="G160" s="1"/>
      <c r="H160" s="1">
        <f>SUM(OSRRefH22_20x_0)</f>
        <v>6385</v>
      </c>
      <c r="I160" s="1"/>
      <c r="J160" s="5">
        <f t="shared" ref="J160:J169" si="101">IF(H$12=0,0,H160/H$12)</f>
        <v>2.1143014195787291E-2</v>
      </c>
      <c r="K160" s="1"/>
      <c r="L160" s="1">
        <f t="shared" ref="L160:L169" si="102">+D160-H160</f>
        <v>5134.92</v>
      </c>
      <c r="M160" s="1"/>
      <c r="N160" s="5">
        <f t="shared" ref="N160:N169" si="103">IF(H160=0,0,L160/H160)</f>
        <v>0.80421613155833982</v>
      </c>
      <c r="O160" s="14"/>
      <c r="P160" s="1">
        <f>SUM(OSRRefP22_20x_0)</f>
        <v>11519.92</v>
      </c>
      <c r="Q160" s="1"/>
      <c r="R160" s="5">
        <f t="shared" ref="R160:R169" si="104">IF(P$12=0,0,P160/P$12)</f>
        <v>5.0599811786719448E-2</v>
      </c>
      <c r="S160" s="1"/>
      <c r="T160" s="1">
        <f>SUM(OSRRefT22_20x_0)</f>
        <v>6385</v>
      </c>
      <c r="U160" s="1"/>
      <c r="V160" s="5">
        <f t="shared" ref="V160:V169" si="105">IF(T$12=0,0,T160/T$12)</f>
        <v>2.1143014195787291E-2</v>
      </c>
      <c r="W160" s="1"/>
      <c r="X160" s="1">
        <f t="shared" ref="X160:X169" si="106">+P160-T160</f>
        <v>5134.92</v>
      </c>
      <c r="Y160" s="1"/>
      <c r="Z160" s="5">
        <f t="shared" ref="Z160:Z169" si="107">IF(T160=0,0,X160/T160)</f>
        <v>0.80421613155833982</v>
      </c>
    </row>
    <row r="161" spans="1:26" s="24" customFormat="1" hidden="1" outlineLevel="2" x14ac:dyDescent="0.25">
      <c r="A161" s="27"/>
      <c r="B161" s="12" t="str">
        <f>CONCATENATE("          ", "6234", " - ", "EXPENDABLE SUPPLIES &amp; EQUIPMEN")</f>
        <v xml:space="preserve">          6234 - EXPENDABLE SUPPLIES &amp; EQUIPMEN</v>
      </c>
      <c r="C161" s="12"/>
      <c r="D161" s="7"/>
      <c r="E161" s="3"/>
      <c r="F161" s="8">
        <f t="shared" si="100"/>
        <v>0</v>
      </c>
      <c r="G161" s="3"/>
      <c r="H161" s="7">
        <v>150</v>
      </c>
      <c r="I161" s="3"/>
      <c r="J161" s="8">
        <f t="shared" si="101"/>
        <v>4.9670354414535533E-4</v>
      </c>
      <c r="K161" s="3"/>
      <c r="L161" s="7">
        <f t="shared" si="102"/>
        <v>-150</v>
      </c>
      <c r="M161" s="3"/>
      <c r="N161" s="8">
        <f t="shared" si="103"/>
        <v>-1</v>
      </c>
      <c r="O161" s="12"/>
      <c r="P161" s="7"/>
      <c r="Q161" s="3"/>
      <c r="R161" s="8">
        <f t="shared" si="104"/>
        <v>0</v>
      </c>
      <c r="S161" s="3"/>
      <c r="T161" s="7">
        <v>150</v>
      </c>
      <c r="U161" s="3"/>
      <c r="V161" s="8">
        <f t="shared" si="105"/>
        <v>4.9670354414535533E-4</v>
      </c>
      <c r="W161" s="3"/>
      <c r="X161" s="7">
        <f t="shared" si="106"/>
        <v>-150</v>
      </c>
      <c r="Y161" s="3"/>
      <c r="Z161" s="8">
        <f t="shared" si="107"/>
        <v>-1</v>
      </c>
    </row>
    <row r="162" spans="1:26" s="24" customFormat="1" hidden="1" outlineLevel="2" x14ac:dyDescent="0.25">
      <c r="A162" s="27"/>
      <c r="B162" s="12" t="str">
        <f>CONCATENATE("          ", "6235", " - ", "COVID-19 EXPENSES")</f>
        <v xml:space="preserve">          6235 - COVID-19 EXPENSES</v>
      </c>
      <c r="C162" s="12"/>
      <c r="D162" s="7">
        <v>6012.11</v>
      </c>
      <c r="E162" s="3"/>
      <c r="F162" s="8">
        <f t="shared" si="100"/>
        <v>2.6407443319142306E-2</v>
      </c>
      <c r="G162" s="3"/>
      <c r="H162" s="7">
        <v>300</v>
      </c>
      <c r="I162" s="3"/>
      <c r="J162" s="8">
        <f t="shared" si="101"/>
        <v>9.9340708829071065E-4</v>
      </c>
      <c r="K162" s="3"/>
      <c r="L162" s="7">
        <f t="shared" si="102"/>
        <v>5712.11</v>
      </c>
      <c r="M162" s="3"/>
      <c r="N162" s="8">
        <f t="shared" si="103"/>
        <v>19.040366666666667</v>
      </c>
      <c r="O162" s="12"/>
      <c r="P162" s="7">
        <v>6012.11</v>
      </c>
      <c r="Q162" s="3"/>
      <c r="R162" s="8">
        <f t="shared" si="104"/>
        <v>2.6407443319142306E-2</v>
      </c>
      <c r="S162" s="3"/>
      <c r="T162" s="7">
        <v>300</v>
      </c>
      <c r="U162" s="3"/>
      <c r="V162" s="8">
        <f t="shared" si="105"/>
        <v>9.9340708829071065E-4</v>
      </c>
      <c r="W162" s="3"/>
      <c r="X162" s="7">
        <f t="shared" si="106"/>
        <v>5712.11</v>
      </c>
      <c r="Y162" s="3"/>
      <c r="Z162" s="8">
        <f t="shared" si="107"/>
        <v>19.040366666666667</v>
      </c>
    </row>
    <row r="163" spans="1:26" s="24" customFormat="1" hidden="1" outlineLevel="2" x14ac:dyDescent="0.25">
      <c r="A163" s="27"/>
      <c r="B163" s="12" t="str">
        <f>CONCATENATE("          ", "6237", " - ", "JANITORIAL SUPPLIES")</f>
        <v xml:space="preserve">          6237 - JANITORIAL SUPPLIES</v>
      </c>
      <c r="C163" s="12"/>
      <c r="D163" s="7">
        <v>139.31</v>
      </c>
      <c r="E163" s="3"/>
      <c r="F163" s="8">
        <f t="shared" si="100"/>
        <v>6.1190179966596006E-4</v>
      </c>
      <c r="G163" s="3"/>
      <c r="H163" s="7">
        <v>260</v>
      </c>
      <c r="I163" s="3"/>
      <c r="J163" s="8">
        <f t="shared" si="101"/>
        <v>8.6095280985194918E-4</v>
      </c>
      <c r="K163" s="3"/>
      <c r="L163" s="7">
        <f t="shared" si="102"/>
        <v>-120.69</v>
      </c>
      <c r="M163" s="3"/>
      <c r="N163" s="8">
        <f t="shared" si="103"/>
        <v>-0.46419230769230768</v>
      </c>
      <c r="O163" s="12"/>
      <c r="P163" s="7">
        <v>139.31</v>
      </c>
      <c r="Q163" s="3"/>
      <c r="R163" s="8">
        <f t="shared" si="104"/>
        <v>6.1190179966596006E-4</v>
      </c>
      <c r="S163" s="3"/>
      <c r="T163" s="7">
        <v>260</v>
      </c>
      <c r="U163" s="3"/>
      <c r="V163" s="8">
        <f t="shared" si="105"/>
        <v>8.6095280985194918E-4</v>
      </c>
      <c r="W163" s="3"/>
      <c r="X163" s="7">
        <f t="shared" si="106"/>
        <v>-120.69</v>
      </c>
      <c r="Y163" s="3"/>
      <c r="Z163" s="8">
        <f t="shared" si="107"/>
        <v>-0.46419230769230768</v>
      </c>
    </row>
    <row r="164" spans="1:26" s="24" customFormat="1" hidden="1" outlineLevel="2" x14ac:dyDescent="0.25">
      <c r="A164" s="27"/>
      <c r="B164" s="12" t="str">
        <f>CONCATENATE("          ", "6241", " - ", "OFFICE EXPENSE")</f>
        <v xml:space="preserve">          6241 - OFFICE EXPENSE</v>
      </c>
      <c r="C164" s="12"/>
      <c r="D164" s="7">
        <v>430.41</v>
      </c>
      <c r="E164" s="3"/>
      <c r="F164" s="8">
        <f t="shared" si="100"/>
        <v>1.8905222424393502E-3</v>
      </c>
      <c r="G164" s="3"/>
      <c r="H164" s="7">
        <v>425</v>
      </c>
      <c r="I164" s="3"/>
      <c r="J164" s="8">
        <f t="shared" si="101"/>
        <v>1.40732670841184E-3</v>
      </c>
      <c r="K164" s="3"/>
      <c r="L164" s="7">
        <f t="shared" si="102"/>
        <v>5.410000000000025</v>
      </c>
      <c r="M164" s="3"/>
      <c r="N164" s="8">
        <f t="shared" si="103"/>
        <v>1.272941176470594E-2</v>
      </c>
      <c r="O164" s="12"/>
      <c r="P164" s="7">
        <v>430.41</v>
      </c>
      <c r="Q164" s="3"/>
      <c r="R164" s="8">
        <f t="shared" si="104"/>
        <v>1.8905222424393502E-3</v>
      </c>
      <c r="S164" s="3"/>
      <c r="T164" s="7">
        <v>425</v>
      </c>
      <c r="U164" s="3"/>
      <c r="V164" s="8">
        <f t="shared" si="105"/>
        <v>1.40732670841184E-3</v>
      </c>
      <c r="W164" s="3"/>
      <c r="X164" s="7">
        <f t="shared" si="106"/>
        <v>5.410000000000025</v>
      </c>
      <c r="Y164" s="3"/>
      <c r="Z164" s="8">
        <f t="shared" si="107"/>
        <v>1.272941176470594E-2</v>
      </c>
    </row>
    <row r="165" spans="1:26" s="24" customFormat="1" hidden="1" outlineLevel="2" x14ac:dyDescent="0.25">
      <c r="A165" s="27"/>
      <c r="B165" s="12" t="str">
        <f>CONCATENATE("          ", "6243", " - ", "PAPER SUPPLIES")</f>
        <v xml:space="preserve">          6243 - PAPER SUPPLIES</v>
      </c>
      <c r="C165" s="12"/>
      <c r="D165" s="7">
        <v>1080</v>
      </c>
      <c r="E165" s="3"/>
      <c r="F165" s="8">
        <f t="shared" si="100"/>
        <v>4.7437652978195161E-3</v>
      </c>
      <c r="G165" s="3"/>
      <c r="H165" s="7">
        <v>750</v>
      </c>
      <c r="I165" s="3"/>
      <c r="J165" s="8">
        <f t="shared" si="101"/>
        <v>2.4835177207267766E-3</v>
      </c>
      <c r="K165" s="3"/>
      <c r="L165" s="7">
        <f t="shared" si="102"/>
        <v>330</v>
      </c>
      <c r="M165" s="3"/>
      <c r="N165" s="8">
        <f t="shared" si="103"/>
        <v>0.44</v>
      </c>
      <c r="O165" s="12"/>
      <c r="P165" s="7">
        <v>1080</v>
      </c>
      <c r="Q165" s="3"/>
      <c r="R165" s="8">
        <f t="shared" si="104"/>
        <v>4.7437652978195161E-3</v>
      </c>
      <c r="S165" s="3"/>
      <c r="T165" s="7">
        <v>750</v>
      </c>
      <c r="U165" s="3"/>
      <c r="V165" s="8">
        <f t="shared" si="105"/>
        <v>2.4835177207267766E-3</v>
      </c>
      <c r="W165" s="3"/>
      <c r="X165" s="7">
        <f t="shared" si="106"/>
        <v>330</v>
      </c>
      <c r="Y165" s="3"/>
      <c r="Z165" s="8">
        <f t="shared" si="107"/>
        <v>0.44</v>
      </c>
    </row>
    <row r="166" spans="1:26" s="24" customFormat="1" hidden="1" outlineLevel="2" x14ac:dyDescent="0.25">
      <c r="A166" s="27"/>
      <c r="B166" s="12" t="str">
        <f>CONCATENATE("          ", "6244", " - ", "SAFETY SUPPLY EXPENSE")</f>
        <v xml:space="preserve">          6244 - SAFETY SUPPLY EXPENSE</v>
      </c>
      <c r="C166" s="12"/>
      <c r="D166" s="7"/>
      <c r="E166" s="3"/>
      <c r="F166" s="8">
        <f t="shared" si="100"/>
        <v>0</v>
      </c>
      <c r="G166" s="3"/>
      <c r="H166" s="7">
        <v>25</v>
      </c>
      <c r="I166" s="3"/>
      <c r="J166" s="8">
        <f t="shared" si="101"/>
        <v>8.2783924024225892E-5</v>
      </c>
      <c r="K166" s="3"/>
      <c r="L166" s="7">
        <f t="shared" si="102"/>
        <v>-25</v>
      </c>
      <c r="M166" s="3"/>
      <c r="N166" s="8">
        <f t="shared" si="103"/>
        <v>-1</v>
      </c>
      <c r="O166" s="12"/>
      <c r="P166" s="7"/>
      <c r="Q166" s="3"/>
      <c r="R166" s="8">
        <f t="shared" si="104"/>
        <v>0</v>
      </c>
      <c r="S166" s="3"/>
      <c r="T166" s="7">
        <v>25</v>
      </c>
      <c r="U166" s="3"/>
      <c r="V166" s="8">
        <f t="shared" si="105"/>
        <v>8.2783924024225892E-5</v>
      </c>
      <c r="W166" s="3"/>
      <c r="X166" s="7">
        <f t="shared" si="106"/>
        <v>-25</v>
      </c>
      <c r="Y166" s="3"/>
      <c r="Z166" s="8">
        <f t="shared" si="107"/>
        <v>-1</v>
      </c>
    </row>
    <row r="167" spans="1:26" s="24" customFormat="1" hidden="1" outlineLevel="2" x14ac:dyDescent="0.25">
      <c r="A167" s="27"/>
      <c r="B167" s="12" t="str">
        <f>CONCATENATE("          ", "6245", " - ", "PRINTING")</f>
        <v xml:space="preserve">          6245 - PRINTING</v>
      </c>
      <c r="C167" s="12"/>
      <c r="D167" s="7">
        <v>-1543.5</v>
      </c>
      <c r="E167" s="3"/>
      <c r="F167" s="8">
        <f t="shared" si="100"/>
        <v>-6.7796312381337258E-3</v>
      </c>
      <c r="G167" s="3"/>
      <c r="H167" s="7">
        <v>350</v>
      </c>
      <c r="I167" s="3"/>
      <c r="J167" s="8">
        <f t="shared" si="101"/>
        <v>1.1589749363391624E-3</v>
      </c>
      <c r="K167" s="3"/>
      <c r="L167" s="7">
        <f t="shared" si="102"/>
        <v>-1893.5</v>
      </c>
      <c r="M167" s="3"/>
      <c r="N167" s="8">
        <f t="shared" si="103"/>
        <v>-5.41</v>
      </c>
      <c r="O167" s="12"/>
      <c r="P167" s="7">
        <v>-1543.5</v>
      </c>
      <c r="Q167" s="3"/>
      <c r="R167" s="8">
        <f t="shared" si="104"/>
        <v>-6.7796312381337258E-3</v>
      </c>
      <c r="S167" s="3"/>
      <c r="T167" s="7">
        <v>350</v>
      </c>
      <c r="U167" s="3"/>
      <c r="V167" s="8">
        <f t="shared" si="105"/>
        <v>1.1589749363391624E-3</v>
      </c>
      <c r="W167" s="3"/>
      <c r="X167" s="7">
        <f t="shared" si="106"/>
        <v>-1893.5</v>
      </c>
      <c r="Y167" s="3"/>
      <c r="Z167" s="8">
        <f t="shared" si="107"/>
        <v>-5.41</v>
      </c>
    </row>
    <row r="168" spans="1:26" s="24" customFormat="1" hidden="1" outlineLevel="2" x14ac:dyDescent="0.25">
      <c r="A168" s="27"/>
      <c r="B168" s="12" t="str">
        <f>CONCATENATE("          ", "6247", " - ", "STORE SUPPLIES")</f>
        <v xml:space="preserve">          6247 - STORE SUPPLIES</v>
      </c>
      <c r="C168" s="12"/>
      <c r="D168" s="7">
        <v>5401.59</v>
      </c>
      <c r="E168" s="3"/>
      <c r="F168" s="8">
        <f t="shared" si="100"/>
        <v>2.372581036578604E-2</v>
      </c>
      <c r="G168" s="3"/>
      <c r="H168" s="7">
        <v>2625</v>
      </c>
      <c r="I168" s="3"/>
      <c r="J168" s="8">
        <f t="shared" si="101"/>
        <v>8.6923120225437175E-3</v>
      </c>
      <c r="K168" s="3"/>
      <c r="L168" s="7">
        <f t="shared" si="102"/>
        <v>2776.59</v>
      </c>
      <c r="M168" s="3"/>
      <c r="N168" s="8">
        <f t="shared" si="103"/>
        <v>1.0577485714285715</v>
      </c>
      <c r="O168" s="12"/>
      <c r="P168" s="7">
        <v>5401.59</v>
      </c>
      <c r="Q168" s="3"/>
      <c r="R168" s="8">
        <f t="shared" si="104"/>
        <v>2.372581036578604E-2</v>
      </c>
      <c r="S168" s="3"/>
      <c r="T168" s="7">
        <v>2625</v>
      </c>
      <c r="U168" s="3"/>
      <c r="V168" s="8">
        <f t="shared" si="105"/>
        <v>8.6923120225437175E-3</v>
      </c>
      <c r="W168" s="3"/>
      <c r="X168" s="7">
        <f t="shared" si="106"/>
        <v>2776.59</v>
      </c>
      <c r="Y168" s="3"/>
      <c r="Z168" s="8">
        <f t="shared" si="107"/>
        <v>1.0577485714285715</v>
      </c>
    </row>
    <row r="169" spans="1:26" s="24" customFormat="1" hidden="1" outlineLevel="2" x14ac:dyDescent="0.25">
      <c r="A169" s="27"/>
      <c r="B169" s="12" t="str">
        <f>CONCATENATE("          ", "6248", " - ", "UNIFORMS")</f>
        <v xml:space="preserve">          6248 - UNIFORMS</v>
      </c>
      <c r="C169" s="12"/>
      <c r="D169" s="7"/>
      <c r="E169" s="3"/>
      <c r="F169" s="8">
        <f t="shared" si="100"/>
        <v>0</v>
      </c>
      <c r="G169" s="3"/>
      <c r="H169" s="7">
        <v>1500</v>
      </c>
      <c r="I169" s="3"/>
      <c r="J169" s="8">
        <f t="shared" si="101"/>
        <v>4.9670354414535533E-3</v>
      </c>
      <c r="K169" s="3"/>
      <c r="L169" s="7">
        <f t="shared" si="102"/>
        <v>-1500</v>
      </c>
      <c r="M169" s="3"/>
      <c r="N169" s="8">
        <f t="shared" si="103"/>
        <v>-1</v>
      </c>
      <c r="O169" s="12"/>
      <c r="P169" s="7"/>
      <c r="Q169" s="3"/>
      <c r="R169" s="8">
        <f t="shared" si="104"/>
        <v>0</v>
      </c>
      <c r="S169" s="3"/>
      <c r="T169" s="7">
        <v>1500</v>
      </c>
      <c r="U169" s="3"/>
      <c r="V169" s="8">
        <f t="shared" si="105"/>
        <v>4.9670354414535533E-3</v>
      </c>
      <c r="W169" s="3"/>
      <c r="X169" s="7">
        <f t="shared" si="106"/>
        <v>-1500</v>
      </c>
      <c r="Y169" s="3"/>
      <c r="Z169" s="8">
        <f t="shared" si="107"/>
        <v>-1</v>
      </c>
    </row>
    <row r="170" spans="1:26" s="29" customFormat="1" outlineLevel="1" collapsed="1" x14ac:dyDescent="0.25">
      <c r="A170" s="28"/>
      <c r="B170" s="14" t="str">
        <f>CONCATENATE("     ","Telephone/Data Lines                              ")</f>
        <v xml:space="preserve">     Telephone/Data Lines                              </v>
      </c>
      <c r="C170" s="14"/>
      <c r="D170" s="1">
        <f>SUM(OSRRefD22_21x_0)</f>
        <v>2373.25</v>
      </c>
      <c r="E170" s="1"/>
      <c r="F170" s="5">
        <f t="shared" ref="F170:F172" si="108">IF(D$12=0,0,D170/D$12)</f>
        <v>1.04242046231946E-2</v>
      </c>
      <c r="G170" s="1"/>
      <c r="H170" s="1">
        <f>SUM(OSRRefH22_21x_0)</f>
        <v>2295</v>
      </c>
      <c r="I170" s="1"/>
      <c r="J170" s="5">
        <f t="shared" ref="J170:J172" si="109">IF(H$12=0,0,H170/H$12)</f>
        <v>7.5995642254239361E-3</v>
      </c>
      <c r="K170" s="1"/>
      <c r="L170" s="1">
        <f t="shared" ref="L170:L172" si="110">+D170-H170</f>
        <v>78.25</v>
      </c>
      <c r="M170" s="1"/>
      <c r="N170" s="5">
        <f t="shared" ref="N170:N172" si="111">IF(H170=0,0,L170/H170)</f>
        <v>3.4095860566448803E-2</v>
      </c>
      <c r="O170" s="14"/>
      <c r="P170" s="1">
        <f>SUM(OSRRefP22_21x_0)</f>
        <v>2373.25</v>
      </c>
      <c r="Q170" s="1"/>
      <c r="R170" s="5">
        <f t="shared" ref="R170:R172" si="112">IF(P$12=0,0,P170/P$12)</f>
        <v>1.04242046231946E-2</v>
      </c>
      <c r="S170" s="1"/>
      <c r="T170" s="1">
        <f>SUM(OSRRefT22_21x_0)</f>
        <v>2295</v>
      </c>
      <c r="U170" s="1"/>
      <c r="V170" s="5">
        <f t="shared" ref="V170:V172" si="113">IF(T$12=0,0,T170/T$12)</f>
        <v>7.5995642254239361E-3</v>
      </c>
      <c r="W170" s="1"/>
      <c r="X170" s="1">
        <f t="shared" ref="X170:X172" si="114">+P170-T170</f>
        <v>78.25</v>
      </c>
      <c r="Y170" s="1"/>
      <c r="Z170" s="5">
        <f t="shared" ref="Z170:Z172" si="115">IF(T170=0,0,X170/T170)</f>
        <v>3.4095860566448803E-2</v>
      </c>
    </row>
    <row r="171" spans="1:26" s="24" customFormat="1" hidden="1" outlineLevel="2" x14ac:dyDescent="0.25">
      <c r="A171" s="27"/>
      <c r="B171" s="12" t="str">
        <f>CONCATENATE("          ", "6303", " - ", "DATA PHONE LINES")</f>
        <v xml:space="preserve">          6303 - DATA PHONE LINES</v>
      </c>
      <c r="C171" s="12"/>
      <c r="D171" s="7">
        <v>295</v>
      </c>
      <c r="E171" s="3"/>
      <c r="F171" s="8">
        <f t="shared" si="108"/>
        <v>1.2957507063488494E-3</v>
      </c>
      <c r="G171" s="3"/>
      <c r="H171" s="7">
        <v>630</v>
      </c>
      <c r="I171" s="3"/>
      <c r="J171" s="8">
        <f t="shared" si="109"/>
        <v>2.0861548854104925E-3</v>
      </c>
      <c r="K171" s="3"/>
      <c r="L171" s="7">
        <f t="shared" si="110"/>
        <v>-335</v>
      </c>
      <c r="M171" s="3"/>
      <c r="N171" s="8">
        <f t="shared" si="111"/>
        <v>-0.53174603174603174</v>
      </c>
      <c r="O171" s="12"/>
      <c r="P171" s="7">
        <v>295</v>
      </c>
      <c r="Q171" s="3"/>
      <c r="R171" s="8">
        <f t="shared" si="112"/>
        <v>1.2957507063488494E-3</v>
      </c>
      <c r="S171" s="3"/>
      <c r="T171" s="7">
        <v>630</v>
      </c>
      <c r="U171" s="3"/>
      <c r="V171" s="8">
        <f t="shared" si="113"/>
        <v>2.0861548854104925E-3</v>
      </c>
      <c r="W171" s="3"/>
      <c r="X171" s="7">
        <f t="shared" si="114"/>
        <v>-335</v>
      </c>
      <c r="Y171" s="3"/>
      <c r="Z171" s="8">
        <f t="shared" si="115"/>
        <v>-0.53174603174603174</v>
      </c>
    </row>
    <row r="172" spans="1:26" s="24" customFormat="1" hidden="1" outlineLevel="2" x14ac:dyDescent="0.25">
      <c r="A172" s="27"/>
      <c r="B172" s="12" t="str">
        <f>CONCATENATE("          ", "6309", " - ", "TELEPHONE")</f>
        <v xml:space="preserve">          6309 - TELEPHONE</v>
      </c>
      <c r="C172" s="12"/>
      <c r="D172" s="7">
        <v>2078.25</v>
      </c>
      <c r="E172" s="3"/>
      <c r="F172" s="8">
        <f t="shared" si="108"/>
        <v>9.1284539168457503E-3</v>
      </c>
      <c r="G172" s="3"/>
      <c r="H172" s="7">
        <v>1665</v>
      </c>
      <c r="I172" s="3"/>
      <c r="J172" s="8">
        <f t="shared" si="109"/>
        <v>5.513409340013444E-3</v>
      </c>
      <c r="K172" s="3"/>
      <c r="L172" s="7">
        <f t="shared" si="110"/>
        <v>413.25</v>
      </c>
      <c r="M172" s="3"/>
      <c r="N172" s="8">
        <f t="shared" si="111"/>
        <v>0.24819819819819819</v>
      </c>
      <c r="O172" s="12"/>
      <c r="P172" s="7">
        <v>2078.25</v>
      </c>
      <c r="Q172" s="3"/>
      <c r="R172" s="8">
        <f t="shared" si="112"/>
        <v>9.1284539168457503E-3</v>
      </c>
      <c r="S172" s="3"/>
      <c r="T172" s="7">
        <v>1665</v>
      </c>
      <c r="U172" s="3"/>
      <c r="V172" s="8">
        <f t="shared" si="113"/>
        <v>5.513409340013444E-3</v>
      </c>
      <c r="W172" s="3"/>
      <c r="X172" s="7">
        <f t="shared" si="114"/>
        <v>413.25</v>
      </c>
      <c r="Y172" s="3"/>
      <c r="Z172" s="8">
        <f t="shared" si="115"/>
        <v>0.24819819819819819</v>
      </c>
    </row>
    <row r="173" spans="1:26" s="29" customFormat="1" outlineLevel="1" collapsed="1" x14ac:dyDescent="0.25">
      <c r="A173" s="28"/>
      <c r="B173" s="14" t="str">
        <f>CONCATENATE("     ","Training                                          ")</f>
        <v xml:space="preserve">     Training                                          </v>
      </c>
      <c r="C173" s="14"/>
      <c r="D173" s="1">
        <f>SUM(OSRRefD22_22x_0)</f>
        <v>131.63</v>
      </c>
      <c r="E173" s="1"/>
      <c r="F173" s="5">
        <f t="shared" ref="F173:F178" si="116">IF(D$12=0,0,D173/D$12)</f>
        <v>5.7816835754813238E-4</v>
      </c>
      <c r="G173" s="1"/>
      <c r="H173" s="1">
        <f>SUM(OSRRefH22_22x_0)</f>
        <v>0</v>
      </c>
      <c r="I173" s="1"/>
      <c r="J173" s="5">
        <f t="shared" ref="J173:J178" si="117">IF(H$12=0,0,H173/H$12)</f>
        <v>0</v>
      </c>
      <c r="K173" s="1"/>
      <c r="L173" s="1">
        <f t="shared" ref="L173:L178" si="118">+D173-H173</f>
        <v>131.63</v>
      </c>
      <c r="M173" s="1"/>
      <c r="N173" s="5">
        <f t="shared" ref="N173:N178" si="119">IF(H173=0,0,L173/H173)</f>
        <v>0</v>
      </c>
      <c r="O173" s="14"/>
      <c r="P173" s="1">
        <f>SUM(OSRRefP22_22x_0)</f>
        <v>131.63</v>
      </c>
      <c r="Q173" s="1"/>
      <c r="R173" s="5">
        <f t="shared" ref="R173:R178" si="120">IF(P$12=0,0,P173/P$12)</f>
        <v>5.7816835754813238E-4</v>
      </c>
      <c r="S173" s="1"/>
      <c r="T173" s="1">
        <f>SUM(OSRRefT22_22x_0)</f>
        <v>0</v>
      </c>
      <c r="U173" s="1"/>
      <c r="V173" s="5">
        <f t="shared" ref="V173:V178" si="121">IF(T$12=0,0,T173/T$12)</f>
        <v>0</v>
      </c>
      <c r="W173" s="1"/>
      <c r="X173" s="1">
        <f t="shared" ref="X173:X178" si="122">+P173-T173</f>
        <v>131.63</v>
      </c>
      <c r="Y173" s="1"/>
      <c r="Z173" s="5">
        <f t="shared" ref="Z173:Z178" si="123">IF(T173=0,0,X173/T173)</f>
        <v>0</v>
      </c>
    </row>
    <row r="174" spans="1:26" s="24" customFormat="1" hidden="1" outlineLevel="2" x14ac:dyDescent="0.25">
      <c r="A174" s="27"/>
      <c r="B174" s="12" t="str">
        <f>CONCATENATE("          ", "6376", " - ", "TRAINING")</f>
        <v xml:space="preserve">          6376 - TRAINING</v>
      </c>
      <c r="C174" s="12"/>
      <c r="D174" s="7">
        <v>131.63</v>
      </c>
      <c r="E174" s="3"/>
      <c r="F174" s="8">
        <f t="shared" si="116"/>
        <v>5.7816835754813238E-4</v>
      </c>
      <c r="G174" s="3"/>
      <c r="H174" s="7">
        <v>0</v>
      </c>
      <c r="I174" s="3"/>
      <c r="J174" s="8">
        <f t="shared" si="117"/>
        <v>0</v>
      </c>
      <c r="K174" s="3"/>
      <c r="L174" s="7">
        <f t="shared" si="118"/>
        <v>131.63</v>
      </c>
      <c r="M174" s="3"/>
      <c r="N174" s="8">
        <f t="shared" si="119"/>
        <v>0</v>
      </c>
      <c r="O174" s="12"/>
      <c r="P174" s="7">
        <v>131.63</v>
      </c>
      <c r="Q174" s="3"/>
      <c r="R174" s="8">
        <f t="shared" si="120"/>
        <v>5.7816835754813238E-4</v>
      </c>
      <c r="S174" s="3"/>
      <c r="T174" s="7">
        <v>0</v>
      </c>
      <c r="U174" s="3"/>
      <c r="V174" s="8">
        <f t="shared" si="121"/>
        <v>0</v>
      </c>
      <c r="W174" s="3"/>
      <c r="X174" s="7">
        <f t="shared" si="122"/>
        <v>131.63</v>
      </c>
      <c r="Y174" s="3"/>
      <c r="Z174" s="8">
        <f t="shared" si="123"/>
        <v>0</v>
      </c>
    </row>
    <row r="175" spans="1:26" s="29" customFormat="1" outlineLevel="1" collapsed="1" x14ac:dyDescent="0.25">
      <c r="A175" s="28"/>
      <c r="B175" s="14" t="str">
        <f>CONCATENATE("     ","Travel                                            ")</f>
        <v xml:space="preserve">     Travel                                            </v>
      </c>
      <c r="C175" s="14"/>
      <c r="D175" s="1">
        <f>SUM(OSRRefD22_23x_0)</f>
        <v>275.20999999999998</v>
      </c>
      <c r="E175" s="1"/>
      <c r="F175" s="5">
        <f t="shared" si="116"/>
        <v>1.2088255996415824E-3</v>
      </c>
      <c r="G175" s="1"/>
      <c r="H175" s="1">
        <f>SUM(OSRRefH22_23x_0)</f>
        <v>50</v>
      </c>
      <c r="I175" s="1"/>
      <c r="J175" s="5">
        <f t="shared" si="117"/>
        <v>1.6556784804845178E-4</v>
      </c>
      <c r="K175" s="1"/>
      <c r="L175" s="1">
        <f t="shared" si="118"/>
        <v>225.20999999999998</v>
      </c>
      <c r="M175" s="1"/>
      <c r="N175" s="5">
        <f t="shared" si="119"/>
        <v>4.5042</v>
      </c>
      <c r="O175" s="14"/>
      <c r="P175" s="1">
        <f>SUM(OSRRefP22_23x_0)</f>
        <v>275.20999999999998</v>
      </c>
      <c r="Q175" s="1"/>
      <c r="R175" s="5">
        <f t="shared" si="120"/>
        <v>1.2088255996415824E-3</v>
      </c>
      <c r="S175" s="1"/>
      <c r="T175" s="1">
        <f>SUM(OSRRefT22_23x_0)</f>
        <v>50</v>
      </c>
      <c r="U175" s="1"/>
      <c r="V175" s="5">
        <f t="shared" si="121"/>
        <v>1.6556784804845178E-4</v>
      </c>
      <c r="W175" s="1"/>
      <c r="X175" s="1">
        <f t="shared" si="122"/>
        <v>225.20999999999998</v>
      </c>
      <c r="Y175" s="1"/>
      <c r="Z175" s="5">
        <f t="shared" si="123"/>
        <v>4.5042</v>
      </c>
    </row>
    <row r="176" spans="1:26" s="24" customFormat="1" hidden="1" outlineLevel="2" x14ac:dyDescent="0.25">
      <c r="A176" s="27"/>
      <c r="B176" s="12" t="str">
        <f>CONCATENATE("          ", "6292", " - ", "TRAVEL/CONFERENCE")</f>
        <v xml:space="preserve">          6292 - TRAVEL/CONFERENCE</v>
      </c>
      <c r="C176" s="12"/>
      <c r="D176" s="7">
        <v>0.16</v>
      </c>
      <c r="E176" s="3"/>
      <c r="F176" s="8">
        <f t="shared" si="116"/>
        <v>7.0278004412140989E-7</v>
      </c>
      <c r="G176" s="3"/>
      <c r="H176" s="7"/>
      <c r="I176" s="3"/>
      <c r="J176" s="8">
        <f t="shared" si="117"/>
        <v>0</v>
      </c>
      <c r="K176" s="3"/>
      <c r="L176" s="7">
        <f t="shared" si="118"/>
        <v>0.16</v>
      </c>
      <c r="M176" s="3"/>
      <c r="N176" s="8">
        <f t="shared" si="119"/>
        <v>0</v>
      </c>
      <c r="O176" s="12"/>
      <c r="P176" s="7">
        <v>0.16</v>
      </c>
      <c r="Q176" s="3"/>
      <c r="R176" s="8">
        <f t="shared" si="120"/>
        <v>7.0278004412140989E-7</v>
      </c>
      <c r="S176" s="3"/>
      <c r="T176" s="7"/>
      <c r="U176" s="3"/>
      <c r="V176" s="8">
        <f t="shared" si="121"/>
        <v>0</v>
      </c>
      <c r="W176" s="3"/>
      <c r="X176" s="7">
        <f t="shared" si="122"/>
        <v>0.16</v>
      </c>
      <c r="Y176" s="3"/>
      <c r="Z176" s="8">
        <f t="shared" si="123"/>
        <v>0</v>
      </c>
    </row>
    <row r="177" spans="1:26" s="24" customFormat="1" hidden="1" outlineLevel="2" x14ac:dyDescent="0.25">
      <c r="A177" s="27"/>
      <c r="B177" s="12" t="str">
        <f>CONCATENATE("          ", "6294", " - ", "TRAVEL OPERATIONAL")</f>
        <v xml:space="preserve">          6294 - TRAVEL OPERATIONAL</v>
      </c>
      <c r="C177" s="12"/>
      <c r="D177" s="7">
        <v>215.16</v>
      </c>
      <c r="E177" s="3"/>
      <c r="F177" s="8">
        <f t="shared" si="116"/>
        <v>9.4506346433226589E-4</v>
      </c>
      <c r="G177" s="3"/>
      <c r="H177" s="7">
        <v>25</v>
      </c>
      <c r="I177" s="3"/>
      <c r="J177" s="8">
        <f t="shared" si="117"/>
        <v>8.2783924024225892E-5</v>
      </c>
      <c r="K177" s="3"/>
      <c r="L177" s="7">
        <f t="shared" si="118"/>
        <v>190.16</v>
      </c>
      <c r="M177" s="3"/>
      <c r="N177" s="8">
        <f t="shared" si="119"/>
        <v>7.6063999999999998</v>
      </c>
      <c r="O177" s="12"/>
      <c r="P177" s="7">
        <v>215.16</v>
      </c>
      <c r="Q177" s="3"/>
      <c r="R177" s="8">
        <f t="shared" si="120"/>
        <v>9.4506346433226589E-4</v>
      </c>
      <c r="S177" s="3"/>
      <c r="T177" s="7">
        <v>25</v>
      </c>
      <c r="U177" s="3"/>
      <c r="V177" s="8">
        <f t="shared" si="121"/>
        <v>8.2783924024225892E-5</v>
      </c>
      <c r="W177" s="3"/>
      <c r="X177" s="7">
        <f t="shared" si="122"/>
        <v>190.16</v>
      </c>
      <c r="Y177" s="3"/>
      <c r="Z177" s="8">
        <f t="shared" si="123"/>
        <v>7.6063999999999998</v>
      </c>
    </row>
    <row r="178" spans="1:26" s="24" customFormat="1" hidden="1" outlineLevel="2" x14ac:dyDescent="0.25">
      <c r="A178" s="27"/>
      <c r="B178" s="12" t="str">
        <f>CONCATENATE("          ", "6298", " - ", "VEHICLE MILEAGE")</f>
        <v xml:space="preserve">          6298 - VEHICLE MILEAGE</v>
      </c>
      <c r="C178" s="12"/>
      <c r="D178" s="7">
        <v>59.89</v>
      </c>
      <c r="E178" s="3"/>
      <c r="F178" s="8">
        <f t="shared" si="116"/>
        <v>2.630593552651952E-4</v>
      </c>
      <c r="G178" s="3"/>
      <c r="H178" s="7">
        <v>25</v>
      </c>
      <c r="I178" s="3"/>
      <c r="J178" s="8">
        <f t="shared" si="117"/>
        <v>8.2783924024225892E-5</v>
      </c>
      <c r="K178" s="3"/>
      <c r="L178" s="7">
        <f t="shared" si="118"/>
        <v>34.89</v>
      </c>
      <c r="M178" s="3"/>
      <c r="N178" s="8">
        <f t="shared" si="119"/>
        <v>1.3956</v>
      </c>
      <c r="O178" s="12"/>
      <c r="P178" s="7">
        <v>59.89</v>
      </c>
      <c r="Q178" s="3"/>
      <c r="R178" s="8">
        <f t="shared" si="120"/>
        <v>2.630593552651952E-4</v>
      </c>
      <c r="S178" s="3"/>
      <c r="T178" s="7">
        <v>25</v>
      </c>
      <c r="U178" s="3"/>
      <c r="V178" s="8">
        <f t="shared" si="121"/>
        <v>8.2783924024225892E-5</v>
      </c>
      <c r="W178" s="3"/>
      <c r="X178" s="7">
        <f t="shared" si="122"/>
        <v>34.89</v>
      </c>
      <c r="Y178" s="3"/>
      <c r="Z178" s="8">
        <f t="shared" si="123"/>
        <v>1.3956</v>
      </c>
    </row>
    <row r="179" spans="1:26" s="29" customFormat="1" outlineLevel="1" collapsed="1" x14ac:dyDescent="0.25">
      <c r="A179" s="28"/>
      <c r="B179" s="14" t="str">
        <f>CONCATENATE("     ","Utilities                                         ")</f>
        <v xml:space="preserve">     Utilities                                         </v>
      </c>
      <c r="C179" s="14"/>
      <c r="D179" s="1">
        <f>SUM(OSRRefD22_24x_0)</f>
        <v>6161.46</v>
      </c>
      <c r="E179" s="1"/>
      <c r="F179" s="5">
        <f t="shared" ref="F179:F180" si="124">IF(D$12=0,0,D179/D$12)</f>
        <v>2.7063444566576885E-2</v>
      </c>
      <c r="G179" s="1"/>
      <c r="H179" s="1">
        <f>SUM(OSRRefH22_24x_0)</f>
        <v>6105</v>
      </c>
      <c r="I179" s="1"/>
      <c r="J179" s="5">
        <f t="shared" ref="J179:J180" si="125">IF(H$12=0,0,H179/H$12)</f>
        <v>2.0215834246715962E-2</v>
      </c>
      <c r="K179" s="1"/>
      <c r="L179" s="1">
        <f t="shared" ref="L179:L180" si="126">+D179-H179</f>
        <v>56.460000000000036</v>
      </c>
      <c r="M179" s="1"/>
      <c r="N179" s="5">
        <f t="shared" ref="N179:N180" si="127">IF(H179=0,0,L179/H179)</f>
        <v>9.2481572481572533E-3</v>
      </c>
      <c r="O179" s="14"/>
      <c r="P179" s="1">
        <f>SUM(OSRRefP22_24x_0)</f>
        <v>6161.46</v>
      </c>
      <c r="Q179" s="1"/>
      <c r="R179" s="5">
        <f t="shared" ref="R179:R180" si="128">IF(P$12=0,0,P179/P$12)</f>
        <v>2.7063444566576885E-2</v>
      </c>
      <c r="S179" s="1"/>
      <c r="T179" s="1">
        <f>SUM(OSRRefT22_24x_0)</f>
        <v>6105</v>
      </c>
      <c r="U179" s="1"/>
      <c r="V179" s="5">
        <f t="shared" ref="V179:V180" si="129">IF(T$12=0,0,T179/T$12)</f>
        <v>2.0215834246715962E-2</v>
      </c>
      <c r="W179" s="1"/>
      <c r="X179" s="1">
        <f t="shared" ref="X179:X180" si="130">+P179-T179</f>
        <v>56.460000000000036</v>
      </c>
      <c r="Y179" s="1"/>
      <c r="Z179" s="5">
        <f t="shared" ref="Z179:Z180" si="131">IF(T179=0,0,X179/T179)</f>
        <v>9.2481572481572533E-3</v>
      </c>
    </row>
    <row r="180" spans="1:26" s="24" customFormat="1" hidden="1" outlineLevel="2" x14ac:dyDescent="0.25">
      <c r="A180" s="27"/>
      <c r="B180" s="12" t="str">
        <f>CONCATENATE("          ", "6274", " - ", "UTILITIES")</f>
        <v xml:space="preserve">          6274 - UTILITIES</v>
      </c>
      <c r="C180" s="12"/>
      <c r="D180" s="7">
        <v>6161.46</v>
      </c>
      <c r="E180" s="3"/>
      <c r="F180" s="8">
        <f t="shared" si="124"/>
        <v>2.7063444566576885E-2</v>
      </c>
      <c r="G180" s="3"/>
      <c r="H180" s="7">
        <v>6105</v>
      </c>
      <c r="I180" s="3"/>
      <c r="J180" s="8">
        <f t="shared" si="125"/>
        <v>2.0215834246715962E-2</v>
      </c>
      <c r="K180" s="3"/>
      <c r="L180" s="7">
        <f t="shared" si="126"/>
        <v>56.460000000000036</v>
      </c>
      <c r="M180" s="3"/>
      <c r="N180" s="8">
        <f t="shared" si="127"/>
        <v>9.2481572481572533E-3</v>
      </c>
      <c r="O180" s="12"/>
      <c r="P180" s="7">
        <v>6161.46</v>
      </c>
      <c r="Q180" s="3"/>
      <c r="R180" s="8">
        <f t="shared" si="128"/>
        <v>2.7063444566576885E-2</v>
      </c>
      <c r="S180" s="3"/>
      <c r="T180" s="7">
        <v>6105</v>
      </c>
      <c r="U180" s="3"/>
      <c r="V180" s="8">
        <f t="shared" si="129"/>
        <v>2.0215834246715962E-2</v>
      </c>
      <c r="W180" s="3"/>
      <c r="X180" s="7">
        <f t="shared" si="130"/>
        <v>56.460000000000036</v>
      </c>
      <c r="Y180" s="3"/>
      <c r="Z180" s="8">
        <f t="shared" si="131"/>
        <v>9.2481572481572533E-3</v>
      </c>
    </row>
    <row r="181" spans="1:26" s="54" customFormat="1" x14ac:dyDescent="0.25">
      <c r="A181" s="36"/>
      <c r="B181" s="36"/>
      <c r="C181" s="36"/>
      <c r="D181" s="1"/>
      <c r="E181" s="1"/>
      <c r="F181" s="5"/>
      <c r="G181" s="1"/>
      <c r="H181" s="1"/>
      <c r="I181" s="1"/>
      <c r="J181" s="5"/>
      <c r="K181" s="1"/>
      <c r="L181" s="1"/>
      <c r="M181" s="1"/>
      <c r="N181" s="5"/>
      <c r="O181" s="36"/>
      <c r="P181" s="1"/>
      <c r="Q181" s="1"/>
      <c r="R181" s="5"/>
      <c r="S181" s="1"/>
      <c r="T181" s="1"/>
      <c r="U181" s="1"/>
      <c r="V181" s="5"/>
      <c r="W181" s="1"/>
      <c r="X181" s="1"/>
      <c r="Y181" s="1"/>
      <c r="Z181" s="5"/>
    </row>
    <row r="182" spans="1:26" s="22" customFormat="1" collapsed="1" x14ac:dyDescent="0.25">
      <c r="A182" s="10"/>
      <c r="B182" s="26" t="s">
        <v>0</v>
      </c>
      <c r="C182" s="10"/>
      <c r="D182" s="4">
        <f>SUM(OSRRefD25x_0)</f>
        <v>197872.55</v>
      </c>
      <c r="E182" s="4"/>
      <c r="F182" s="11">
        <f t="shared" ref="F182:F186" si="132">IF(D$12=0,0,D182/D$12)</f>
        <v>0.86913049637134909</v>
      </c>
      <c r="G182" s="4"/>
      <c r="H182" s="4">
        <f>SUM(OSRRefH25x_0)</f>
        <v>32425</v>
      </c>
      <c r="I182" s="4"/>
      <c r="J182" s="11">
        <f t="shared" ref="J182:J186" si="133">IF(H$12=0,0,H182/H$12)</f>
        <v>0.10737074945942097</v>
      </c>
      <c r="K182" s="4"/>
      <c r="L182" s="4">
        <f t="shared" ref="L182:L186" si="134">+D182-H182</f>
        <v>165447.54999999999</v>
      </c>
      <c r="M182" s="4"/>
      <c r="N182" s="11">
        <f t="shared" ref="N182:N186" si="135">IF(H182=0,0,L182/H182)</f>
        <v>5.1024687740940626</v>
      </c>
      <c r="O182" s="10"/>
      <c r="P182" s="4">
        <f>SUM(OSRRefP25x_0)</f>
        <v>197872.55</v>
      </c>
      <c r="Q182" s="4"/>
      <c r="R182" s="11">
        <f t="shared" ref="R182:R186" si="136">IF(P$12=0,0,P182/P$12)</f>
        <v>0.86913049637134909</v>
      </c>
      <c r="S182" s="4"/>
      <c r="T182" s="4">
        <f>SUM(OSRRefT25x_0)</f>
        <v>32425</v>
      </c>
      <c r="U182" s="4"/>
      <c r="V182" s="11">
        <f t="shared" ref="V182:V186" si="137">IF(T$12=0,0,T182/T$12)</f>
        <v>0.10737074945942097</v>
      </c>
      <c r="W182" s="4"/>
      <c r="X182" s="4">
        <f t="shared" ref="X182:X186" si="138">+P182-T182</f>
        <v>165447.54999999999</v>
      </c>
      <c r="Y182" s="4"/>
      <c r="Z182" s="11">
        <f t="shared" ref="Z182:Z186" si="139">IF(T182=0,0,X182/T182)</f>
        <v>5.1024687740940626</v>
      </c>
    </row>
    <row r="183" spans="1:26" s="24" customFormat="1" hidden="1" outlineLevel="1" x14ac:dyDescent="0.25">
      <c r="A183" s="51"/>
      <c r="B183" s="12" t="str">
        <f>CONCATENATE("          ", "9150", " - ", "MISC. INCOME")</f>
        <v xml:space="preserve">          9150 - MISC. INCOME</v>
      </c>
      <c r="C183" s="12"/>
      <c r="D183" s="3">
        <f>--35734.26</f>
        <v>35734.26</v>
      </c>
      <c r="E183" s="3"/>
      <c r="F183" s="23">
        <f t="shared" si="132"/>
        <v>0.15695828012153706</v>
      </c>
      <c r="G183" s="3"/>
      <c r="H183" s="3">
        <v>17050</v>
      </c>
      <c r="I183" s="3"/>
      <c r="J183" s="23">
        <f t="shared" si="133"/>
        <v>5.6458636184522057E-2</v>
      </c>
      <c r="K183" s="3"/>
      <c r="L183" s="3">
        <f t="shared" si="134"/>
        <v>18684.260000000002</v>
      </c>
      <c r="M183" s="3"/>
      <c r="N183" s="23">
        <f t="shared" si="135"/>
        <v>1.0958510263929619</v>
      </c>
      <c r="O183" s="12"/>
      <c r="P183" s="3">
        <f>--35734.26</f>
        <v>35734.26</v>
      </c>
      <c r="Q183" s="3"/>
      <c r="R183" s="23">
        <f t="shared" si="136"/>
        <v>0.15695828012153706</v>
      </c>
      <c r="S183" s="3"/>
      <c r="T183" s="3">
        <v>17050</v>
      </c>
      <c r="U183" s="3"/>
      <c r="V183" s="23">
        <f t="shared" si="137"/>
        <v>5.6458636184522057E-2</v>
      </c>
      <c r="W183" s="3"/>
      <c r="X183" s="3">
        <f t="shared" si="138"/>
        <v>18684.260000000002</v>
      </c>
      <c r="Y183" s="3"/>
      <c r="Z183" s="23">
        <f t="shared" si="139"/>
        <v>1.0958510263929619</v>
      </c>
    </row>
    <row r="184" spans="1:26" s="24" customFormat="1" hidden="1" outlineLevel="1" x14ac:dyDescent="0.25">
      <c r="A184" s="51"/>
      <c r="B184" s="12" t="str">
        <f>CONCATENATE("          ", "9151", " - ", "MISC. INCOME")</f>
        <v xml:space="preserve">          9151 - MISC. INCOME</v>
      </c>
      <c r="C184" s="12"/>
      <c r="D184" s="3">
        <f>0</f>
        <v>0</v>
      </c>
      <c r="E184" s="3"/>
      <c r="F184" s="23">
        <f t="shared" si="132"/>
        <v>0</v>
      </c>
      <c r="G184" s="3"/>
      <c r="H184" s="3">
        <v>15375</v>
      </c>
      <c r="I184" s="3"/>
      <c r="J184" s="23">
        <f t="shared" si="133"/>
        <v>5.0912113274898918E-2</v>
      </c>
      <c r="K184" s="3"/>
      <c r="L184" s="3">
        <f t="shared" si="134"/>
        <v>-15375</v>
      </c>
      <c r="M184" s="3"/>
      <c r="N184" s="23">
        <f t="shared" si="135"/>
        <v>-1</v>
      </c>
      <c r="O184" s="12"/>
      <c r="P184" s="3">
        <f>0</f>
        <v>0</v>
      </c>
      <c r="Q184" s="3"/>
      <c r="R184" s="23">
        <f t="shared" si="136"/>
        <v>0</v>
      </c>
      <c r="S184" s="3"/>
      <c r="T184" s="3">
        <v>15375</v>
      </c>
      <c r="U184" s="3"/>
      <c r="V184" s="23">
        <f t="shared" si="137"/>
        <v>5.0912113274898918E-2</v>
      </c>
      <c r="W184" s="3"/>
      <c r="X184" s="3">
        <f t="shared" si="138"/>
        <v>-15375</v>
      </c>
      <c r="Y184" s="3"/>
      <c r="Z184" s="23">
        <f t="shared" si="139"/>
        <v>-1</v>
      </c>
    </row>
    <row r="185" spans="1:26" s="24" customFormat="1" hidden="1" outlineLevel="1" x14ac:dyDescent="0.25">
      <c r="A185" s="51"/>
      <c r="B185" s="12" t="str">
        <f>CONCATENATE("          ", "9152", " - ", "MISC. INCOME")</f>
        <v xml:space="preserve">          9152 - MISC. INCOME</v>
      </c>
      <c r="C185" s="12"/>
      <c r="D185" s="3">
        <f>--1474.39</f>
        <v>1474.39</v>
      </c>
      <c r="E185" s="3"/>
      <c r="F185" s="23">
        <f t="shared" si="132"/>
        <v>6.4760741828260348E-3</v>
      </c>
      <c r="G185" s="3"/>
      <c r="H185" s="3"/>
      <c r="I185" s="3"/>
      <c r="J185" s="23">
        <f t="shared" si="133"/>
        <v>0</v>
      </c>
      <c r="K185" s="3"/>
      <c r="L185" s="3">
        <f t="shared" si="134"/>
        <v>1474.39</v>
      </c>
      <c r="M185" s="3"/>
      <c r="N185" s="23">
        <f t="shared" si="135"/>
        <v>0</v>
      </c>
      <c r="O185" s="12"/>
      <c r="P185" s="3">
        <f>--1474.39</f>
        <v>1474.39</v>
      </c>
      <c r="Q185" s="3"/>
      <c r="R185" s="23">
        <f t="shared" si="136"/>
        <v>6.4760741828260348E-3</v>
      </c>
      <c r="S185" s="3"/>
      <c r="T185" s="3"/>
      <c r="U185" s="3"/>
      <c r="V185" s="23">
        <f t="shared" si="137"/>
        <v>0</v>
      </c>
      <c r="W185" s="3"/>
      <c r="X185" s="3">
        <f t="shared" si="138"/>
        <v>1474.39</v>
      </c>
      <c r="Y185" s="3"/>
      <c r="Z185" s="23">
        <f t="shared" si="139"/>
        <v>0</v>
      </c>
    </row>
    <row r="186" spans="1:26" s="24" customFormat="1" hidden="1" outlineLevel="1" x14ac:dyDescent="0.25">
      <c r="A186" s="51"/>
      <c r="B186" s="12" t="str">
        <f>CONCATENATE("          ", "9163", " - ", "MISC. INCOME")</f>
        <v xml:space="preserve">          9163 - MISC. INCOME</v>
      </c>
      <c r="C186" s="12"/>
      <c r="D186" s="3">
        <f>--160663.9</f>
        <v>160663.9</v>
      </c>
      <c r="E186" s="3"/>
      <c r="F186" s="23">
        <f t="shared" si="132"/>
        <v>0.70569614206698605</v>
      </c>
      <c r="G186" s="3"/>
      <c r="H186" s="3"/>
      <c r="I186" s="3"/>
      <c r="J186" s="23">
        <f t="shared" si="133"/>
        <v>0</v>
      </c>
      <c r="K186" s="3"/>
      <c r="L186" s="3">
        <f t="shared" si="134"/>
        <v>160663.9</v>
      </c>
      <c r="M186" s="3"/>
      <c r="N186" s="23">
        <f t="shared" si="135"/>
        <v>0</v>
      </c>
      <c r="O186" s="12"/>
      <c r="P186" s="3">
        <f>--160663.9</f>
        <v>160663.9</v>
      </c>
      <c r="Q186" s="3"/>
      <c r="R186" s="23">
        <f t="shared" si="136"/>
        <v>0.70569614206698605</v>
      </c>
      <c r="S186" s="3"/>
      <c r="T186" s="3"/>
      <c r="U186" s="3"/>
      <c r="V186" s="23">
        <f t="shared" si="137"/>
        <v>0</v>
      </c>
      <c r="W186" s="3"/>
      <c r="X186" s="3">
        <f t="shared" si="138"/>
        <v>160663.9</v>
      </c>
      <c r="Y186" s="3"/>
      <c r="Z186" s="23">
        <f t="shared" si="139"/>
        <v>0</v>
      </c>
    </row>
    <row r="187" spans="1:26" x14ac:dyDescent="0.25">
      <c r="A187" s="9"/>
      <c r="B187" s="10"/>
      <c r="C187" s="10"/>
      <c r="D187" s="2"/>
      <c r="E187" s="2"/>
      <c r="F187" s="6"/>
      <c r="G187" s="2"/>
      <c r="H187" s="2"/>
      <c r="I187" s="2"/>
      <c r="J187" s="6"/>
      <c r="K187" s="2"/>
      <c r="L187" s="2"/>
      <c r="M187" s="2"/>
      <c r="N187" s="6"/>
      <c r="O187" s="10"/>
      <c r="P187" s="2"/>
      <c r="Q187" s="2"/>
      <c r="R187" s="6"/>
      <c r="S187" s="2"/>
      <c r="T187" s="2"/>
      <c r="U187" s="2"/>
      <c r="V187" s="6"/>
      <c r="W187" s="2"/>
      <c r="X187" s="2"/>
      <c r="Y187" s="2"/>
      <c r="Z187" s="6"/>
    </row>
    <row r="188" spans="1:26" s="22" customFormat="1" x14ac:dyDescent="0.25">
      <c r="A188" s="10"/>
      <c r="B188" s="25" t="s">
        <v>3</v>
      </c>
      <c r="C188" s="25"/>
      <c r="D188" s="21">
        <f>+D85-D87+D182</f>
        <v>-34456.270000000019</v>
      </c>
      <c r="E188" s="13"/>
      <c r="F188" s="20">
        <f>IF(D$12=0,0,D188/D$12)</f>
        <v>-0.15134486844287015</v>
      </c>
      <c r="G188" s="13"/>
      <c r="H188" s="21">
        <f>+H85-H87+H182</f>
        <v>-207805.5557351443</v>
      </c>
      <c r="I188" s="13"/>
      <c r="J188" s="20">
        <f>IF(H$12=0,0,H188/H$12)</f>
        <v>-0.68811837351160898</v>
      </c>
      <c r="K188" s="15"/>
      <c r="L188" s="21">
        <f>+D188-H188</f>
        <v>173349.28573514428</v>
      </c>
      <c r="M188" s="15"/>
      <c r="N188" s="20">
        <f>IF(H188=0,0,L188/H188)</f>
        <v>-0.83418985176741001</v>
      </c>
      <c r="O188" s="26"/>
      <c r="P188" s="21">
        <f>+P85-P87+P182</f>
        <v>-34456.270000000019</v>
      </c>
      <c r="Q188" s="13"/>
      <c r="R188" s="20">
        <f>IF(P$12=0,0,P188/P$12)</f>
        <v>-0.15134486844287015</v>
      </c>
      <c r="S188" s="13"/>
      <c r="T188" s="21">
        <f>+T85-T87+T182</f>
        <v>-207805.5557351443</v>
      </c>
      <c r="U188" s="13"/>
      <c r="V188" s="20">
        <f>IF(T$12=0,0,T188/T$12)</f>
        <v>-0.68811837351160898</v>
      </c>
      <c r="W188" s="15"/>
      <c r="X188" s="21">
        <f>+P188-T188</f>
        <v>173349.28573514428</v>
      </c>
      <c r="Y188" s="15"/>
      <c r="Z188" s="20">
        <f>IF(T188=0,0,X188/T188)</f>
        <v>-0.83418985176741001</v>
      </c>
    </row>
    <row r="189" spans="1:26" x14ac:dyDescent="0.25">
      <c r="A189" s="9"/>
      <c r="B189" s="10"/>
      <c r="C189" s="9"/>
      <c r="D189" s="2"/>
      <c r="E189" s="2"/>
      <c r="F189" s="6"/>
      <c r="G189" s="2"/>
      <c r="H189" s="2"/>
      <c r="I189" s="2"/>
      <c r="J189" s="6"/>
      <c r="K189" s="2"/>
      <c r="L189" s="2"/>
      <c r="M189" s="2"/>
      <c r="N189" s="6"/>
      <c r="P189" s="2"/>
      <c r="Q189" s="2"/>
      <c r="R189" s="6"/>
      <c r="S189" s="2"/>
      <c r="T189" s="2"/>
      <c r="U189" s="2"/>
      <c r="V189" s="6"/>
      <c r="W189" s="2"/>
      <c r="X189" s="2"/>
      <c r="Y189" s="2"/>
      <c r="Z189" s="6"/>
    </row>
    <row r="190" spans="1:26" s="22" customFormat="1" x14ac:dyDescent="0.25">
      <c r="A190" s="52"/>
      <c r="B190" s="10" t="s">
        <v>14</v>
      </c>
      <c r="C190" s="10"/>
      <c r="D190" s="4">
        <v>114653.25</v>
      </c>
      <c r="E190" s="4"/>
      <c r="F190" s="11">
        <f>IF(D$12=0,0,D190/D$12)</f>
        <v>0.50360010058539395</v>
      </c>
      <c r="G190" s="4"/>
      <c r="H190" s="4">
        <v>149280</v>
      </c>
      <c r="I190" s="4"/>
      <c r="J190" s="11">
        <f>IF(H$12=0,0,H190/H$12)</f>
        <v>0.49431936713345764</v>
      </c>
      <c r="K190" s="4"/>
      <c r="L190" s="4">
        <f>+D190-H190</f>
        <v>-34626.75</v>
      </c>
      <c r="M190" s="4"/>
      <c r="N190" s="11">
        <f>IF(H190=0,0,L190/H190)</f>
        <v>-0.23195840032154341</v>
      </c>
      <c r="O190" s="10"/>
      <c r="P190" s="4">
        <v>114653.25</v>
      </c>
      <c r="Q190" s="4"/>
      <c r="R190" s="11">
        <f>IF(P$12=0,0,P190/P$12)</f>
        <v>0.50360010058539395</v>
      </c>
      <c r="S190" s="4"/>
      <c r="T190" s="4">
        <v>149280</v>
      </c>
      <c r="U190" s="4"/>
      <c r="V190" s="11">
        <f>IF(T$12=0,0,T190/T$12)</f>
        <v>0.49431936713345764</v>
      </c>
      <c r="W190" s="4"/>
      <c r="X190" s="4">
        <f>+P190-T190</f>
        <v>-34626.75</v>
      </c>
      <c r="Y190" s="4"/>
      <c r="Z190" s="11">
        <f>IF(T190=0,0,X190/T190)</f>
        <v>-0.23195840032154341</v>
      </c>
    </row>
    <row r="191" spans="1:26" x14ac:dyDescent="0.25">
      <c r="A191" s="9"/>
      <c r="B191" s="10"/>
      <c r="C191" s="10"/>
      <c r="D191" s="2"/>
      <c r="E191" s="2"/>
      <c r="F191" s="6"/>
      <c r="G191" s="2"/>
      <c r="H191" s="2"/>
      <c r="I191" s="2"/>
      <c r="J191" s="6"/>
      <c r="K191" s="2"/>
      <c r="L191" s="2"/>
      <c r="M191" s="2"/>
      <c r="N191" s="6"/>
      <c r="O191" s="10"/>
      <c r="P191" s="2"/>
      <c r="Q191" s="2"/>
      <c r="R191" s="6"/>
      <c r="S191" s="2"/>
      <c r="T191" s="2"/>
      <c r="U191" s="2"/>
      <c r="V191" s="6"/>
      <c r="W191" s="2"/>
      <c r="X191" s="2"/>
      <c r="Y191" s="2"/>
      <c r="Z191" s="6"/>
    </row>
    <row r="192" spans="1:26" s="22" customFormat="1" ht="15.75" thickBot="1" x14ac:dyDescent="0.3">
      <c r="A192" s="10"/>
      <c r="B192" s="25" t="s">
        <v>4</v>
      </c>
      <c r="C192" s="25"/>
      <c r="D192" s="34">
        <f>+D188-D190</f>
        <v>-149109.52000000002</v>
      </c>
      <c r="E192" s="13"/>
      <c r="F192" s="30">
        <f>IF(D$12=0,0,D192/D$12)</f>
        <v>-0.65494496902826405</v>
      </c>
      <c r="G192" s="13"/>
      <c r="H192" s="34">
        <f>+H188-H190</f>
        <v>-357085.5557351443</v>
      </c>
      <c r="I192" s="13"/>
      <c r="J192" s="30">
        <f>IF(H$12=0,0,H192/H$12)</f>
        <v>-1.1824377406450666</v>
      </c>
      <c r="K192" s="15"/>
      <c r="L192" s="34">
        <f>D192-H192</f>
        <v>207976.03573514428</v>
      </c>
      <c r="M192" s="15"/>
      <c r="N192" s="30">
        <f>IF(H192=0,0,L192/H192)</f>
        <v>-0.58242634683717986</v>
      </c>
      <c r="O192" s="26"/>
      <c r="P192" s="34">
        <f>+P188-P190</f>
        <v>-149109.52000000002</v>
      </c>
      <c r="Q192" s="13"/>
      <c r="R192" s="30">
        <f>IF(P$12=0,0,P192/P$12)</f>
        <v>-0.65494496902826405</v>
      </c>
      <c r="S192" s="13"/>
      <c r="T192" s="34">
        <f>+T188-T190</f>
        <v>-357085.5557351443</v>
      </c>
      <c r="U192" s="13"/>
      <c r="V192" s="30">
        <f>IF(T$12=0,0,T192/T$12)</f>
        <v>-1.1824377406450666</v>
      </c>
      <c r="W192" s="15"/>
      <c r="X192" s="34">
        <f>P192-T192</f>
        <v>207976.03573514428</v>
      </c>
      <c r="Y192" s="15"/>
      <c r="Z192" s="30">
        <f>IF(T192=0,0,X192/T192)</f>
        <v>-0.58242634683717986</v>
      </c>
    </row>
    <row r="193" spans="1:26" ht="15.75" thickTop="1" x14ac:dyDescent="0.25">
      <c r="A193" s="9"/>
      <c r="B193" s="9"/>
      <c r="C193" s="9"/>
      <c r="D193" s="2"/>
      <c r="E193" s="2"/>
      <c r="F193" s="6"/>
      <c r="G193" s="2"/>
      <c r="H193" s="2"/>
      <c r="I193" s="2"/>
      <c r="J193" s="6"/>
      <c r="K193" s="2"/>
      <c r="L193" s="2"/>
      <c r="M193" s="2"/>
      <c r="N193" s="6"/>
      <c r="P193" s="2"/>
      <c r="Q193" s="2"/>
      <c r="R193" s="6"/>
      <c r="S193" s="2"/>
      <c r="T193" s="2"/>
      <c r="U193" s="2"/>
      <c r="V193" s="6"/>
      <c r="W193" s="2"/>
      <c r="X193" s="2"/>
      <c r="Y193" s="2"/>
      <c r="Z193" s="6"/>
    </row>
    <row r="194" spans="1:26" x14ac:dyDescent="0.25">
      <c r="A194" s="9"/>
      <c r="B194" s="9"/>
      <c r="C194" s="9"/>
      <c r="D194" s="2"/>
      <c r="E194" s="2"/>
      <c r="F194" s="6"/>
      <c r="G194" s="2"/>
      <c r="H194" s="2"/>
      <c r="I194" s="2"/>
      <c r="J194" s="6"/>
      <c r="K194" s="2"/>
      <c r="L194" s="2"/>
      <c r="M194" s="2"/>
      <c r="N194" s="6"/>
      <c r="P194" s="2"/>
      <c r="Q194" s="2"/>
      <c r="R194" s="6"/>
      <c r="S194" s="2"/>
      <c r="T194" s="2"/>
      <c r="U194" s="2"/>
      <c r="V194" s="6"/>
      <c r="W194" s="2"/>
      <c r="X194" s="2"/>
      <c r="Y194" s="2"/>
      <c r="Z194" s="6"/>
    </row>
    <row r="195" spans="1:26" s="22" customFormat="1" ht="15.75" thickBot="1" x14ac:dyDescent="0.3">
      <c r="A195" s="10"/>
      <c r="B195" s="25" t="s">
        <v>5</v>
      </c>
      <c r="C195" s="25"/>
      <c r="D195" s="32">
        <f>SUM(D192:D194)</f>
        <v>-149109.52000000002</v>
      </c>
      <c r="E195" s="13"/>
      <c r="F195" s="33">
        <f>IF(D$12=0,0,D195/D$12)</f>
        <v>-0.65494496902826405</v>
      </c>
      <c r="G195" s="13"/>
      <c r="H195" s="32">
        <f>SUM(H192:H194)</f>
        <v>-357085.5557351443</v>
      </c>
      <c r="I195" s="13"/>
      <c r="J195" s="33">
        <f>IF(H$12=0,0,H195/H$12)</f>
        <v>-1.1824377406450666</v>
      </c>
      <c r="K195" s="15"/>
      <c r="L195" s="32">
        <f>+D195-H195</f>
        <v>207976.03573514428</v>
      </c>
      <c r="M195" s="15"/>
      <c r="N195" s="33">
        <f>IF(H195=0,0,L195/H195)</f>
        <v>-0.58242634683717986</v>
      </c>
      <c r="O195" s="26"/>
      <c r="P195" s="32">
        <f>SUM(P192:P194)</f>
        <v>-149109.52000000002</v>
      </c>
      <c r="Q195" s="13"/>
      <c r="R195" s="33">
        <f>IF(P$12=0,0,P195/P$12)</f>
        <v>-0.65494496902826405</v>
      </c>
      <c r="S195" s="13"/>
      <c r="T195" s="32">
        <f>SUM(T192:T194)</f>
        <v>-357085.5557351443</v>
      </c>
      <c r="U195" s="13"/>
      <c r="V195" s="33">
        <f>IF(T$12=0,0,T195/T$12)</f>
        <v>-1.1824377406450666</v>
      </c>
      <c r="W195" s="15"/>
      <c r="X195" s="32">
        <f>+P195-T195</f>
        <v>207976.03573514428</v>
      </c>
      <c r="Y195" s="15"/>
      <c r="Z195" s="33">
        <f>IF(T195=0,0,X195/T195)</f>
        <v>-0.58242634683717986</v>
      </c>
    </row>
    <row r="196" spans="1:26" ht="15.75" thickTop="1" x14ac:dyDescent="0.25">
      <c r="A196" s="9"/>
      <c r="C196" s="9"/>
      <c r="D196" s="17"/>
      <c r="E196" s="17"/>
      <c r="G196" s="17"/>
      <c r="H196" s="17"/>
      <c r="I196" s="17"/>
      <c r="J196" s="43"/>
      <c r="K196" s="17"/>
      <c r="L196" s="17"/>
      <c r="M196" s="17"/>
      <c r="P196" s="17"/>
      <c r="Q196" s="17"/>
      <c r="R196" s="43"/>
      <c r="S196" s="17"/>
      <c r="T196" s="17"/>
      <c r="U196" s="17"/>
      <c r="V196" s="43"/>
      <c r="W196" s="17"/>
      <c r="X196" s="17"/>
    </row>
    <row r="197" spans="1:26" x14ac:dyDescent="0.25">
      <c r="A197" s="9"/>
      <c r="B197" s="58">
        <v>44104.685413738429</v>
      </c>
      <c r="D197" s="17"/>
      <c r="E197" s="17"/>
      <c r="G197" s="17"/>
      <c r="H197" s="17"/>
      <c r="I197" s="17"/>
      <c r="J197" s="43"/>
      <c r="K197" s="17"/>
      <c r="L197" s="17"/>
      <c r="M197" s="17"/>
      <c r="P197" s="17"/>
      <c r="Q197" s="17"/>
      <c r="R197" s="43"/>
      <c r="S197" s="17"/>
      <c r="T197" s="17"/>
      <c r="U197" s="17"/>
      <c r="V197" s="43"/>
      <c r="W197" s="17"/>
      <c r="X197" s="17"/>
    </row>
    <row r="198" spans="1:26" x14ac:dyDescent="0.25">
      <c r="A198" s="9"/>
      <c r="B198" s="56" t="s">
        <v>314</v>
      </c>
      <c r="D198" s="17"/>
      <c r="E198" s="17"/>
      <c r="G198" s="17"/>
      <c r="H198" s="17"/>
      <c r="I198" s="17"/>
      <c r="J198" s="43"/>
      <c r="K198" s="17"/>
      <c r="L198" s="17"/>
      <c r="M198" s="17"/>
      <c r="P198" s="17"/>
      <c r="Q198" s="17"/>
      <c r="R198" s="43"/>
      <c r="S198" s="17"/>
      <c r="T198" s="17"/>
      <c r="U198" s="17"/>
      <c r="V198" s="43"/>
      <c r="W198" s="17"/>
      <c r="X198" s="17"/>
    </row>
    <row r="199" spans="1:26" x14ac:dyDescent="0.25">
      <c r="A199" s="9"/>
      <c r="B199" s="62"/>
      <c r="D199" s="17"/>
      <c r="E199" s="17"/>
      <c r="G199" s="17"/>
      <c r="H199" s="17"/>
      <c r="I199" s="17"/>
      <c r="J199" s="43"/>
      <c r="K199" s="17"/>
      <c r="L199" s="17"/>
      <c r="M199" s="17"/>
      <c r="P199" s="17"/>
      <c r="Q199" s="17"/>
      <c r="R199" s="43"/>
      <c r="S199" s="17"/>
      <c r="T199" s="17"/>
      <c r="U199" s="17"/>
      <c r="V199" s="43"/>
      <c r="W199" s="17"/>
      <c r="X199" s="17"/>
    </row>
    <row r="200" spans="1:26" x14ac:dyDescent="0.25">
      <c r="D200" s="17"/>
      <c r="E200" s="17"/>
      <c r="G200" s="17"/>
      <c r="H200" s="17"/>
      <c r="I200" s="17"/>
      <c r="J200" s="43"/>
      <c r="K200" s="17"/>
      <c r="L200" s="17"/>
      <c r="M200" s="17"/>
      <c r="P200" s="17"/>
      <c r="Q200" s="17"/>
      <c r="R200" s="43"/>
      <c r="S200" s="17"/>
      <c r="T200" s="17"/>
      <c r="U200" s="17"/>
      <c r="V200" s="43"/>
      <c r="W200" s="17"/>
      <c r="X200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297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435634.32000000007</v>
      </c>
      <c r="E12" s="4"/>
      <c r="F12" s="11"/>
      <c r="G12" s="4"/>
      <c r="H12" s="4">
        <f>SUM(OSRRefH13x_0)</f>
        <v>635295</v>
      </c>
      <c r="I12" s="4"/>
      <c r="J12" s="11"/>
      <c r="K12" s="4"/>
      <c r="L12" s="4">
        <f t="shared" ref="L12:L72" si="0">+D12-H12</f>
        <v>-199660.67999999993</v>
      </c>
      <c r="M12" s="4"/>
      <c r="N12" s="11">
        <f t="shared" ref="N12:N72" si="1">IF(H12=0,0,L12/H12)</f>
        <v>-0.31428026349963395</v>
      </c>
      <c r="O12" s="10"/>
      <c r="P12" s="4">
        <f>SUM(OSRRefP13x_0)</f>
        <v>435634.32000000007</v>
      </c>
      <c r="Q12" s="4"/>
      <c r="R12" s="11"/>
      <c r="S12" s="4"/>
      <c r="T12" s="4">
        <f>SUM(OSRRefT13x_0)</f>
        <v>635295</v>
      </c>
      <c r="U12" s="4"/>
      <c r="V12" s="11"/>
      <c r="W12" s="4"/>
      <c r="X12" s="4">
        <f t="shared" ref="X12:X72" si="2">+P12-T12</f>
        <v>-199660.67999999993</v>
      </c>
      <c r="Y12" s="4"/>
      <c r="Z12" s="11">
        <f t="shared" ref="Z12:Z72" si="3">IF(T12=0,0,X12/T12)</f>
        <v>-0.31428026349963395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-11094.37</f>
        <v>-11094.37</v>
      </c>
      <c r="E13" s="3"/>
      <c r="F13" s="23"/>
      <c r="G13" s="3"/>
      <c r="H13" s="3">
        <v>623064</v>
      </c>
      <c r="I13" s="3"/>
      <c r="J13" s="23"/>
      <c r="K13" s="3"/>
      <c r="L13" s="3">
        <f t="shared" si="0"/>
        <v>-634158.37</v>
      </c>
      <c r="M13" s="3"/>
      <c r="N13" s="23">
        <f t="shared" si="1"/>
        <v>-1.0178061483250516</v>
      </c>
      <c r="O13" s="12"/>
      <c r="P13" s="3">
        <f>-11094.37</f>
        <v>-11094.37</v>
      </c>
      <c r="Q13" s="3"/>
      <c r="R13" s="23"/>
      <c r="S13" s="3"/>
      <c r="T13" s="3">
        <v>623064</v>
      </c>
      <c r="U13" s="3"/>
      <c r="V13" s="23"/>
      <c r="W13" s="3"/>
      <c r="X13" s="3">
        <f t="shared" si="2"/>
        <v>-634158.37</v>
      </c>
      <c r="Y13" s="3"/>
      <c r="Z13" s="23">
        <f t="shared" si="3"/>
        <v>-1.0178061483250516</v>
      </c>
    </row>
    <row r="14" spans="1:26" s="24" customFormat="1" hidden="1" outlineLevel="1" x14ac:dyDescent="0.25">
      <c r="A14" s="51"/>
      <c r="B14" s="12" t="str">
        <f>CONCATENATE("          ", "4001", " - ", "TAXABLE SALES-NEW TEXT")</f>
        <v xml:space="preserve">          4001 - TAXABLE SALES-NEW TEXT</v>
      </c>
      <c r="C14" s="12"/>
      <c r="D14" s="3">
        <f>--11947.85</f>
        <v>11947.85</v>
      </c>
      <c r="E14" s="3"/>
      <c r="F14" s="23"/>
      <c r="G14" s="3"/>
      <c r="H14" s="3"/>
      <c r="I14" s="3"/>
      <c r="J14" s="23"/>
      <c r="K14" s="3"/>
      <c r="L14" s="3">
        <f t="shared" si="0"/>
        <v>11947.85</v>
      </c>
      <c r="M14" s="3"/>
      <c r="N14" s="23">
        <f t="shared" si="1"/>
        <v>0</v>
      </c>
      <c r="O14" s="12"/>
      <c r="P14" s="3">
        <f>--11947.85</f>
        <v>11947.85</v>
      </c>
      <c r="Q14" s="3"/>
      <c r="R14" s="23"/>
      <c r="S14" s="3"/>
      <c r="T14" s="3"/>
      <c r="U14" s="3"/>
      <c r="V14" s="23"/>
      <c r="W14" s="3"/>
      <c r="X14" s="3">
        <f t="shared" si="2"/>
        <v>11947.85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"4002", " - ", "TAXABLE SALES-USED TEXT")</f>
        <v xml:space="preserve">          4002 - TAXABLE SALES-USED TEXT</v>
      </c>
      <c r="C15" s="12"/>
      <c r="D15" s="3">
        <f>--13029.34</f>
        <v>13029.34</v>
      </c>
      <c r="E15" s="3"/>
      <c r="F15" s="23"/>
      <c r="G15" s="3"/>
      <c r="H15" s="3"/>
      <c r="I15" s="3"/>
      <c r="J15" s="23"/>
      <c r="K15" s="3"/>
      <c r="L15" s="3">
        <f t="shared" si="0"/>
        <v>13029.34</v>
      </c>
      <c r="M15" s="3"/>
      <c r="N15" s="23">
        <f t="shared" si="1"/>
        <v>0</v>
      </c>
      <c r="O15" s="12"/>
      <c r="P15" s="3">
        <f>--13029.34</f>
        <v>13029.34</v>
      </c>
      <c r="Q15" s="3"/>
      <c r="R15" s="23"/>
      <c r="S15" s="3"/>
      <c r="T15" s="3"/>
      <c r="U15" s="3"/>
      <c r="V15" s="23"/>
      <c r="W15" s="3"/>
      <c r="X15" s="3">
        <f t="shared" si="2"/>
        <v>13029.34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"4014", " - ", "TAXABLE SALES-REMAINDERS")</f>
        <v xml:space="preserve">          4014 - TAXABLE SALES-REMAINDERS</v>
      </c>
      <c r="C16" s="12"/>
      <c r="D16" s="3">
        <f>--31.84</f>
        <v>31.84</v>
      </c>
      <c r="E16" s="3"/>
      <c r="F16" s="23"/>
      <c r="G16" s="3"/>
      <c r="H16" s="3"/>
      <c r="I16" s="3"/>
      <c r="J16" s="23"/>
      <c r="K16" s="3"/>
      <c r="L16" s="3">
        <f t="shared" si="0"/>
        <v>31.84</v>
      </c>
      <c r="M16" s="3"/>
      <c r="N16" s="23">
        <f t="shared" si="1"/>
        <v>0</v>
      </c>
      <c r="O16" s="12"/>
      <c r="P16" s="3">
        <f>--31.84</f>
        <v>31.84</v>
      </c>
      <c r="Q16" s="3"/>
      <c r="R16" s="23"/>
      <c r="S16" s="3"/>
      <c r="T16" s="3"/>
      <c r="U16" s="3"/>
      <c r="V16" s="23"/>
      <c r="W16" s="3"/>
      <c r="X16" s="3">
        <f t="shared" si="2"/>
        <v>31.84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"4018", " - ", "TAXABLE SALES-STUDY GUIDES")</f>
        <v xml:space="preserve">          4018 - TAXABLE SALES-STUDY GUIDES</v>
      </c>
      <c r="C17" s="12"/>
      <c r="D17" s="3">
        <f>--16.99</f>
        <v>16.989999999999998</v>
      </c>
      <c r="E17" s="3"/>
      <c r="F17" s="23"/>
      <c r="G17" s="3"/>
      <c r="H17" s="3"/>
      <c r="I17" s="3"/>
      <c r="J17" s="23"/>
      <c r="K17" s="3"/>
      <c r="L17" s="3">
        <f t="shared" si="0"/>
        <v>16.989999999999998</v>
      </c>
      <c r="M17" s="3"/>
      <c r="N17" s="23">
        <f t="shared" si="1"/>
        <v>0</v>
      </c>
      <c r="O17" s="12"/>
      <c r="P17" s="3">
        <f>--16.99</f>
        <v>16.989999999999998</v>
      </c>
      <c r="Q17" s="3"/>
      <c r="R17" s="23"/>
      <c r="S17" s="3"/>
      <c r="T17" s="3"/>
      <c r="U17" s="3"/>
      <c r="V17" s="23"/>
      <c r="W17" s="3"/>
      <c r="X17" s="3">
        <f t="shared" si="2"/>
        <v>16.989999999999998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"4026", " - ", "TAXABLE SALES-WRITING INSTRUME")</f>
        <v xml:space="preserve">          4026 - TAXABLE SALES-WRITING INSTRUME</v>
      </c>
      <c r="C18" s="12"/>
      <c r="D18" s="3">
        <f>--236.56</f>
        <v>236.56</v>
      </c>
      <c r="E18" s="3"/>
      <c r="F18" s="23"/>
      <c r="G18" s="3"/>
      <c r="H18" s="3"/>
      <c r="I18" s="3"/>
      <c r="J18" s="23"/>
      <c r="K18" s="3"/>
      <c r="L18" s="3">
        <f t="shared" si="0"/>
        <v>236.56</v>
      </c>
      <c r="M18" s="3"/>
      <c r="N18" s="23">
        <f t="shared" si="1"/>
        <v>0</v>
      </c>
      <c r="O18" s="12"/>
      <c r="P18" s="3">
        <f>--236.56</f>
        <v>236.56</v>
      </c>
      <c r="Q18" s="3"/>
      <c r="R18" s="23"/>
      <c r="S18" s="3"/>
      <c r="T18" s="3"/>
      <c r="U18" s="3"/>
      <c r="V18" s="23"/>
      <c r="W18" s="3"/>
      <c r="X18" s="3">
        <f t="shared" si="2"/>
        <v>236.56</v>
      </c>
      <c r="Y18" s="3"/>
      <c r="Z18" s="23">
        <f t="shared" si="3"/>
        <v>0</v>
      </c>
    </row>
    <row r="19" spans="1:26" s="24" customFormat="1" hidden="1" outlineLevel="1" x14ac:dyDescent="0.25">
      <c r="A19" s="51"/>
      <c r="B19" s="12" t="str">
        <f>CONCATENATE("          ", "4027", " - ", "TAXABLE SALES-SCHOOL SUPPLIES")</f>
        <v xml:space="preserve">          4027 - TAXABLE SALES-SCHOOL SUPPLIES</v>
      </c>
      <c r="C19" s="12"/>
      <c r="D19" s="3">
        <f>--1653.17</f>
        <v>1653.17</v>
      </c>
      <c r="E19" s="3"/>
      <c r="F19" s="23"/>
      <c r="G19" s="3"/>
      <c r="H19" s="3"/>
      <c r="I19" s="3"/>
      <c r="J19" s="23"/>
      <c r="K19" s="3"/>
      <c r="L19" s="3">
        <f t="shared" si="0"/>
        <v>1653.17</v>
      </c>
      <c r="M19" s="3"/>
      <c r="N19" s="23">
        <f t="shared" si="1"/>
        <v>0</v>
      </c>
      <c r="O19" s="12"/>
      <c r="P19" s="3">
        <f>--1653.17</f>
        <v>1653.17</v>
      </c>
      <c r="Q19" s="3"/>
      <c r="R19" s="23"/>
      <c r="S19" s="3"/>
      <c r="T19" s="3"/>
      <c r="U19" s="3"/>
      <c r="V19" s="23"/>
      <c r="W19" s="3"/>
      <c r="X19" s="3">
        <f t="shared" si="2"/>
        <v>1653.17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"4028", " - ", "TAXABLE SALES-ART/TECH")</f>
        <v xml:space="preserve">          4028 - TAXABLE SALES-ART/TECH</v>
      </c>
      <c r="C20" s="12"/>
      <c r="D20" s="3">
        <f>--19.85</f>
        <v>19.850000000000001</v>
      </c>
      <c r="E20" s="3"/>
      <c r="F20" s="23"/>
      <c r="G20" s="3"/>
      <c r="H20" s="3"/>
      <c r="I20" s="3"/>
      <c r="J20" s="23"/>
      <c r="K20" s="3"/>
      <c r="L20" s="3">
        <f t="shared" si="0"/>
        <v>19.850000000000001</v>
      </c>
      <c r="M20" s="3"/>
      <c r="N20" s="23">
        <f t="shared" si="1"/>
        <v>0</v>
      </c>
      <c r="O20" s="12"/>
      <c r="P20" s="3">
        <f>--19.85</f>
        <v>19.850000000000001</v>
      </c>
      <c r="Q20" s="3"/>
      <c r="R20" s="23"/>
      <c r="S20" s="3"/>
      <c r="T20" s="3"/>
      <c r="U20" s="3"/>
      <c r="V20" s="23"/>
      <c r="W20" s="3"/>
      <c r="X20" s="3">
        <f t="shared" si="2"/>
        <v>19.850000000000001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"4031", " - ", "TAXABLE SALES-FOOD")</f>
        <v xml:space="preserve">          4031 - TAXABLE SALES-FOOD</v>
      </c>
      <c r="C21" s="12"/>
      <c r="D21" s="3">
        <f>--19.75</f>
        <v>19.75</v>
      </c>
      <c r="E21" s="3"/>
      <c r="F21" s="23"/>
      <c r="G21" s="3"/>
      <c r="H21" s="3"/>
      <c r="I21" s="3"/>
      <c r="J21" s="23"/>
      <c r="K21" s="3"/>
      <c r="L21" s="3">
        <f t="shared" si="0"/>
        <v>19.75</v>
      </c>
      <c r="M21" s="3"/>
      <c r="N21" s="23">
        <f t="shared" si="1"/>
        <v>0</v>
      </c>
      <c r="O21" s="12"/>
      <c r="P21" s="3">
        <f>--19.75</f>
        <v>19.75</v>
      </c>
      <c r="Q21" s="3"/>
      <c r="R21" s="23"/>
      <c r="S21" s="3"/>
      <c r="T21" s="3"/>
      <c r="U21" s="3"/>
      <c r="V21" s="23"/>
      <c r="W21" s="3"/>
      <c r="X21" s="3">
        <f t="shared" si="2"/>
        <v>19.75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"4034", " - ", "TAXABLE SALES-SODA")</f>
        <v xml:space="preserve">          4034 - TAXABLE SALES-SODA</v>
      </c>
      <c r="C22" s="12"/>
      <c r="D22" s="3">
        <f>--6.78</f>
        <v>6.78</v>
      </c>
      <c r="E22" s="3"/>
      <c r="F22" s="23"/>
      <c r="G22" s="3"/>
      <c r="H22" s="3"/>
      <c r="I22" s="3"/>
      <c r="J22" s="23"/>
      <c r="K22" s="3"/>
      <c r="L22" s="3">
        <f t="shared" si="0"/>
        <v>6.78</v>
      </c>
      <c r="M22" s="3"/>
      <c r="N22" s="23">
        <f t="shared" si="1"/>
        <v>0</v>
      </c>
      <c r="O22" s="12"/>
      <c r="P22" s="3">
        <f>--6.78</f>
        <v>6.78</v>
      </c>
      <c r="Q22" s="3"/>
      <c r="R22" s="23"/>
      <c r="S22" s="3"/>
      <c r="T22" s="3"/>
      <c r="U22" s="3"/>
      <c r="V22" s="23"/>
      <c r="W22" s="3"/>
      <c r="X22" s="3">
        <f t="shared" si="2"/>
        <v>6.78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"4040", " - ", "TAXABLE SALES-LOGO CLOTHING")</f>
        <v xml:space="preserve">          4040 - TAXABLE SALES-LOGO CLOTHING</v>
      </c>
      <c r="C23" s="12"/>
      <c r="D23" s="3">
        <f>--72292.26</f>
        <v>72292.259999999995</v>
      </c>
      <c r="E23" s="3"/>
      <c r="F23" s="23"/>
      <c r="G23" s="3"/>
      <c r="H23" s="3"/>
      <c r="I23" s="3"/>
      <c r="J23" s="23"/>
      <c r="K23" s="3"/>
      <c r="L23" s="3">
        <f t="shared" si="0"/>
        <v>72292.259999999995</v>
      </c>
      <c r="M23" s="3"/>
      <c r="N23" s="23">
        <f t="shared" si="1"/>
        <v>0</v>
      </c>
      <c r="O23" s="12"/>
      <c r="P23" s="3">
        <f>--72292.26</f>
        <v>72292.259999999995</v>
      </c>
      <c r="Q23" s="3"/>
      <c r="R23" s="23"/>
      <c r="S23" s="3"/>
      <c r="T23" s="3"/>
      <c r="U23" s="3"/>
      <c r="V23" s="23"/>
      <c r="W23" s="3"/>
      <c r="X23" s="3">
        <f t="shared" si="2"/>
        <v>72292.259999999995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"4041", " - ", "TAXABLE SALES-LOGO GIFTS")</f>
        <v xml:space="preserve">          4041 - TAXABLE SALES-LOGO GIFTS</v>
      </c>
      <c r="C24" s="12"/>
      <c r="D24" s="3">
        <f>--21188.91</f>
        <v>21188.91</v>
      </c>
      <c r="E24" s="3"/>
      <c r="F24" s="23"/>
      <c r="G24" s="3"/>
      <c r="H24" s="3"/>
      <c r="I24" s="3"/>
      <c r="J24" s="23"/>
      <c r="K24" s="3"/>
      <c r="L24" s="3">
        <f t="shared" si="0"/>
        <v>21188.91</v>
      </c>
      <c r="M24" s="3"/>
      <c r="N24" s="23">
        <f t="shared" si="1"/>
        <v>0</v>
      </c>
      <c r="O24" s="12"/>
      <c r="P24" s="3">
        <f>--21188.91</f>
        <v>21188.91</v>
      </c>
      <c r="Q24" s="3"/>
      <c r="R24" s="23"/>
      <c r="S24" s="3"/>
      <c r="T24" s="3"/>
      <c r="U24" s="3"/>
      <c r="V24" s="23"/>
      <c r="W24" s="3"/>
      <c r="X24" s="3">
        <f t="shared" si="2"/>
        <v>21188.91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"4042", " - ", "TAXABLE SALES-EVERYDAY GIFTS")</f>
        <v xml:space="preserve">          4042 - TAXABLE SALES-EVERYDAY GIFTS</v>
      </c>
      <c r="C25" s="12"/>
      <c r="D25" s="3">
        <f>--9503.9</f>
        <v>9503.9</v>
      </c>
      <c r="E25" s="3"/>
      <c r="F25" s="23"/>
      <c r="G25" s="3"/>
      <c r="H25" s="3"/>
      <c r="I25" s="3"/>
      <c r="J25" s="23"/>
      <c r="K25" s="3"/>
      <c r="L25" s="3">
        <f t="shared" si="0"/>
        <v>9503.9</v>
      </c>
      <c r="M25" s="3"/>
      <c r="N25" s="23">
        <f t="shared" si="1"/>
        <v>0</v>
      </c>
      <c r="O25" s="12"/>
      <c r="P25" s="3">
        <f>--9503.9</f>
        <v>9503.9</v>
      </c>
      <c r="Q25" s="3"/>
      <c r="R25" s="23"/>
      <c r="S25" s="3"/>
      <c r="T25" s="3"/>
      <c r="U25" s="3"/>
      <c r="V25" s="23"/>
      <c r="W25" s="3"/>
      <c r="X25" s="3">
        <f t="shared" si="2"/>
        <v>9503.9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"4043", " - ", "TAXABLE SALES-CARDS")</f>
        <v xml:space="preserve">          4043 - TAXABLE SALES-CARDS</v>
      </c>
      <c r="C26" s="12"/>
      <c r="D26" s="3">
        <f>--217.36</f>
        <v>217.36</v>
      </c>
      <c r="E26" s="3"/>
      <c r="F26" s="23"/>
      <c r="G26" s="3"/>
      <c r="H26" s="3"/>
      <c r="I26" s="3"/>
      <c r="J26" s="23"/>
      <c r="K26" s="3"/>
      <c r="L26" s="3">
        <f t="shared" si="0"/>
        <v>217.36</v>
      </c>
      <c r="M26" s="3"/>
      <c r="N26" s="23">
        <f t="shared" si="1"/>
        <v>0</v>
      </c>
      <c r="O26" s="12"/>
      <c r="P26" s="3">
        <f>--217.36</f>
        <v>217.36</v>
      </c>
      <c r="Q26" s="3"/>
      <c r="R26" s="23"/>
      <c r="S26" s="3"/>
      <c r="T26" s="3"/>
      <c r="U26" s="3"/>
      <c r="V26" s="23"/>
      <c r="W26" s="3"/>
      <c r="X26" s="3">
        <f t="shared" si="2"/>
        <v>217.36</v>
      </c>
      <c r="Y26" s="3"/>
      <c r="Z26" s="23">
        <f t="shared" si="3"/>
        <v>0</v>
      </c>
    </row>
    <row r="27" spans="1:26" s="24" customFormat="1" hidden="1" outlineLevel="1" x14ac:dyDescent="0.25">
      <c r="A27" s="51"/>
      <c r="B27" s="12" t="str">
        <f>CONCATENATE("          ", "4044", " - ", "TAXABLE SALES-ACCESSORIES")</f>
        <v xml:space="preserve">          4044 - TAXABLE SALES-ACCESSORIES</v>
      </c>
      <c r="C27" s="12"/>
      <c r="D27" s="3">
        <f>--1800.68</f>
        <v>1800.68</v>
      </c>
      <c r="E27" s="3"/>
      <c r="F27" s="23"/>
      <c r="G27" s="3"/>
      <c r="H27" s="3"/>
      <c r="I27" s="3"/>
      <c r="J27" s="23"/>
      <c r="K27" s="3"/>
      <c r="L27" s="3">
        <f t="shared" si="0"/>
        <v>1800.68</v>
      </c>
      <c r="M27" s="3"/>
      <c r="N27" s="23">
        <f t="shared" si="1"/>
        <v>0</v>
      </c>
      <c r="O27" s="12"/>
      <c r="P27" s="3">
        <f>--1800.68</f>
        <v>1800.68</v>
      </c>
      <c r="Q27" s="3"/>
      <c r="R27" s="23"/>
      <c r="S27" s="3"/>
      <c r="T27" s="3"/>
      <c r="U27" s="3"/>
      <c r="V27" s="23"/>
      <c r="W27" s="3"/>
      <c r="X27" s="3">
        <f t="shared" si="2"/>
        <v>1800.68</v>
      </c>
      <c r="Y27" s="3"/>
      <c r="Z27" s="23">
        <f t="shared" si="3"/>
        <v>0</v>
      </c>
    </row>
    <row r="28" spans="1:26" s="24" customFormat="1" hidden="1" outlineLevel="1" x14ac:dyDescent="0.25">
      <c r="A28" s="51"/>
      <c r="B28" s="12" t="str">
        <f>CONCATENATE("          ", "4045", " - ", "TAXABLE SALES-SPECIAL ORDERS")</f>
        <v xml:space="preserve">          4045 - TAXABLE SALES-SPECIAL ORDERS</v>
      </c>
      <c r="C28" s="12"/>
      <c r="D28" s="3">
        <f>--43426.73</f>
        <v>43426.73</v>
      </c>
      <c r="E28" s="3"/>
      <c r="F28" s="23"/>
      <c r="G28" s="3"/>
      <c r="H28" s="3"/>
      <c r="I28" s="3"/>
      <c r="J28" s="23"/>
      <c r="K28" s="3"/>
      <c r="L28" s="3">
        <f t="shared" si="0"/>
        <v>43426.73</v>
      </c>
      <c r="M28" s="3"/>
      <c r="N28" s="23">
        <f t="shared" si="1"/>
        <v>0</v>
      </c>
      <c r="O28" s="12"/>
      <c r="P28" s="3">
        <f>--43426.73</f>
        <v>43426.73</v>
      </c>
      <c r="Q28" s="3"/>
      <c r="R28" s="23"/>
      <c r="S28" s="3"/>
      <c r="T28" s="3"/>
      <c r="U28" s="3"/>
      <c r="V28" s="23"/>
      <c r="W28" s="3"/>
      <c r="X28" s="3">
        <f t="shared" si="2"/>
        <v>43426.73</v>
      </c>
      <c r="Y28" s="3"/>
      <c r="Z28" s="23">
        <f t="shared" si="3"/>
        <v>0</v>
      </c>
    </row>
    <row r="29" spans="1:26" s="24" customFormat="1" hidden="1" outlineLevel="1" x14ac:dyDescent="0.25">
      <c r="A29" s="51"/>
      <c r="B29" s="12" t="str">
        <f>CONCATENATE("          ", "4081", " - ", "TAXABLE SALES-ELECTRONICS")</f>
        <v xml:space="preserve">          4081 - TAXABLE SALES-ELECTRONICS</v>
      </c>
      <c r="C29" s="12"/>
      <c r="D29" s="3">
        <f>--21557.16</f>
        <v>21557.16</v>
      </c>
      <c r="E29" s="3"/>
      <c r="F29" s="23"/>
      <c r="G29" s="3"/>
      <c r="H29" s="3"/>
      <c r="I29" s="3"/>
      <c r="J29" s="23"/>
      <c r="K29" s="3"/>
      <c r="L29" s="3">
        <f t="shared" si="0"/>
        <v>21557.16</v>
      </c>
      <c r="M29" s="3"/>
      <c r="N29" s="23">
        <f t="shared" si="1"/>
        <v>0</v>
      </c>
      <c r="O29" s="12"/>
      <c r="P29" s="3">
        <f>--21557.16</f>
        <v>21557.16</v>
      </c>
      <c r="Q29" s="3"/>
      <c r="R29" s="23"/>
      <c r="S29" s="3"/>
      <c r="T29" s="3"/>
      <c r="U29" s="3"/>
      <c r="V29" s="23"/>
      <c r="W29" s="3"/>
      <c r="X29" s="3">
        <f t="shared" si="2"/>
        <v>21557.16</v>
      </c>
      <c r="Y29" s="3"/>
      <c r="Z29" s="23">
        <f t="shared" si="3"/>
        <v>0</v>
      </c>
    </row>
    <row r="30" spans="1:26" s="24" customFormat="1" hidden="1" outlineLevel="1" x14ac:dyDescent="0.25">
      <c r="A30" s="51"/>
      <c r="B30" s="12" t="str">
        <f>CONCATENATE("          ", "4082", " - ", "TAXABLE SALES-COMPUTER HARDWAR")</f>
        <v xml:space="preserve">          4082 - TAXABLE SALES-COMPUTER HARDWAR</v>
      </c>
      <c r="C30" s="12"/>
      <c r="D30" s="3">
        <f>--137228.87</f>
        <v>137228.87</v>
      </c>
      <c r="E30" s="3"/>
      <c r="F30" s="23"/>
      <c r="G30" s="3"/>
      <c r="H30" s="3"/>
      <c r="I30" s="3"/>
      <c r="J30" s="23"/>
      <c r="K30" s="3"/>
      <c r="L30" s="3">
        <f t="shared" si="0"/>
        <v>137228.87</v>
      </c>
      <c r="M30" s="3"/>
      <c r="N30" s="23">
        <f t="shared" si="1"/>
        <v>0</v>
      </c>
      <c r="O30" s="12"/>
      <c r="P30" s="3">
        <f>--137228.87</f>
        <v>137228.87</v>
      </c>
      <c r="Q30" s="3"/>
      <c r="R30" s="23"/>
      <c r="S30" s="3"/>
      <c r="T30" s="3"/>
      <c r="U30" s="3"/>
      <c r="V30" s="23"/>
      <c r="W30" s="3"/>
      <c r="X30" s="3">
        <f t="shared" si="2"/>
        <v>137228.87</v>
      </c>
      <c r="Y30" s="3"/>
      <c r="Z30" s="23">
        <f t="shared" si="3"/>
        <v>0</v>
      </c>
    </row>
    <row r="31" spans="1:26" s="24" customFormat="1" hidden="1" outlineLevel="1" x14ac:dyDescent="0.25">
      <c r="A31" s="51"/>
      <c r="B31" s="12" t="str">
        <f>CONCATENATE("          ", "4083", " - ", "TAXABLE SALES-COMPUTER EQUIPME")</f>
        <v xml:space="preserve">          4083 - TAXABLE SALES-COMPUTER EQUIPME</v>
      </c>
      <c r="C31" s="12"/>
      <c r="D31" s="3">
        <f>--6790.15</f>
        <v>6790.15</v>
      </c>
      <c r="E31" s="3"/>
      <c r="F31" s="23"/>
      <c r="G31" s="3"/>
      <c r="H31" s="3"/>
      <c r="I31" s="3"/>
      <c r="J31" s="23"/>
      <c r="K31" s="3"/>
      <c r="L31" s="3">
        <f t="shared" si="0"/>
        <v>6790.15</v>
      </c>
      <c r="M31" s="3"/>
      <c r="N31" s="23">
        <f t="shared" si="1"/>
        <v>0</v>
      </c>
      <c r="O31" s="12"/>
      <c r="P31" s="3">
        <f>--6790.15</f>
        <v>6790.15</v>
      </c>
      <c r="Q31" s="3"/>
      <c r="R31" s="23"/>
      <c r="S31" s="3"/>
      <c r="T31" s="3"/>
      <c r="U31" s="3"/>
      <c r="V31" s="23"/>
      <c r="W31" s="3"/>
      <c r="X31" s="3">
        <f t="shared" si="2"/>
        <v>6790.15</v>
      </c>
      <c r="Y31" s="3"/>
      <c r="Z31" s="23">
        <f t="shared" si="3"/>
        <v>0</v>
      </c>
    </row>
    <row r="32" spans="1:26" s="24" customFormat="1" hidden="1" outlineLevel="1" x14ac:dyDescent="0.25">
      <c r="A32" s="51"/>
      <c r="B32" s="12" t="str">
        <f>CONCATENATE("          ", "4086", " - ", "TAXABLE SALES-COMPUTER SUPPLIE")</f>
        <v xml:space="preserve">          4086 - TAXABLE SALES-COMPUTER SUPPLIE</v>
      </c>
      <c r="C32" s="12"/>
      <c r="D32" s="3">
        <f>--25959.21</f>
        <v>25959.21</v>
      </c>
      <c r="E32" s="3"/>
      <c r="F32" s="23"/>
      <c r="G32" s="3"/>
      <c r="H32" s="3"/>
      <c r="I32" s="3"/>
      <c r="J32" s="23"/>
      <c r="K32" s="3"/>
      <c r="L32" s="3">
        <f t="shared" si="0"/>
        <v>25959.21</v>
      </c>
      <c r="M32" s="3"/>
      <c r="N32" s="23">
        <f t="shared" si="1"/>
        <v>0</v>
      </c>
      <c r="O32" s="12"/>
      <c r="P32" s="3">
        <f>--25959.21</f>
        <v>25959.21</v>
      </c>
      <c r="Q32" s="3"/>
      <c r="R32" s="23"/>
      <c r="S32" s="3"/>
      <c r="T32" s="3"/>
      <c r="U32" s="3"/>
      <c r="V32" s="23"/>
      <c r="W32" s="3"/>
      <c r="X32" s="3">
        <f t="shared" si="2"/>
        <v>25959.21</v>
      </c>
      <c r="Y32" s="3"/>
      <c r="Z32" s="23">
        <f t="shared" si="3"/>
        <v>0</v>
      </c>
    </row>
    <row r="33" spans="1:26" s="24" customFormat="1" hidden="1" outlineLevel="1" x14ac:dyDescent="0.25">
      <c r="A33" s="51"/>
      <c r="B33" s="12" t="str">
        <f>CONCATENATE("          ", "4100", " - ", "NON-TAXABLE SALES")</f>
        <v xml:space="preserve">          4100 - NON-TAXABLE SALES</v>
      </c>
      <c r="C33" s="12"/>
      <c r="D33" s="3">
        <f>--3038.3</f>
        <v>3038.3</v>
      </c>
      <c r="E33" s="3"/>
      <c r="F33" s="23"/>
      <c r="G33" s="3"/>
      <c r="H33" s="3">
        <v>12231</v>
      </c>
      <c r="I33" s="3"/>
      <c r="J33" s="23"/>
      <c r="K33" s="3"/>
      <c r="L33" s="3">
        <f t="shared" si="0"/>
        <v>-9192.7000000000007</v>
      </c>
      <c r="M33" s="3"/>
      <c r="N33" s="23">
        <f t="shared" si="1"/>
        <v>-0.75159022156814659</v>
      </c>
      <c r="O33" s="12"/>
      <c r="P33" s="3">
        <f>--3038.3</f>
        <v>3038.3</v>
      </c>
      <c r="Q33" s="3"/>
      <c r="R33" s="23"/>
      <c r="S33" s="3"/>
      <c r="T33" s="3">
        <v>12231</v>
      </c>
      <c r="U33" s="3"/>
      <c r="V33" s="23"/>
      <c r="W33" s="3"/>
      <c r="X33" s="3">
        <f t="shared" si="2"/>
        <v>-9192.7000000000007</v>
      </c>
      <c r="Y33" s="3"/>
      <c r="Z33" s="23">
        <f t="shared" si="3"/>
        <v>-0.75159022156814659</v>
      </c>
    </row>
    <row r="34" spans="1:26" s="24" customFormat="1" hidden="1" outlineLevel="1" x14ac:dyDescent="0.25">
      <c r="A34" s="51"/>
      <c r="B34" s="12" t="str">
        <f>CONCATENATE("          ", "4101", " - ", "NON-TAXABLE SALES-NEW TEXT")</f>
        <v xml:space="preserve">          4101 - NON-TAXABLE SALES-NEW TEXT</v>
      </c>
      <c r="C34" s="12"/>
      <c r="D34" s="3">
        <f>--10341.86</f>
        <v>10341.86</v>
      </c>
      <c r="E34" s="3"/>
      <c r="F34" s="23"/>
      <c r="G34" s="3"/>
      <c r="H34" s="3"/>
      <c r="I34" s="3"/>
      <c r="J34" s="23"/>
      <c r="K34" s="3"/>
      <c r="L34" s="3">
        <f t="shared" si="0"/>
        <v>10341.86</v>
      </c>
      <c r="M34" s="3"/>
      <c r="N34" s="23">
        <f t="shared" si="1"/>
        <v>0</v>
      </c>
      <c r="O34" s="12"/>
      <c r="P34" s="3">
        <f>--10341.86</f>
        <v>10341.86</v>
      </c>
      <c r="Q34" s="3"/>
      <c r="R34" s="23"/>
      <c r="S34" s="3"/>
      <c r="T34" s="3"/>
      <c r="U34" s="3"/>
      <c r="V34" s="23"/>
      <c r="W34" s="3"/>
      <c r="X34" s="3">
        <f t="shared" si="2"/>
        <v>10341.86</v>
      </c>
      <c r="Y34" s="3"/>
      <c r="Z34" s="23">
        <f t="shared" si="3"/>
        <v>0</v>
      </c>
    </row>
    <row r="35" spans="1:26" s="24" customFormat="1" hidden="1" outlineLevel="1" x14ac:dyDescent="0.25">
      <c r="A35" s="51"/>
      <c r="B35" s="12" t="str">
        <f>CONCATENATE("          ", "4102", " - ", "NON-TAXABLE SALES-USED TEXT")</f>
        <v xml:space="preserve">          4102 - NON-TAXABLE SALES-USED TEXT</v>
      </c>
      <c r="C35" s="12"/>
      <c r="D35" s="3">
        <f>--4190.44</f>
        <v>4190.4399999999996</v>
      </c>
      <c r="E35" s="3"/>
      <c r="F35" s="23"/>
      <c r="G35" s="3"/>
      <c r="H35" s="3"/>
      <c r="I35" s="3"/>
      <c r="J35" s="23"/>
      <c r="K35" s="3"/>
      <c r="L35" s="3">
        <f t="shared" si="0"/>
        <v>4190.4399999999996</v>
      </c>
      <c r="M35" s="3"/>
      <c r="N35" s="23">
        <f t="shared" si="1"/>
        <v>0</v>
      </c>
      <c r="O35" s="12"/>
      <c r="P35" s="3">
        <f>--4190.44</f>
        <v>4190.4399999999996</v>
      </c>
      <c r="Q35" s="3"/>
      <c r="R35" s="23"/>
      <c r="S35" s="3"/>
      <c r="T35" s="3"/>
      <c r="U35" s="3"/>
      <c r="V35" s="23"/>
      <c r="W35" s="3"/>
      <c r="X35" s="3">
        <f t="shared" si="2"/>
        <v>4190.4399999999996</v>
      </c>
      <c r="Y35" s="3"/>
      <c r="Z35" s="23">
        <f t="shared" si="3"/>
        <v>0</v>
      </c>
    </row>
    <row r="36" spans="1:26" s="24" customFormat="1" hidden="1" outlineLevel="1" x14ac:dyDescent="0.25">
      <c r="A36" s="51"/>
      <c r="B36" s="12" t="str">
        <f>CONCATENATE("          ", "4104", " - ", "NON-TAXABLE SALES-DIGITAL TEXT")</f>
        <v xml:space="preserve">          4104 - NON-TAXABLE SALES-DIGITAL TEXT</v>
      </c>
      <c r="C36" s="12"/>
      <c r="D36" s="3">
        <f>--7485.52</f>
        <v>7485.52</v>
      </c>
      <c r="E36" s="3"/>
      <c r="F36" s="23"/>
      <c r="G36" s="3"/>
      <c r="H36" s="3"/>
      <c r="I36" s="3"/>
      <c r="J36" s="23"/>
      <c r="K36" s="3"/>
      <c r="L36" s="3">
        <f t="shared" si="0"/>
        <v>7485.52</v>
      </c>
      <c r="M36" s="3"/>
      <c r="N36" s="23">
        <f t="shared" si="1"/>
        <v>0</v>
      </c>
      <c r="O36" s="12"/>
      <c r="P36" s="3">
        <f>--7485.52</f>
        <v>7485.52</v>
      </c>
      <c r="Q36" s="3"/>
      <c r="R36" s="23"/>
      <c r="S36" s="3"/>
      <c r="T36" s="3"/>
      <c r="U36" s="3"/>
      <c r="V36" s="23"/>
      <c r="W36" s="3"/>
      <c r="X36" s="3">
        <f t="shared" si="2"/>
        <v>7485.52</v>
      </c>
      <c r="Y36" s="3"/>
      <c r="Z36" s="23">
        <f t="shared" si="3"/>
        <v>0</v>
      </c>
    </row>
    <row r="37" spans="1:26" s="24" customFormat="1" hidden="1" outlineLevel="1" x14ac:dyDescent="0.25">
      <c r="A37" s="51"/>
      <c r="B37" s="12" t="str">
        <f>CONCATENATE("          ", "4118", " - ", "NON-TAXABLE SALES-STUDY GUIDES")</f>
        <v xml:space="preserve">          4118 - NON-TAXABLE SALES-STUDY GUIDES</v>
      </c>
      <c r="C37" s="12"/>
      <c r="D37" s="3">
        <f>--53.96</f>
        <v>53.96</v>
      </c>
      <c r="E37" s="3"/>
      <c r="F37" s="23"/>
      <c r="G37" s="3"/>
      <c r="H37" s="3"/>
      <c r="I37" s="3"/>
      <c r="J37" s="23"/>
      <c r="K37" s="3"/>
      <c r="L37" s="3">
        <f t="shared" si="0"/>
        <v>53.96</v>
      </c>
      <c r="M37" s="3"/>
      <c r="N37" s="23">
        <f t="shared" si="1"/>
        <v>0</v>
      </c>
      <c r="O37" s="12"/>
      <c r="P37" s="3">
        <f>--53.96</f>
        <v>53.96</v>
      </c>
      <c r="Q37" s="3"/>
      <c r="R37" s="23"/>
      <c r="S37" s="3"/>
      <c r="T37" s="3"/>
      <c r="U37" s="3"/>
      <c r="V37" s="23"/>
      <c r="W37" s="3"/>
      <c r="X37" s="3">
        <f t="shared" si="2"/>
        <v>53.96</v>
      </c>
      <c r="Y37" s="3"/>
      <c r="Z37" s="23">
        <f t="shared" si="3"/>
        <v>0</v>
      </c>
    </row>
    <row r="38" spans="1:26" s="24" customFormat="1" hidden="1" outlineLevel="1" x14ac:dyDescent="0.25">
      <c r="A38" s="51"/>
      <c r="B38" s="12" t="str">
        <f>CONCATENATE("          ", "4126", " - ", "NON-TAXABLE SALES-WRITING INST")</f>
        <v xml:space="preserve">          4126 - NON-TAXABLE SALES-WRITING INST</v>
      </c>
      <c r="C38" s="12"/>
      <c r="D38" s="3">
        <f>--52.68</f>
        <v>52.68</v>
      </c>
      <c r="E38" s="3"/>
      <c r="F38" s="23"/>
      <c r="G38" s="3"/>
      <c r="H38" s="3"/>
      <c r="I38" s="3"/>
      <c r="J38" s="23"/>
      <c r="K38" s="3"/>
      <c r="L38" s="3">
        <f t="shared" si="0"/>
        <v>52.68</v>
      </c>
      <c r="M38" s="3"/>
      <c r="N38" s="23">
        <f t="shared" si="1"/>
        <v>0</v>
      </c>
      <c r="O38" s="12"/>
      <c r="P38" s="3">
        <f>--52.68</f>
        <v>52.68</v>
      </c>
      <c r="Q38" s="3"/>
      <c r="R38" s="23"/>
      <c r="S38" s="3"/>
      <c r="T38" s="3"/>
      <c r="U38" s="3"/>
      <c r="V38" s="23"/>
      <c r="W38" s="3"/>
      <c r="X38" s="3">
        <f t="shared" si="2"/>
        <v>52.68</v>
      </c>
      <c r="Y38" s="3"/>
      <c r="Z38" s="23">
        <f t="shared" si="3"/>
        <v>0</v>
      </c>
    </row>
    <row r="39" spans="1:26" s="24" customFormat="1" hidden="1" outlineLevel="1" x14ac:dyDescent="0.25">
      <c r="A39" s="51"/>
      <c r="B39" s="12" t="str">
        <f>CONCATENATE("          ", "4127", " - ", "NON-TAXABLE SALES-SCHOOL SUPPL")</f>
        <v xml:space="preserve">          4127 - NON-TAXABLE SALES-SCHOOL SUPPL</v>
      </c>
      <c r="C39" s="12"/>
      <c r="D39" s="3">
        <f>--72.25</f>
        <v>72.25</v>
      </c>
      <c r="E39" s="3"/>
      <c r="F39" s="23"/>
      <c r="G39" s="3"/>
      <c r="H39" s="3"/>
      <c r="I39" s="3"/>
      <c r="J39" s="23"/>
      <c r="K39" s="3"/>
      <c r="L39" s="3">
        <f t="shared" si="0"/>
        <v>72.25</v>
      </c>
      <c r="M39" s="3"/>
      <c r="N39" s="23">
        <f t="shared" si="1"/>
        <v>0</v>
      </c>
      <c r="O39" s="12"/>
      <c r="P39" s="3">
        <f>--72.25</f>
        <v>72.25</v>
      </c>
      <c r="Q39" s="3"/>
      <c r="R39" s="23"/>
      <c r="S39" s="3"/>
      <c r="T39" s="3"/>
      <c r="U39" s="3"/>
      <c r="V39" s="23"/>
      <c r="W39" s="3"/>
      <c r="X39" s="3">
        <f t="shared" si="2"/>
        <v>72.25</v>
      </c>
      <c r="Y39" s="3"/>
      <c r="Z39" s="23">
        <f t="shared" si="3"/>
        <v>0</v>
      </c>
    </row>
    <row r="40" spans="1:26" s="24" customFormat="1" hidden="1" outlineLevel="1" x14ac:dyDescent="0.25">
      <c r="A40" s="51"/>
      <c r="B40" s="12" t="str">
        <f>CONCATENATE("          ", "4131", " - ", "NON-TAXABLE SALES-FOOD")</f>
        <v xml:space="preserve">          4131 - NON-TAXABLE SALES-FOOD</v>
      </c>
      <c r="C40" s="12"/>
      <c r="D40" s="3">
        <f>--259.43</f>
        <v>259.43</v>
      </c>
      <c r="E40" s="3"/>
      <c r="F40" s="23"/>
      <c r="G40" s="3"/>
      <c r="H40" s="3"/>
      <c r="I40" s="3"/>
      <c r="J40" s="23"/>
      <c r="K40" s="3"/>
      <c r="L40" s="3">
        <f t="shared" si="0"/>
        <v>259.43</v>
      </c>
      <c r="M40" s="3"/>
      <c r="N40" s="23">
        <f t="shared" si="1"/>
        <v>0</v>
      </c>
      <c r="O40" s="12"/>
      <c r="P40" s="3">
        <f>--259.43</f>
        <v>259.43</v>
      </c>
      <c r="Q40" s="3"/>
      <c r="R40" s="23"/>
      <c r="S40" s="3"/>
      <c r="T40" s="3"/>
      <c r="U40" s="3"/>
      <c r="V40" s="23"/>
      <c r="W40" s="3"/>
      <c r="X40" s="3">
        <f t="shared" si="2"/>
        <v>259.43</v>
      </c>
      <c r="Y40" s="3"/>
      <c r="Z40" s="23">
        <f t="shared" si="3"/>
        <v>0</v>
      </c>
    </row>
    <row r="41" spans="1:26" s="24" customFormat="1" hidden="1" outlineLevel="1" x14ac:dyDescent="0.25">
      <c r="A41" s="51"/>
      <c r="B41" s="12" t="str">
        <f>CONCATENATE("          ", "4132", " - ", "NON-TAXABLE SALES-JUICE")</f>
        <v xml:space="preserve">          4132 - NON-TAXABLE SALES-JUICE</v>
      </c>
      <c r="C41" s="12"/>
      <c r="D41" s="3">
        <f>--22.49</f>
        <v>22.49</v>
      </c>
      <c r="E41" s="3"/>
      <c r="F41" s="23"/>
      <c r="G41" s="3"/>
      <c r="H41" s="3"/>
      <c r="I41" s="3"/>
      <c r="J41" s="23"/>
      <c r="K41" s="3"/>
      <c r="L41" s="3">
        <f t="shared" si="0"/>
        <v>22.49</v>
      </c>
      <c r="M41" s="3"/>
      <c r="N41" s="23">
        <f t="shared" si="1"/>
        <v>0</v>
      </c>
      <c r="O41" s="12"/>
      <c r="P41" s="3">
        <f>--22.49</f>
        <v>22.49</v>
      </c>
      <c r="Q41" s="3"/>
      <c r="R41" s="23"/>
      <c r="S41" s="3"/>
      <c r="T41" s="3"/>
      <c r="U41" s="3"/>
      <c r="V41" s="23"/>
      <c r="W41" s="3"/>
      <c r="X41" s="3">
        <f t="shared" si="2"/>
        <v>22.49</v>
      </c>
      <c r="Y41" s="3"/>
      <c r="Z41" s="23">
        <f t="shared" si="3"/>
        <v>0</v>
      </c>
    </row>
    <row r="42" spans="1:26" s="24" customFormat="1" hidden="1" outlineLevel="1" x14ac:dyDescent="0.25">
      <c r="A42" s="51"/>
      <c r="B42" s="12" t="str">
        <f>CONCATENATE("          ", "4133", " - ", "NON-TAXABLE SALES-CANDY")</f>
        <v xml:space="preserve">          4133 - NON-TAXABLE SALES-CANDY</v>
      </c>
      <c r="C42" s="12"/>
      <c r="D42" s="3">
        <f>--68.28</f>
        <v>68.28</v>
      </c>
      <c r="E42" s="3"/>
      <c r="F42" s="23"/>
      <c r="G42" s="3"/>
      <c r="H42" s="3"/>
      <c r="I42" s="3"/>
      <c r="J42" s="23"/>
      <c r="K42" s="3"/>
      <c r="L42" s="3">
        <f t="shared" si="0"/>
        <v>68.28</v>
      </c>
      <c r="M42" s="3"/>
      <c r="N42" s="23">
        <f t="shared" si="1"/>
        <v>0</v>
      </c>
      <c r="O42" s="12"/>
      <c r="P42" s="3">
        <f>--68.28</f>
        <v>68.28</v>
      </c>
      <c r="Q42" s="3"/>
      <c r="R42" s="23"/>
      <c r="S42" s="3"/>
      <c r="T42" s="3"/>
      <c r="U42" s="3"/>
      <c r="V42" s="23"/>
      <c r="W42" s="3"/>
      <c r="X42" s="3">
        <f t="shared" si="2"/>
        <v>68.28</v>
      </c>
      <c r="Y42" s="3"/>
      <c r="Z42" s="23">
        <f t="shared" si="3"/>
        <v>0</v>
      </c>
    </row>
    <row r="43" spans="1:26" s="24" customFormat="1" hidden="1" outlineLevel="1" x14ac:dyDescent="0.25">
      <c r="A43" s="51"/>
      <c r="B43" s="12" t="str">
        <f>CONCATENATE("          ", "4134", " - ", "NON-TAXABLE SALES-SODA")</f>
        <v xml:space="preserve">          4134 - NON-TAXABLE SALES-SODA</v>
      </c>
      <c r="C43" s="12"/>
      <c r="D43" s="3">
        <f>--45.53</f>
        <v>45.53</v>
      </c>
      <c r="E43" s="3"/>
      <c r="F43" s="23"/>
      <c r="G43" s="3"/>
      <c r="H43" s="3"/>
      <c r="I43" s="3"/>
      <c r="J43" s="23"/>
      <c r="K43" s="3"/>
      <c r="L43" s="3">
        <f t="shared" si="0"/>
        <v>45.53</v>
      </c>
      <c r="M43" s="3"/>
      <c r="N43" s="23">
        <f t="shared" si="1"/>
        <v>0</v>
      </c>
      <c r="O43" s="12"/>
      <c r="P43" s="3">
        <f>--45.53</f>
        <v>45.53</v>
      </c>
      <c r="Q43" s="3"/>
      <c r="R43" s="23"/>
      <c r="S43" s="3"/>
      <c r="T43" s="3"/>
      <c r="U43" s="3"/>
      <c r="V43" s="23"/>
      <c r="W43" s="3"/>
      <c r="X43" s="3">
        <f t="shared" si="2"/>
        <v>45.53</v>
      </c>
      <c r="Y43" s="3"/>
      <c r="Z43" s="23">
        <f t="shared" si="3"/>
        <v>0</v>
      </c>
    </row>
    <row r="44" spans="1:26" s="24" customFormat="1" hidden="1" outlineLevel="1" x14ac:dyDescent="0.25">
      <c r="A44" s="51"/>
      <c r="B44" s="12" t="str">
        <f>CONCATENATE("          ", "4137", " - ", "NON-TAXABLE SALES-WATER")</f>
        <v xml:space="preserve">          4137 - NON-TAXABLE SALES-WATER</v>
      </c>
      <c r="C44" s="12"/>
      <c r="D44" s="3">
        <f>--68.25</f>
        <v>68.25</v>
      </c>
      <c r="E44" s="3"/>
      <c r="F44" s="23"/>
      <c r="G44" s="3"/>
      <c r="H44" s="3"/>
      <c r="I44" s="3"/>
      <c r="J44" s="23"/>
      <c r="K44" s="3"/>
      <c r="L44" s="3">
        <f t="shared" si="0"/>
        <v>68.25</v>
      </c>
      <c r="M44" s="3"/>
      <c r="N44" s="23">
        <f t="shared" si="1"/>
        <v>0</v>
      </c>
      <c r="O44" s="12"/>
      <c r="P44" s="3">
        <f>--68.25</f>
        <v>68.25</v>
      </c>
      <c r="Q44" s="3"/>
      <c r="R44" s="23"/>
      <c r="S44" s="3"/>
      <c r="T44" s="3"/>
      <c r="U44" s="3"/>
      <c r="V44" s="23"/>
      <c r="W44" s="3"/>
      <c r="X44" s="3">
        <f t="shared" si="2"/>
        <v>68.25</v>
      </c>
      <c r="Y44" s="3"/>
      <c r="Z44" s="23">
        <f t="shared" si="3"/>
        <v>0</v>
      </c>
    </row>
    <row r="45" spans="1:26" s="24" customFormat="1" hidden="1" outlineLevel="1" x14ac:dyDescent="0.25">
      <c r="A45" s="51"/>
      <c r="B45" s="12" t="str">
        <f>CONCATENATE("          ", "4140", " - ", "NON-TAXABLE SALES-LOGO CLOTHIN")</f>
        <v xml:space="preserve">          4140 - NON-TAXABLE SALES-LOGO CLOTHIN</v>
      </c>
      <c r="C45" s="12"/>
      <c r="D45" s="3">
        <f>--6846.24</f>
        <v>6846.24</v>
      </c>
      <c r="E45" s="3"/>
      <c r="F45" s="23"/>
      <c r="G45" s="3"/>
      <c r="H45" s="3"/>
      <c r="I45" s="3"/>
      <c r="J45" s="23"/>
      <c r="K45" s="3"/>
      <c r="L45" s="3">
        <f t="shared" si="0"/>
        <v>6846.24</v>
      </c>
      <c r="M45" s="3"/>
      <c r="N45" s="23">
        <f t="shared" si="1"/>
        <v>0</v>
      </c>
      <c r="O45" s="12"/>
      <c r="P45" s="3">
        <f>--6846.24</f>
        <v>6846.24</v>
      </c>
      <c r="Q45" s="3"/>
      <c r="R45" s="23"/>
      <c r="S45" s="3"/>
      <c r="T45" s="3"/>
      <c r="U45" s="3"/>
      <c r="V45" s="23"/>
      <c r="W45" s="3"/>
      <c r="X45" s="3">
        <f t="shared" si="2"/>
        <v>6846.24</v>
      </c>
      <c r="Y45" s="3"/>
      <c r="Z45" s="23">
        <f t="shared" si="3"/>
        <v>0</v>
      </c>
    </row>
    <row r="46" spans="1:26" s="24" customFormat="1" hidden="1" outlineLevel="1" x14ac:dyDescent="0.25">
      <c r="A46" s="51"/>
      <c r="B46" s="12" t="str">
        <f>CONCATENATE("          ", "4141", " - ", "NON-TAXABLE SALES-LOGO GIFTS")</f>
        <v xml:space="preserve">          4141 - NON-TAXABLE SALES-LOGO GIFTS</v>
      </c>
      <c r="C46" s="12"/>
      <c r="D46" s="3">
        <f>--1200.19</f>
        <v>1200.19</v>
      </c>
      <c r="E46" s="3"/>
      <c r="F46" s="23"/>
      <c r="G46" s="3"/>
      <c r="H46" s="3"/>
      <c r="I46" s="3"/>
      <c r="J46" s="23"/>
      <c r="K46" s="3"/>
      <c r="L46" s="3">
        <f t="shared" si="0"/>
        <v>1200.19</v>
      </c>
      <c r="M46" s="3"/>
      <c r="N46" s="23">
        <f t="shared" si="1"/>
        <v>0</v>
      </c>
      <c r="O46" s="12"/>
      <c r="P46" s="3">
        <f>--1200.19</f>
        <v>1200.19</v>
      </c>
      <c r="Q46" s="3"/>
      <c r="R46" s="23"/>
      <c r="S46" s="3"/>
      <c r="T46" s="3"/>
      <c r="U46" s="3"/>
      <c r="V46" s="23"/>
      <c r="W46" s="3"/>
      <c r="X46" s="3">
        <f t="shared" si="2"/>
        <v>1200.19</v>
      </c>
      <c r="Y46" s="3"/>
      <c r="Z46" s="23">
        <f t="shared" si="3"/>
        <v>0</v>
      </c>
    </row>
    <row r="47" spans="1:26" s="24" customFormat="1" hidden="1" outlineLevel="1" x14ac:dyDescent="0.25">
      <c r="A47" s="51"/>
      <c r="B47" s="12" t="str">
        <f>CONCATENATE("          ", "4142", " - ", "NON-TAXABLE SALES-EVERYDAY GIF")</f>
        <v xml:space="preserve">          4142 - NON-TAXABLE SALES-EVERYDAY GIF</v>
      </c>
      <c r="C47" s="12"/>
      <c r="D47" s="3">
        <f>--640.17</f>
        <v>640.16999999999996</v>
      </c>
      <c r="E47" s="3"/>
      <c r="F47" s="23"/>
      <c r="G47" s="3"/>
      <c r="H47" s="3"/>
      <c r="I47" s="3"/>
      <c r="J47" s="23"/>
      <c r="K47" s="3"/>
      <c r="L47" s="3">
        <f t="shared" si="0"/>
        <v>640.16999999999996</v>
      </c>
      <c r="M47" s="3"/>
      <c r="N47" s="23">
        <f t="shared" si="1"/>
        <v>0</v>
      </c>
      <c r="O47" s="12"/>
      <c r="P47" s="3">
        <f>--640.17</f>
        <v>640.16999999999996</v>
      </c>
      <c r="Q47" s="3"/>
      <c r="R47" s="23"/>
      <c r="S47" s="3"/>
      <c r="T47" s="3"/>
      <c r="U47" s="3"/>
      <c r="V47" s="23"/>
      <c r="W47" s="3"/>
      <c r="X47" s="3">
        <f t="shared" si="2"/>
        <v>640.16999999999996</v>
      </c>
      <c r="Y47" s="3"/>
      <c r="Z47" s="23">
        <f t="shared" si="3"/>
        <v>0</v>
      </c>
    </row>
    <row r="48" spans="1:26" s="24" customFormat="1" hidden="1" outlineLevel="1" x14ac:dyDescent="0.25">
      <c r="A48" s="51"/>
      <c r="B48" s="12" t="str">
        <f>CONCATENATE("          ", "4144", " - ", "NON-TAXABLE SALES-ACCESSORIES")</f>
        <v xml:space="preserve">          4144 - NON-TAXABLE SALES-ACCESSORIES</v>
      </c>
      <c r="C48" s="12"/>
      <c r="D48" s="3">
        <f>--47.85</f>
        <v>47.85</v>
      </c>
      <c r="E48" s="3"/>
      <c r="F48" s="23"/>
      <c r="G48" s="3"/>
      <c r="H48" s="3"/>
      <c r="I48" s="3"/>
      <c r="J48" s="23"/>
      <c r="K48" s="3"/>
      <c r="L48" s="3">
        <f t="shared" si="0"/>
        <v>47.85</v>
      </c>
      <c r="M48" s="3"/>
      <c r="N48" s="23">
        <f t="shared" si="1"/>
        <v>0</v>
      </c>
      <c r="O48" s="12"/>
      <c r="P48" s="3">
        <f>--47.85</f>
        <v>47.85</v>
      </c>
      <c r="Q48" s="3"/>
      <c r="R48" s="23"/>
      <c r="S48" s="3"/>
      <c r="T48" s="3"/>
      <c r="U48" s="3"/>
      <c r="V48" s="23"/>
      <c r="W48" s="3"/>
      <c r="X48" s="3">
        <f t="shared" si="2"/>
        <v>47.85</v>
      </c>
      <c r="Y48" s="3"/>
      <c r="Z48" s="23">
        <f t="shared" si="3"/>
        <v>0</v>
      </c>
    </row>
    <row r="49" spans="1:26" s="24" customFormat="1" hidden="1" outlineLevel="1" x14ac:dyDescent="0.25">
      <c r="A49" s="51"/>
      <c r="B49" s="12" t="str">
        <f>CONCATENATE("          ", "4145", " - ", "NON-TAXABLE SALES-SPECIAL ORDE")</f>
        <v xml:space="preserve">          4145 - NON-TAXABLE SALES-SPECIAL ORDE</v>
      </c>
      <c r="C49" s="12"/>
      <c r="D49" s="3">
        <f>--35496</f>
        <v>35496</v>
      </c>
      <c r="E49" s="3"/>
      <c r="F49" s="23"/>
      <c r="G49" s="3"/>
      <c r="H49" s="3"/>
      <c r="I49" s="3"/>
      <c r="J49" s="23"/>
      <c r="K49" s="3"/>
      <c r="L49" s="3">
        <f t="shared" si="0"/>
        <v>35496</v>
      </c>
      <c r="M49" s="3"/>
      <c r="N49" s="23">
        <f t="shared" si="1"/>
        <v>0</v>
      </c>
      <c r="O49" s="12"/>
      <c r="P49" s="3">
        <f>--35496</f>
        <v>35496</v>
      </c>
      <c r="Q49" s="3"/>
      <c r="R49" s="23"/>
      <c r="S49" s="3"/>
      <c r="T49" s="3"/>
      <c r="U49" s="3"/>
      <c r="V49" s="23"/>
      <c r="W49" s="3"/>
      <c r="X49" s="3">
        <f t="shared" si="2"/>
        <v>35496</v>
      </c>
      <c r="Y49" s="3"/>
      <c r="Z49" s="23">
        <f t="shared" si="3"/>
        <v>0</v>
      </c>
    </row>
    <row r="50" spans="1:26" s="24" customFormat="1" hidden="1" outlineLevel="1" x14ac:dyDescent="0.25">
      <c r="A50" s="51"/>
      <c r="B50" s="12" t="str">
        <f>CONCATENATE("          ", "4147", " - ", "NON-TAXABLE SALES-MISC")</f>
        <v xml:space="preserve">          4147 - NON-TAXABLE SALES-MISC</v>
      </c>
      <c r="C50" s="12"/>
      <c r="D50" s="3">
        <f>--1</f>
        <v>1</v>
      </c>
      <c r="E50" s="3"/>
      <c r="F50" s="23"/>
      <c r="G50" s="3"/>
      <c r="H50" s="3"/>
      <c r="I50" s="3"/>
      <c r="J50" s="23"/>
      <c r="K50" s="3"/>
      <c r="L50" s="3">
        <f t="shared" si="0"/>
        <v>1</v>
      </c>
      <c r="M50" s="3"/>
      <c r="N50" s="23">
        <f t="shared" si="1"/>
        <v>0</v>
      </c>
      <c r="O50" s="12"/>
      <c r="P50" s="3">
        <f>--1</f>
        <v>1</v>
      </c>
      <c r="Q50" s="3"/>
      <c r="R50" s="23"/>
      <c r="S50" s="3"/>
      <c r="T50" s="3"/>
      <c r="U50" s="3"/>
      <c r="V50" s="23"/>
      <c r="W50" s="3"/>
      <c r="X50" s="3">
        <f t="shared" si="2"/>
        <v>1</v>
      </c>
      <c r="Y50" s="3"/>
      <c r="Z50" s="23">
        <f t="shared" si="3"/>
        <v>0</v>
      </c>
    </row>
    <row r="51" spans="1:26" s="24" customFormat="1" hidden="1" outlineLevel="1" x14ac:dyDescent="0.25">
      <c r="A51" s="51"/>
      <c r="B51" s="12" t="str">
        <f>CONCATENATE("          ", "4181", " - ", "NON-TAXABLE SALES-ELECTRONICS")</f>
        <v xml:space="preserve">          4181 - NON-TAXABLE SALES-ELECTRONICS</v>
      </c>
      <c r="C51" s="12"/>
      <c r="D51" s="3">
        <f>--289.98</f>
        <v>289.98</v>
      </c>
      <c r="E51" s="3"/>
      <c r="F51" s="23"/>
      <c r="G51" s="3"/>
      <c r="H51" s="3"/>
      <c r="I51" s="3"/>
      <c r="J51" s="23"/>
      <c r="K51" s="3"/>
      <c r="L51" s="3">
        <f t="shared" si="0"/>
        <v>289.98</v>
      </c>
      <c r="M51" s="3"/>
      <c r="N51" s="23">
        <f t="shared" si="1"/>
        <v>0</v>
      </c>
      <c r="O51" s="12"/>
      <c r="P51" s="3">
        <f>--289.98</f>
        <v>289.98</v>
      </c>
      <c r="Q51" s="3"/>
      <c r="R51" s="23"/>
      <c r="S51" s="3"/>
      <c r="T51" s="3"/>
      <c r="U51" s="3"/>
      <c r="V51" s="23"/>
      <c r="W51" s="3"/>
      <c r="X51" s="3">
        <f t="shared" si="2"/>
        <v>289.98</v>
      </c>
      <c r="Y51" s="3"/>
      <c r="Z51" s="23">
        <f t="shared" si="3"/>
        <v>0</v>
      </c>
    </row>
    <row r="52" spans="1:26" s="24" customFormat="1" hidden="1" outlineLevel="1" x14ac:dyDescent="0.25">
      <c r="A52" s="51"/>
      <c r="B52" s="12" t="str">
        <f>CONCATENATE("          ", "4182", " - ", "NON-TAXABLE SALES-COMPUTER HAR")</f>
        <v xml:space="preserve">          4182 - NON-TAXABLE SALES-COMPUTER HAR</v>
      </c>
      <c r="C52" s="12"/>
      <c r="D52" s="3">
        <f>--35876.99</f>
        <v>35876.99</v>
      </c>
      <c r="E52" s="3"/>
      <c r="F52" s="23"/>
      <c r="G52" s="3"/>
      <c r="H52" s="3"/>
      <c r="I52" s="3"/>
      <c r="J52" s="23"/>
      <c r="K52" s="3"/>
      <c r="L52" s="3">
        <f t="shared" si="0"/>
        <v>35876.99</v>
      </c>
      <c r="M52" s="3"/>
      <c r="N52" s="23">
        <f t="shared" si="1"/>
        <v>0</v>
      </c>
      <c r="O52" s="12"/>
      <c r="P52" s="3">
        <f>--35876.99</f>
        <v>35876.99</v>
      </c>
      <c r="Q52" s="3"/>
      <c r="R52" s="23"/>
      <c r="S52" s="3"/>
      <c r="T52" s="3"/>
      <c r="U52" s="3"/>
      <c r="V52" s="23"/>
      <c r="W52" s="3"/>
      <c r="X52" s="3">
        <f t="shared" si="2"/>
        <v>35876.99</v>
      </c>
      <c r="Y52" s="3"/>
      <c r="Z52" s="23">
        <f t="shared" si="3"/>
        <v>0</v>
      </c>
    </row>
    <row r="53" spans="1:26" s="24" customFormat="1" hidden="1" outlineLevel="1" x14ac:dyDescent="0.25">
      <c r="A53" s="51"/>
      <c r="B53" s="12" t="str">
        <f>CONCATENATE("          ", "4183", " - ", "NON-TAXABLE SALES-COMPUTER EQU")</f>
        <v xml:space="preserve">          4183 - NON-TAXABLE SALES-COMPUTER EQU</v>
      </c>
      <c r="C53" s="12"/>
      <c r="D53" s="3">
        <f>--1359.85</f>
        <v>1359.85</v>
      </c>
      <c r="E53" s="3"/>
      <c r="F53" s="23"/>
      <c r="G53" s="3"/>
      <c r="H53" s="3"/>
      <c r="I53" s="3"/>
      <c r="J53" s="23"/>
      <c r="K53" s="3"/>
      <c r="L53" s="3">
        <f t="shared" si="0"/>
        <v>1359.85</v>
      </c>
      <c r="M53" s="3"/>
      <c r="N53" s="23">
        <f t="shared" si="1"/>
        <v>0</v>
      </c>
      <c r="O53" s="12"/>
      <c r="P53" s="3">
        <f>--1359.85</f>
        <v>1359.85</v>
      </c>
      <c r="Q53" s="3"/>
      <c r="R53" s="23"/>
      <c r="S53" s="3"/>
      <c r="T53" s="3"/>
      <c r="U53" s="3"/>
      <c r="V53" s="23"/>
      <c r="W53" s="3"/>
      <c r="X53" s="3">
        <f t="shared" si="2"/>
        <v>1359.85</v>
      </c>
      <c r="Y53" s="3"/>
      <c r="Z53" s="23">
        <f t="shared" si="3"/>
        <v>0</v>
      </c>
    </row>
    <row r="54" spans="1:26" s="24" customFormat="1" hidden="1" outlineLevel="1" x14ac:dyDescent="0.25">
      <c r="A54" s="51"/>
      <c r="B54" s="12" t="str">
        <f>CONCATENATE("          ", "4185", " - ", "NON-TAXABLE SALES-SOFTWARE")</f>
        <v xml:space="preserve">          4185 - NON-TAXABLE SALES-SOFTWARE</v>
      </c>
      <c r="C54" s="12"/>
      <c r="D54" s="3">
        <f>--6187.74</f>
        <v>6187.74</v>
      </c>
      <c r="E54" s="3"/>
      <c r="F54" s="23"/>
      <c r="G54" s="3"/>
      <c r="H54" s="3"/>
      <c r="I54" s="3"/>
      <c r="J54" s="23"/>
      <c r="K54" s="3"/>
      <c r="L54" s="3">
        <f t="shared" si="0"/>
        <v>6187.74</v>
      </c>
      <c r="M54" s="3"/>
      <c r="N54" s="23">
        <f t="shared" si="1"/>
        <v>0</v>
      </c>
      <c r="O54" s="12"/>
      <c r="P54" s="3">
        <f>--6187.74</f>
        <v>6187.74</v>
      </c>
      <c r="Q54" s="3"/>
      <c r="R54" s="23"/>
      <c r="S54" s="3"/>
      <c r="T54" s="3"/>
      <c r="U54" s="3"/>
      <c r="V54" s="23"/>
      <c r="W54" s="3"/>
      <c r="X54" s="3">
        <f t="shared" si="2"/>
        <v>6187.74</v>
      </c>
      <c r="Y54" s="3"/>
      <c r="Z54" s="23">
        <f t="shared" si="3"/>
        <v>0</v>
      </c>
    </row>
    <row r="55" spans="1:26" s="24" customFormat="1" hidden="1" outlineLevel="1" x14ac:dyDescent="0.25">
      <c r="A55" s="51"/>
      <c r="B55" s="12" t="str">
        <f>CONCATENATE("          ", "4186", " - ", "NON-TAXABLE SALES-COMPUTER SUP")</f>
        <v xml:space="preserve">          4186 - NON-TAXABLE SALES-COMPUTER SUP</v>
      </c>
      <c r="C55" s="12"/>
      <c r="D55" s="3">
        <f>--154.95</f>
        <v>154.94999999999999</v>
      </c>
      <c r="E55" s="3"/>
      <c r="F55" s="23"/>
      <c r="G55" s="3"/>
      <c r="H55" s="3"/>
      <c r="I55" s="3"/>
      <c r="J55" s="23"/>
      <c r="K55" s="3"/>
      <c r="L55" s="3">
        <f t="shared" si="0"/>
        <v>154.94999999999999</v>
      </c>
      <c r="M55" s="3"/>
      <c r="N55" s="23">
        <f t="shared" si="1"/>
        <v>0</v>
      </c>
      <c r="O55" s="12"/>
      <c r="P55" s="3">
        <f>--154.95</f>
        <v>154.94999999999999</v>
      </c>
      <c r="Q55" s="3"/>
      <c r="R55" s="23"/>
      <c r="S55" s="3"/>
      <c r="T55" s="3"/>
      <c r="U55" s="3"/>
      <c r="V55" s="23"/>
      <c r="W55" s="3"/>
      <c r="X55" s="3">
        <f t="shared" si="2"/>
        <v>154.94999999999999</v>
      </c>
      <c r="Y55" s="3"/>
      <c r="Z55" s="23">
        <f t="shared" si="3"/>
        <v>0</v>
      </c>
    </row>
    <row r="56" spans="1:26" s="24" customFormat="1" hidden="1" outlineLevel="1" x14ac:dyDescent="0.25">
      <c r="A56" s="51"/>
      <c r="B56" s="12" t="str">
        <f>CONCATENATE("          ", "4201", " - ", "SALES RETURN TAXABLE-NEW TEXT")</f>
        <v xml:space="preserve">          4201 - SALES RETURN TAXABLE-NEW TEXT</v>
      </c>
      <c r="C56" s="12"/>
      <c r="D56" s="3">
        <f>-633.4</f>
        <v>-633.4</v>
      </c>
      <c r="E56" s="3"/>
      <c r="F56" s="23"/>
      <c r="G56" s="3"/>
      <c r="H56" s="3"/>
      <c r="I56" s="3"/>
      <c r="J56" s="23"/>
      <c r="K56" s="3"/>
      <c r="L56" s="3">
        <f t="shared" si="0"/>
        <v>-633.4</v>
      </c>
      <c r="M56" s="3"/>
      <c r="N56" s="23">
        <f t="shared" si="1"/>
        <v>0</v>
      </c>
      <c r="O56" s="12"/>
      <c r="P56" s="3">
        <f>-633.4</f>
        <v>-633.4</v>
      </c>
      <c r="Q56" s="3"/>
      <c r="R56" s="23"/>
      <c r="S56" s="3"/>
      <c r="T56" s="3"/>
      <c r="U56" s="3"/>
      <c r="V56" s="23"/>
      <c r="W56" s="3"/>
      <c r="X56" s="3">
        <f t="shared" si="2"/>
        <v>-633.4</v>
      </c>
      <c r="Y56" s="3"/>
      <c r="Z56" s="23">
        <f t="shared" si="3"/>
        <v>0</v>
      </c>
    </row>
    <row r="57" spans="1:26" s="24" customFormat="1" hidden="1" outlineLevel="1" x14ac:dyDescent="0.25">
      <c r="A57" s="51"/>
      <c r="B57" s="12" t="str">
        <f>CONCATENATE("          ", "4202", " - ", "SALES RETURN TAXABLE-USED TEXT")</f>
        <v xml:space="preserve">          4202 - SALES RETURN TAXABLE-USED TEXT</v>
      </c>
      <c r="C57" s="12"/>
      <c r="D57" s="3">
        <f>-178.35</f>
        <v>-178.35</v>
      </c>
      <c r="E57" s="3"/>
      <c r="F57" s="23"/>
      <c r="G57" s="3"/>
      <c r="H57" s="3"/>
      <c r="I57" s="3"/>
      <c r="J57" s="23"/>
      <c r="K57" s="3"/>
      <c r="L57" s="3">
        <f t="shared" si="0"/>
        <v>-178.35</v>
      </c>
      <c r="M57" s="3"/>
      <c r="N57" s="23">
        <f t="shared" si="1"/>
        <v>0</v>
      </c>
      <c r="O57" s="12"/>
      <c r="P57" s="3">
        <f>-178.35</f>
        <v>-178.35</v>
      </c>
      <c r="Q57" s="3"/>
      <c r="R57" s="23"/>
      <c r="S57" s="3"/>
      <c r="T57" s="3"/>
      <c r="U57" s="3"/>
      <c r="V57" s="23"/>
      <c r="W57" s="3"/>
      <c r="X57" s="3">
        <f t="shared" si="2"/>
        <v>-178.35</v>
      </c>
      <c r="Y57" s="3"/>
      <c r="Z57" s="23">
        <f t="shared" si="3"/>
        <v>0</v>
      </c>
    </row>
    <row r="58" spans="1:26" s="24" customFormat="1" hidden="1" outlineLevel="1" x14ac:dyDescent="0.25">
      <c r="A58" s="51"/>
      <c r="B58" s="12" t="str">
        <f>CONCATENATE("          ", "4226", " - ", "SALES RETURN TAXABLE-WRITING I")</f>
        <v xml:space="preserve">          4226 - SALES RETURN TAXABLE-WRITING I</v>
      </c>
      <c r="C58" s="12"/>
      <c r="D58" s="3">
        <f>-6.38</f>
        <v>-6.38</v>
      </c>
      <c r="E58" s="3"/>
      <c r="F58" s="23"/>
      <c r="G58" s="3"/>
      <c r="H58" s="3"/>
      <c r="I58" s="3"/>
      <c r="J58" s="23"/>
      <c r="K58" s="3"/>
      <c r="L58" s="3">
        <f t="shared" si="0"/>
        <v>-6.38</v>
      </c>
      <c r="M58" s="3"/>
      <c r="N58" s="23">
        <f t="shared" si="1"/>
        <v>0</v>
      </c>
      <c r="O58" s="12"/>
      <c r="P58" s="3">
        <f>-6.38</f>
        <v>-6.38</v>
      </c>
      <c r="Q58" s="3"/>
      <c r="R58" s="23"/>
      <c r="S58" s="3"/>
      <c r="T58" s="3"/>
      <c r="U58" s="3"/>
      <c r="V58" s="23"/>
      <c r="W58" s="3"/>
      <c r="X58" s="3">
        <f t="shared" si="2"/>
        <v>-6.38</v>
      </c>
      <c r="Y58" s="3"/>
      <c r="Z58" s="23">
        <f t="shared" si="3"/>
        <v>0</v>
      </c>
    </row>
    <row r="59" spans="1:26" s="24" customFormat="1" hidden="1" outlineLevel="1" x14ac:dyDescent="0.25">
      <c r="A59" s="51"/>
      <c r="B59" s="12" t="str">
        <f>CONCATENATE("          ", "4227", " - ", "SALES RETURN TAXABLE-SCHOOL SU")</f>
        <v xml:space="preserve">          4227 - SALES RETURN TAXABLE-SCHOOL SU</v>
      </c>
      <c r="C59" s="12"/>
      <c r="D59" s="3">
        <f>-56.77</f>
        <v>-56.77</v>
      </c>
      <c r="E59" s="3"/>
      <c r="F59" s="23"/>
      <c r="G59" s="3"/>
      <c r="H59" s="3"/>
      <c r="I59" s="3"/>
      <c r="J59" s="23"/>
      <c r="K59" s="3"/>
      <c r="L59" s="3">
        <f t="shared" si="0"/>
        <v>-56.77</v>
      </c>
      <c r="M59" s="3"/>
      <c r="N59" s="23">
        <f t="shared" si="1"/>
        <v>0</v>
      </c>
      <c r="O59" s="12"/>
      <c r="P59" s="3">
        <f>-56.77</f>
        <v>-56.77</v>
      </c>
      <c r="Q59" s="3"/>
      <c r="R59" s="23"/>
      <c r="S59" s="3"/>
      <c r="T59" s="3"/>
      <c r="U59" s="3"/>
      <c r="V59" s="23"/>
      <c r="W59" s="3"/>
      <c r="X59" s="3">
        <f t="shared" si="2"/>
        <v>-56.77</v>
      </c>
      <c r="Y59" s="3"/>
      <c r="Z59" s="23">
        <f t="shared" si="3"/>
        <v>0</v>
      </c>
    </row>
    <row r="60" spans="1:26" s="24" customFormat="1" hidden="1" outlineLevel="1" x14ac:dyDescent="0.25">
      <c r="A60" s="51"/>
      <c r="B60" s="12" t="str">
        <f>CONCATENATE("          ", "4240", " - ", "SALES RETURN TAXABLE-LOGO CLOT")</f>
        <v xml:space="preserve">          4240 - SALES RETURN TAXABLE-LOGO CLOT</v>
      </c>
      <c r="C60" s="12"/>
      <c r="D60" s="3">
        <f>-3368.1</f>
        <v>-3368.1</v>
      </c>
      <c r="E60" s="3"/>
      <c r="F60" s="23"/>
      <c r="G60" s="3"/>
      <c r="H60" s="3"/>
      <c r="I60" s="3"/>
      <c r="J60" s="23"/>
      <c r="K60" s="3"/>
      <c r="L60" s="3">
        <f t="shared" si="0"/>
        <v>-3368.1</v>
      </c>
      <c r="M60" s="3"/>
      <c r="N60" s="23">
        <f t="shared" si="1"/>
        <v>0</v>
      </c>
      <c r="O60" s="12"/>
      <c r="P60" s="3">
        <f>-3368.1</f>
        <v>-3368.1</v>
      </c>
      <c r="Q60" s="3"/>
      <c r="R60" s="23"/>
      <c r="S60" s="3"/>
      <c r="T60" s="3"/>
      <c r="U60" s="3"/>
      <c r="V60" s="23"/>
      <c r="W60" s="3"/>
      <c r="X60" s="3">
        <f t="shared" si="2"/>
        <v>-3368.1</v>
      </c>
      <c r="Y60" s="3"/>
      <c r="Z60" s="23">
        <f t="shared" si="3"/>
        <v>0</v>
      </c>
    </row>
    <row r="61" spans="1:26" s="24" customFormat="1" hidden="1" outlineLevel="1" x14ac:dyDescent="0.25">
      <c r="A61" s="51"/>
      <c r="B61" s="12" t="str">
        <f>CONCATENATE("          ", "4241", " - ", "SALES RETURN TAXABLE-LOGO GIFT")</f>
        <v xml:space="preserve">          4241 - SALES RETURN TAXABLE-LOGO GIFT</v>
      </c>
      <c r="C61" s="12"/>
      <c r="D61" s="3">
        <f>-341.98</f>
        <v>-341.98</v>
      </c>
      <c r="E61" s="3"/>
      <c r="F61" s="23"/>
      <c r="G61" s="3"/>
      <c r="H61" s="3"/>
      <c r="I61" s="3"/>
      <c r="J61" s="23"/>
      <c r="K61" s="3"/>
      <c r="L61" s="3">
        <f t="shared" si="0"/>
        <v>-341.98</v>
      </c>
      <c r="M61" s="3"/>
      <c r="N61" s="23">
        <f t="shared" si="1"/>
        <v>0</v>
      </c>
      <c r="O61" s="12"/>
      <c r="P61" s="3">
        <f>-341.98</f>
        <v>-341.98</v>
      </c>
      <c r="Q61" s="3"/>
      <c r="R61" s="23"/>
      <c r="S61" s="3"/>
      <c r="T61" s="3"/>
      <c r="U61" s="3"/>
      <c r="V61" s="23"/>
      <c r="W61" s="3"/>
      <c r="X61" s="3">
        <f t="shared" si="2"/>
        <v>-341.98</v>
      </c>
      <c r="Y61" s="3"/>
      <c r="Z61" s="23">
        <f t="shared" si="3"/>
        <v>0</v>
      </c>
    </row>
    <row r="62" spans="1:26" s="24" customFormat="1" hidden="1" outlineLevel="1" x14ac:dyDescent="0.25">
      <c r="A62" s="51"/>
      <c r="B62" s="12" t="str">
        <f>CONCATENATE("          ", "4242", " - ", "SALES RETURN TAXABLE-EVERYDAY")</f>
        <v xml:space="preserve">          4242 - SALES RETURN TAXABLE-EVERYDAY</v>
      </c>
      <c r="C62" s="12"/>
      <c r="D62" s="3">
        <f>-178.96</f>
        <v>-178.96</v>
      </c>
      <c r="E62" s="3"/>
      <c r="F62" s="23"/>
      <c r="G62" s="3"/>
      <c r="H62" s="3"/>
      <c r="I62" s="3"/>
      <c r="J62" s="23"/>
      <c r="K62" s="3"/>
      <c r="L62" s="3">
        <f t="shared" si="0"/>
        <v>-178.96</v>
      </c>
      <c r="M62" s="3"/>
      <c r="N62" s="23">
        <f t="shared" si="1"/>
        <v>0</v>
      </c>
      <c r="O62" s="12"/>
      <c r="P62" s="3">
        <f>-178.96</f>
        <v>-178.96</v>
      </c>
      <c r="Q62" s="3"/>
      <c r="R62" s="23"/>
      <c r="S62" s="3"/>
      <c r="T62" s="3"/>
      <c r="U62" s="3"/>
      <c r="V62" s="23"/>
      <c r="W62" s="3"/>
      <c r="X62" s="3">
        <f t="shared" si="2"/>
        <v>-178.96</v>
      </c>
      <c r="Y62" s="3"/>
      <c r="Z62" s="23">
        <f t="shared" si="3"/>
        <v>0</v>
      </c>
    </row>
    <row r="63" spans="1:26" s="24" customFormat="1" hidden="1" outlineLevel="1" x14ac:dyDescent="0.25">
      <c r="A63" s="51"/>
      <c r="B63" s="12" t="str">
        <f>CONCATENATE("          ", "4245", " - ", "SALES RETURN TAXABLE-SPECIAL O")</f>
        <v xml:space="preserve">          4245 - SALES RETURN TAXABLE-SPECIAL O</v>
      </c>
      <c r="C63" s="12"/>
      <c r="D63" s="3">
        <f>-1121</f>
        <v>-1121</v>
      </c>
      <c r="E63" s="3"/>
      <c r="F63" s="23"/>
      <c r="G63" s="3"/>
      <c r="H63" s="3"/>
      <c r="I63" s="3"/>
      <c r="J63" s="23"/>
      <c r="K63" s="3"/>
      <c r="L63" s="3">
        <f t="shared" si="0"/>
        <v>-1121</v>
      </c>
      <c r="M63" s="3"/>
      <c r="N63" s="23">
        <f t="shared" si="1"/>
        <v>0</v>
      </c>
      <c r="O63" s="12"/>
      <c r="P63" s="3">
        <f>-1121</f>
        <v>-1121</v>
      </c>
      <c r="Q63" s="3"/>
      <c r="R63" s="23"/>
      <c r="S63" s="3"/>
      <c r="T63" s="3"/>
      <c r="U63" s="3"/>
      <c r="V63" s="23"/>
      <c r="W63" s="3"/>
      <c r="X63" s="3">
        <f t="shared" si="2"/>
        <v>-1121</v>
      </c>
      <c r="Y63" s="3"/>
      <c r="Z63" s="23">
        <f t="shared" si="3"/>
        <v>0</v>
      </c>
    </row>
    <row r="64" spans="1:26" s="24" customFormat="1" hidden="1" outlineLevel="1" x14ac:dyDescent="0.25">
      <c r="A64" s="51"/>
      <c r="B64" s="12" t="str">
        <f>CONCATENATE("          ", "4281", " - ", "SALES RETURN TAXABLE-ELECTRONI")</f>
        <v xml:space="preserve">          4281 - SALES RETURN TAXABLE-ELECTRONI</v>
      </c>
      <c r="C64" s="12"/>
      <c r="D64" s="3">
        <f>-6291.99</f>
        <v>-6291.99</v>
      </c>
      <c r="E64" s="3"/>
      <c r="F64" s="23"/>
      <c r="G64" s="3"/>
      <c r="H64" s="3"/>
      <c r="I64" s="3"/>
      <c r="J64" s="23"/>
      <c r="K64" s="3"/>
      <c r="L64" s="3">
        <f t="shared" si="0"/>
        <v>-6291.99</v>
      </c>
      <c r="M64" s="3"/>
      <c r="N64" s="23">
        <f t="shared" si="1"/>
        <v>0</v>
      </c>
      <c r="O64" s="12"/>
      <c r="P64" s="3">
        <f>-6291.99</f>
        <v>-6291.99</v>
      </c>
      <c r="Q64" s="3"/>
      <c r="R64" s="23"/>
      <c r="S64" s="3"/>
      <c r="T64" s="3"/>
      <c r="U64" s="3"/>
      <c r="V64" s="23"/>
      <c r="W64" s="3"/>
      <c r="X64" s="3">
        <f t="shared" si="2"/>
        <v>-6291.99</v>
      </c>
      <c r="Y64" s="3"/>
      <c r="Z64" s="23">
        <f t="shared" si="3"/>
        <v>0</v>
      </c>
    </row>
    <row r="65" spans="1:26" s="24" customFormat="1" hidden="1" outlineLevel="1" x14ac:dyDescent="0.25">
      <c r="A65" s="51"/>
      <c r="B65" s="12" t="str">
        <f>CONCATENATE("          ", "4282", " - ", "SALES RETURN TAXABLE-COMPUTER")</f>
        <v xml:space="preserve">          4282 - SALES RETURN TAXABLE-COMPUTER</v>
      </c>
      <c r="C65" s="12"/>
      <c r="D65" s="3">
        <f>-18207</f>
        <v>-18207</v>
      </c>
      <c r="E65" s="3"/>
      <c r="F65" s="23"/>
      <c r="G65" s="3"/>
      <c r="H65" s="3"/>
      <c r="I65" s="3"/>
      <c r="J65" s="23"/>
      <c r="K65" s="3"/>
      <c r="L65" s="3">
        <f t="shared" si="0"/>
        <v>-18207</v>
      </c>
      <c r="M65" s="3"/>
      <c r="N65" s="23">
        <f t="shared" si="1"/>
        <v>0</v>
      </c>
      <c r="O65" s="12"/>
      <c r="P65" s="3">
        <f>-18207</f>
        <v>-18207</v>
      </c>
      <c r="Q65" s="3"/>
      <c r="R65" s="23"/>
      <c r="S65" s="3"/>
      <c r="T65" s="3"/>
      <c r="U65" s="3"/>
      <c r="V65" s="23"/>
      <c r="W65" s="3"/>
      <c r="X65" s="3">
        <f t="shared" si="2"/>
        <v>-18207</v>
      </c>
      <c r="Y65" s="3"/>
      <c r="Z65" s="23">
        <f t="shared" si="3"/>
        <v>0</v>
      </c>
    </row>
    <row r="66" spans="1:26" s="24" customFormat="1" hidden="1" outlineLevel="1" x14ac:dyDescent="0.25">
      <c r="A66" s="51"/>
      <c r="B66" s="12" t="str">
        <f>CONCATENATE("          ", "4283", " - ", "SALES RETURN TAXABLE-COMPUTER")</f>
        <v xml:space="preserve">          4283 - SALES RETURN TAXABLE-COMPUTER</v>
      </c>
      <c r="C66" s="12"/>
      <c r="D66" s="3">
        <f>-818.93</f>
        <v>-818.93</v>
      </c>
      <c r="E66" s="3"/>
      <c r="F66" s="23"/>
      <c r="G66" s="3"/>
      <c r="H66" s="3"/>
      <c r="I66" s="3"/>
      <c r="J66" s="23"/>
      <c r="K66" s="3"/>
      <c r="L66" s="3">
        <f t="shared" si="0"/>
        <v>-818.93</v>
      </c>
      <c r="M66" s="3"/>
      <c r="N66" s="23">
        <f t="shared" si="1"/>
        <v>0</v>
      </c>
      <c r="O66" s="12"/>
      <c r="P66" s="3">
        <f>-818.93</f>
        <v>-818.93</v>
      </c>
      <c r="Q66" s="3"/>
      <c r="R66" s="23"/>
      <c r="S66" s="3"/>
      <c r="T66" s="3"/>
      <c r="U66" s="3"/>
      <c r="V66" s="23"/>
      <c r="W66" s="3"/>
      <c r="X66" s="3">
        <f t="shared" si="2"/>
        <v>-818.93</v>
      </c>
      <c r="Y66" s="3"/>
      <c r="Z66" s="23">
        <f t="shared" si="3"/>
        <v>0</v>
      </c>
    </row>
    <row r="67" spans="1:26" s="24" customFormat="1" hidden="1" outlineLevel="1" x14ac:dyDescent="0.25">
      <c r="A67" s="51"/>
      <c r="B67" s="12" t="str">
        <f>CONCATENATE("          ", "4302", " - ", "SALES RETURN NON TAXABLE-TEXT")</f>
        <v xml:space="preserve">          4302 - SALES RETURN NON TAXABLE-TEXT</v>
      </c>
      <c r="C67" s="12"/>
      <c r="D67" s="3">
        <f>-63.67</f>
        <v>-63.67</v>
      </c>
      <c r="E67" s="3"/>
      <c r="F67" s="23"/>
      <c r="G67" s="3"/>
      <c r="H67" s="3"/>
      <c r="I67" s="3"/>
      <c r="J67" s="23"/>
      <c r="K67" s="3"/>
      <c r="L67" s="3">
        <f t="shared" si="0"/>
        <v>-63.67</v>
      </c>
      <c r="M67" s="3"/>
      <c r="N67" s="23">
        <f t="shared" si="1"/>
        <v>0</v>
      </c>
      <c r="O67" s="12"/>
      <c r="P67" s="3">
        <f>-63.67</f>
        <v>-63.67</v>
      </c>
      <c r="Q67" s="3"/>
      <c r="R67" s="23"/>
      <c r="S67" s="3"/>
      <c r="T67" s="3"/>
      <c r="U67" s="3"/>
      <c r="V67" s="23"/>
      <c r="W67" s="3"/>
      <c r="X67" s="3">
        <f t="shared" si="2"/>
        <v>-63.67</v>
      </c>
      <c r="Y67" s="3"/>
      <c r="Z67" s="23">
        <f t="shared" si="3"/>
        <v>0</v>
      </c>
    </row>
    <row r="68" spans="1:26" s="24" customFormat="1" hidden="1" outlineLevel="1" x14ac:dyDescent="0.25">
      <c r="A68" s="51"/>
      <c r="B68" s="12" t="str">
        <f>CONCATENATE("          ", "4304", " - ", "SALES RETURN NON TAXABLE-DIGIT")</f>
        <v xml:space="preserve">          4304 - SALES RETURN NON TAXABLE-DIGIT</v>
      </c>
      <c r="C68" s="12"/>
      <c r="D68" s="3">
        <f>-452.05</f>
        <v>-452.05</v>
      </c>
      <c r="E68" s="3"/>
      <c r="F68" s="23"/>
      <c r="G68" s="3"/>
      <c r="H68" s="3"/>
      <c r="I68" s="3"/>
      <c r="J68" s="23"/>
      <c r="K68" s="3"/>
      <c r="L68" s="3">
        <f t="shared" si="0"/>
        <v>-452.05</v>
      </c>
      <c r="M68" s="3"/>
      <c r="N68" s="23">
        <f t="shared" si="1"/>
        <v>0</v>
      </c>
      <c r="O68" s="12"/>
      <c r="P68" s="3">
        <f>-452.05</f>
        <v>-452.05</v>
      </c>
      <c r="Q68" s="3"/>
      <c r="R68" s="23"/>
      <c r="S68" s="3"/>
      <c r="T68" s="3"/>
      <c r="U68" s="3"/>
      <c r="V68" s="23"/>
      <c r="W68" s="3"/>
      <c r="X68" s="3">
        <f t="shared" si="2"/>
        <v>-452.05</v>
      </c>
      <c r="Y68" s="3"/>
      <c r="Z68" s="23">
        <f t="shared" si="3"/>
        <v>0</v>
      </c>
    </row>
    <row r="69" spans="1:26" s="24" customFormat="1" hidden="1" outlineLevel="1" x14ac:dyDescent="0.25">
      <c r="A69" s="51"/>
      <c r="B69" s="12" t="str">
        <f>CONCATENATE("          ", "4340", " - ", "SALES RETURN NON TAXABLE-LOGO")</f>
        <v xml:space="preserve">          4340 - SALES RETURN NON TAXABLE-LOGO</v>
      </c>
      <c r="C69" s="12"/>
      <c r="D69" s="3">
        <f>-434.24</f>
        <v>-434.24</v>
      </c>
      <c r="E69" s="3"/>
      <c r="F69" s="23"/>
      <c r="G69" s="3"/>
      <c r="H69" s="3"/>
      <c r="I69" s="3"/>
      <c r="J69" s="23"/>
      <c r="K69" s="3"/>
      <c r="L69" s="3">
        <f t="shared" si="0"/>
        <v>-434.24</v>
      </c>
      <c r="M69" s="3"/>
      <c r="N69" s="23">
        <f t="shared" si="1"/>
        <v>0</v>
      </c>
      <c r="O69" s="12"/>
      <c r="P69" s="3">
        <f>-434.24</f>
        <v>-434.24</v>
      </c>
      <c r="Q69" s="3"/>
      <c r="R69" s="23"/>
      <c r="S69" s="3"/>
      <c r="T69" s="3"/>
      <c r="U69" s="3"/>
      <c r="V69" s="23"/>
      <c r="W69" s="3"/>
      <c r="X69" s="3">
        <f t="shared" si="2"/>
        <v>-434.24</v>
      </c>
      <c r="Y69" s="3"/>
      <c r="Z69" s="23">
        <f t="shared" si="3"/>
        <v>0</v>
      </c>
    </row>
    <row r="70" spans="1:26" s="24" customFormat="1" hidden="1" outlineLevel="1" x14ac:dyDescent="0.25">
      <c r="A70" s="51"/>
      <c r="B70" s="12" t="str">
        <f>CONCATENATE("          ", "4341", " - ", "SALES RETURN NON TAXABLE-LOGO")</f>
        <v xml:space="preserve">          4341 - SALES RETURN NON TAXABLE-LOGO</v>
      </c>
      <c r="C70" s="12"/>
      <c r="D70" s="3">
        <f>-16.95</f>
        <v>-16.95</v>
      </c>
      <c r="E70" s="3"/>
      <c r="F70" s="23"/>
      <c r="G70" s="3"/>
      <c r="H70" s="3"/>
      <c r="I70" s="3"/>
      <c r="J70" s="23"/>
      <c r="K70" s="3"/>
      <c r="L70" s="3">
        <f t="shared" si="0"/>
        <v>-16.95</v>
      </c>
      <c r="M70" s="3"/>
      <c r="N70" s="23">
        <f t="shared" si="1"/>
        <v>0</v>
      </c>
      <c r="O70" s="12"/>
      <c r="P70" s="3">
        <f>-16.95</f>
        <v>-16.95</v>
      </c>
      <c r="Q70" s="3"/>
      <c r="R70" s="23"/>
      <c r="S70" s="3"/>
      <c r="T70" s="3"/>
      <c r="U70" s="3"/>
      <c r="V70" s="23"/>
      <c r="W70" s="3"/>
      <c r="X70" s="3">
        <f t="shared" si="2"/>
        <v>-16.95</v>
      </c>
      <c r="Y70" s="3"/>
      <c r="Z70" s="23">
        <f t="shared" si="3"/>
        <v>0</v>
      </c>
    </row>
    <row r="71" spans="1:26" s="24" customFormat="1" hidden="1" outlineLevel="1" x14ac:dyDescent="0.25">
      <c r="A71" s="51"/>
      <c r="B71" s="12" t="str">
        <f>CONCATENATE("          ", "4342", " - ", "SALES RETURN NON TAXABLE-EVERY")</f>
        <v xml:space="preserve">          4342 - SALES RETURN NON TAXABLE-EVERY</v>
      </c>
      <c r="C71" s="12"/>
      <c r="D71" s="3">
        <f>-79.85</f>
        <v>-79.849999999999994</v>
      </c>
      <c r="E71" s="3"/>
      <c r="F71" s="23"/>
      <c r="G71" s="3"/>
      <c r="H71" s="3"/>
      <c r="I71" s="3"/>
      <c r="J71" s="23"/>
      <c r="K71" s="3"/>
      <c r="L71" s="3">
        <f t="shared" si="0"/>
        <v>-79.849999999999994</v>
      </c>
      <c r="M71" s="3"/>
      <c r="N71" s="23">
        <f t="shared" si="1"/>
        <v>0</v>
      </c>
      <c r="O71" s="12"/>
      <c r="P71" s="3">
        <f>-79.85</f>
        <v>-79.849999999999994</v>
      </c>
      <c r="Q71" s="3"/>
      <c r="R71" s="23"/>
      <c r="S71" s="3"/>
      <c r="T71" s="3"/>
      <c r="U71" s="3"/>
      <c r="V71" s="23"/>
      <c r="W71" s="3"/>
      <c r="X71" s="3">
        <f t="shared" si="2"/>
        <v>-79.849999999999994</v>
      </c>
      <c r="Y71" s="3"/>
      <c r="Z71" s="23">
        <f t="shared" si="3"/>
        <v>0</v>
      </c>
    </row>
    <row r="72" spans="1:26" s="24" customFormat="1" hidden="1" outlineLevel="1" x14ac:dyDescent="0.25">
      <c r="A72" s="51"/>
      <c r="B72" s="12" t="str">
        <f>CONCATENATE("          ", "4381", " - ", "SALES RETURN NON TAXABLE-ELECT")</f>
        <v xml:space="preserve">          4381 - SALES RETURN NON TAXABLE-ELECT</v>
      </c>
      <c r="C72" s="12"/>
      <c r="D72" s="3">
        <f>-1749</f>
        <v>-1749</v>
      </c>
      <c r="E72" s="3"/>
      <c r="F72" s="23"/>
      <c r="G72" s="3"/>
      <c r="H72" s="3"/>
      <c r="I72" s="3"/>
      <c r="J72" s="23"/>
      <c r="K72" s="3"/>
      <c r="L72" s="3">
        <f t="shared" si="0"/>
        <v>-1749</v>
      </c>
      <c r="M72" s="3"/>
      <c r="N72" s="23">
        <f t="shared" si="1"/>
        <v>0</v>
      </c>
      <c r="O72" s="12"/>
      <c r="P72" s="3">
        <f>-1749</f>
        <v>-1749</v>
      </c>
      <c r="Q72" s="3"/>
      <c r="R72" s="23"/>
      <c r="S72" s="3"/>
      <c r="T72" s="3"/>
      <c r="U72" s="3"/>
      <c r="V72" s="23"/>
      <c r="W72" s="3"/>
      <c r="X72" s="3">
        <f t="shared" si="2"/>
        <v>-1749</v>
      </c>
      <c r="Y72" s="3"/>
      <c r="Z72" s="23">
        <f t="shared" si="3"/>
        <v>0</v>
      </c>
    </row>
    <row r="73" spans="1:26" x14ac:dyDescent="0.25">
      <c r="A73" s="9"/>
      <c r="B73" s="10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2" customFormat="1" collapsed="1" x14ac:dyDescent="0.25">
      <c r="A74" s="10"/>
      <c r="B74" s="26" t="s">
        <v>8</v>
      </c>
      <c r="C74" s="10"/>
      <c r="D74" s="4">
        <f>SUM(OSRRefD16x_0)</f>
        <v>325351.27000000014</v>
      </c>
      <c r="E74" s="4"/>
      <c r="F74" s="11">
        <f t="shared" ref="F74:F102" si="4">IF(D$12=0,0,D74/D$12)</f>
        <v>0.74684489963967959</v>
      </c>
      <c r="G74" s="4"/>
      <c r="H74" s="4">
        <f>SUM(OSRRefH16x_0)</f>
        <v>415394</v>
      </c>
      <c r="I74" s="4"/>
      <c r="J74" s="11">
        <f t="shared" ref="J74:J102" si="5">IF(H$12=0,0,H74/H$12)</f>
        <v>0.6538600177870123</v>
      </c>
      <c r="K74" s="4"/>
      <c r="L74" s="4">
        <f t="shared" ref="L74:L102" si="6">+D74-H74</f>
        <v>-90042.729999999865</v>
      </c>
      <c r="M74" s="4"/>
      <c r="N74" s="11">
        <f t="shared" ref="N74:N102" si="7">IF(H74=0,0,L74/H74)</f>
        <v>-0.21676463791003209</v>
      </c>
      <c r="O74" s="10"/>
      <c r="P74" s="4">
        <f>SUM(OSRRefP16x_0)</f>
        <v>325351.27000000014</v>
      </c>
      <c r="Q74" s="4"/>
      <c r="R74" s="11">
        <f t="shared" ref="R74:R102" si="8">IF(P$12=0,0,P74/P$12)</f>
        <v>0.74684489963967959</v>
      </c>
      <c r="S74" s="4"/>
      <c r="T74" s="4">
        <f>SUM(OSRRefT16x_0)</f>
        <v>415394</v>
      </c>
      <c r="U74" s="4"/>
      <c r="V74" s="11">
        <f t="shared" ref="V74:V102" si="9">IF(T$12=0,0,T74/T$12)</f>
        <v>0.6538600177870123</v>
      </c>
      <c r="W74" s="4"/>
      <c r="X74" s="4">
        <f t="shared" ref="X74:X102" si="10">+P74-T74</f>
        <v>-90042.729999999865</v>
      </c>
      <c r="Y74" s="4"/>
      <c r="Z74" s="11">
        <f t="shared" ref="Z74:Z102" si="11">IF(T74=0,0,X74/T74)</f>
        <v>-0.21676463791003209</v>
      </c>
    </row>
    <row r="75" spans="1:26" s="24" customFormat="1" hidden="1" outlineLevel="1" x14ac:dyDescent="0.25">
      <c r="A75" s="51"/>
      <c r="B75" s="12" t="str">
        <f>CONCATENATE("          ", "5000", " - ", "PURCHASES @ COST")</f>
        <v xml:space="preserve">          5000 - PURCHASES @ COST</v>
      </c>
      <c r="C75" s="12"/>
      <c r="D75" s="3"/>
      <c r="E75" s="3"/>
      <c r="F75" s="23">
        <f t="shared" si="4"/>
        <v>0</v>
      </c>
      <c r="G75" s="3"/>
      <c r="H75" s="3">
        <v>415394</v>
      </c>
      <c r="I75" s="3"/>
      <c r="J75" s="23">
        <f t="shared" si="5"/>
        <v>0.6538600177870123</v>
      </c>
      <c r="K75" s="3"/>
      <c r="L75" s="3">
        <f t="shared" si="6"/>
        <v>-415394</v>
      </c>
      <c r="M75" s="3"/>
      <c r="N75" s="23">
        <f t="shared" si="7"/>
        <v>-1</v>
      </c>
      <c r="O75" s="12"/>
      <c r="P75" s="3"/>
      <c r="Q75" s="3"/>
      <c r="R75" s="23">
        <f t="shared" si="8"/>
        <v>0</v>
      </c>
      <c r="S75" s="3"/>
      <c r="T75" s="3">
        <v>415394</v>
      </c>
      <c r="U75" s="3"/>
      <c r="V75" s="23">
        <f t="shared" si="9"/>
        <v>0.6538600177870123</v>
      </c>
      <c r="W75" s="3"/>
      <c r="X75" s="3">
        <f t="shared" si="10"/>
        <v>-415394</v>
      </c>
      <c r="Y75" s="3"/>
      <c r="Z75" s="23">
        <f t="shared" si="11"/>
        <v>-1</v>
      </c>
    </row>
    <row r="76" spans="1:26" s="24" customFormat="1" hidden="1" outlineLevel="1" x14ac:dyDescent="0.25">
      <c r="A76" s="51"/>
      <c r="B76" s="12" t="str">
        <f>CONCATENATE("          ", "5001", " - ", "PURCHASES @ COST-NEW TEXT")</f>
        <v xml:space="preserve">          5001 - PURCHASES @ COST-NEW TEXT</v>
      </c>
      <c r="C76" s="12"/>
      <c r="D76" s="3">
        <v>153110.63</v>
      </c>
      <c r="E76" s="3"/>
      <c r="F76" s="23">
        <f t="shared" si="4"/>
        <v>0.35146594969836165</v>
      </c>
      <c r="G76" s="3"/>
      <c r="H76" s="3"/>
      <c r="I76" s="3"/>
      <c r="J76" s="23">
        <f t="shared" si="5"/>
        <v>0</v>
      </c>
      <c r="K76" s="3"/>
      <c r="L76" s="3">
        <f t="shared" si="6"/>
        <v>153110.63</v>
      </c>
      <c r="M76" s="3"/>
      <c r="N76" s="23">
        <f t="shared" si="7"/>
        <v>0</v>
      </c>
      <c r="O76" s="12"/>
      <c r="P76" s="3">
        <v>153110.63</v>
      </c>
      <c r="Q76" s="3"/>
      <c r="R76" s="23">
        <f t="shared" si="8"/>
        <v>0.35146594969836165</v>
      </c>
      <c r="S76" s="3"/>
      <c r="T76" s="3"/>
      <c r="U76" s="3"/>
      <c r="V76" s="23">
        <f t="shared" si="9"/>
        <v>0</v>
      </c>
      <c r="W76" s="3"/>
      <c r="X76" s="3">
        <f t="shared" si="10"/>
        <v>153110.63</v>
      </c>
      <c r="Y76" s="3"/>
      <c r="Z76" s="23">
        <f t="shared" si="11"/>
        <v>0</v>
      </c>
    </row>
    <row r="77" spans="1:26" s="24" customFormat="1" hidden="1" outlineLevel="1" x14ac:dyDescent="0.25">
      <c r="A77" s="51"/>
      <c r="B77" s="12" t="str">
        <f>CONCATENATE("          ", "5002", " - ", "PURCHASES @ COST-USED TEXT")</f>
        <v xml:space="preserve">          5002 - PURCHASES @ COST-USED TEXT</v>
      </c>
      <c r="C77" s="12"/>
      <c r="D77" s="3">
        <v>60324.850000000006</v>
      </c>
      <c r="E77" s="3"/>
      <c r="F77" s="23">
        <f t="shared" si="4"/>
        <v>0.13847588959474083</v>
      </c>
      <c r="G77" s="3"/>
      <c r="H77" s="3"/>
      <c r="I77" s="3"/>
      <c r="J77" s="23">
        <f t="shared" si="5"/>
        <v>0</v>
      </c>
      <c r="K77" s="3"/>
      <c r="L77" s="3">
        <f t="shared" si="6"/>
        <v>60324.850000000006</v>
      </c>
      <c r="M77" s="3"/>
      <c r="N77" s="23">
        <f t="shared" si="7"/>
        <v>0</v>
      </c>
      <c r="O77" s="12"/>
      <c r="P77" s="3">
        <v>60324.850000000006</v>
      </c>
      <c r="Q77" s="3"/>
      <c r="R77" s="23">
        <f t="shared" si="8"/>
        <v>0.13847588959474083</v>
      </c>
      <c r="S77" s="3"/>
      <c r="T77" s="3"/>
      <c r="U77" s="3"/>
      <c r="V77" s="23">
        <f t="shared" si="9"/>
        <v>0</v>
      </c>
      <c r="W77" s="3"/>
      <c r="X77" s="3">
        <f t="shared" si="10"/>
        <v>60324.850000000006</v>
      </c>
      <c r="Y77" s="3"/>
      <c r="Z77" s="23">
        <f t="shared" si="11"/>
        <v>0</v>
      </c>
    </row>
    <row r="78" spans="1:26" s="24" customFormat="1" hidden="1" outlineLevel="1" x14ac:dyDescent="0.25">
      <c r="A78" s="51"/>
      <c r="B78" s="12" t="str">
        <f>CONCATENATE("          ", "5003", " - ", "PURCHASES @ COST-RENTAL TEXT")</f>
        <v xml:space="preserve">          5003 - PURCHASES @ COST-RENTAL TEXT</v>
      </c>
      <c r="C78" s="12"/>
      <c r="D78" s="3">
        <v>-11926.64</v>
      </c>
      <c r="E78" s="3"/>
      <c r="F78" s="23">
        <f t="shared" si="4"/>
        <v>-2.7377640953541029E-2</v>
      </c>
      <c r="G78" s="3"/>
      <c r="H78" s="3"/>
      <c r="I78" s="3"/>
      <c r="J78" s="23">
        <f t="shared" si="5"/>
        <v>0</v>
      </c>
      <c r="K78" s="3"/>
      <c r="L78" s="3">
        <f t="shared" si="6"/>
        <v>-11926.64</v>
      </c>
      <c r="M78" s="3"/>
      <c r="N78" s="23">
        <f t="shared" si="7"/>
        <v>0</v>
      </c>
      <c r="O78" s="12"/>
      <c r="P78" s="3">
        <v>-11926.64</v>
      </c>
      <c r="Q78" s="3"/>
      <c r="R78" s="23">
        <f t="shared" si="8"/>
        <v>-2.7377640953541029E-2</v>
      </c>
      <c r="S78" s="3"/>
      <c r="T78" s="3"/>
      <c r="U78" s="3"/>
      <c r="V78" s="23">
        <f t="shared" si="9"/>
        <v>0</v>
      </c>
      <c r="W78" s="3"/>
      <c r="X78" s="3">
        <f t="shared" si="10"/>
        <v>-11926.64</v>
      </c>
      <c r="Y78" s="3"/>
      <c r="Z78" s="23">
        <f t="shared" si="11"/>
        <v>0</v>
      </c>
    </row>
    <row r="79" spans="1:26" s="24" customFormat="1" hidden="1" outlineLevel="1" x14ac:dyDescent="0.25">
      <c r="A79" s="51"/>
      <c r="B79" s="12" t="str">
        <f>CONCATENATE("          ", "5004", " - ", "PURCHASES @ COST-DIGITAL TEXT")</f>
        <v xml:space="preserve">          5004 - PURCHASES @ COST-DIGITAL TEXT</v>
      </c>
      <c r="C79" s="12"/>
      <c r="D79" s="3">
        <v>4925.4799999999996</v>
      </c>
      <c r="E79" s="3"/>
      <c r="F79" s="23">
        <f t="shared" si="4"/>
        <v>1.1306455377528562E-2</v>
      </c>
      <c r="G79" s="3"/>
      <c r="H79" s="3"/>
      <c r="I79" s="3"/>
      <c r="J79" s="23">
        <f t="shared" si="5"/>
        <v>0</v>
      </c>
      <c r="K79" s="3"/>
      <c r="L79" s="3">
        <f t="shared" si="6"/>
        <v>4925.4799999999996</v>
      </c>
      <c r="M79" s="3"/>
      <c r="N79" s="23">
        <f t="shared" si="7"/>
        <v>0</v>
      </c>
      <c r="O79" s="12"/>
      <c r="P79" s="3">
        <v>4925.4799999999996</v>
      </c>
      <c r="Q79" s="3"/>
      <c r="R79" s="23">
        <f t="shared" si="8"/>
        <v>1.1306455377528562E-2</v>
      </c>
      <c r="S79" s="3"/>
      <c r="T79" s="3"/>
      <c r="U79" s="3"/>
      <c r="V79" s="23">
        <f t="shared" si="9"/>
        <v>0</v>
      </c>
      <c r="W79" s="3"/>
      <c r="X79" s="3">
        <f t="shared" si="10"/>
        <v>4925.4799999999996</v>
      </c>
      <c r="Y79" s="3"/>
      <c r="Z79" s="23">
        <f t="shared" si="11"/>
        <v>0</v>
      </c>
    </row>
    <row r="80" spans="1:26" s="24" customFormat="1" hidden="1" outlineLevel="1" x14ac:dyDescent="0.25">
      <c r="A80" s="51"/>
      <c r="B80" s="12" t="str">
        <f>CONCATENATE("          ", "5013", " - ", "PURCHASES @ COST-TRADE BOOKS")</f>
        <v xml:space="preserve">          5013 - PURCHASES @ COST-TRADE BOOKS</v>
      </c>
      <c r="C80" s="12"/>
      <c r="D80" s="3">
        <v>108.54</v>
      </c>
      <c r="E80" s="3"/>
      <c r="F80" s="23">
        <f t="shared" si="4"/>
        <v>2.4915392340989109E-4</v>
      </c>
      <c r="G80" s="3"/>
      <c r="H80" s="3"/>
      <c r="I80" s="3"/>
      <c r="J80" s="23">
        <f t="shared" si="5"/>
        <v>0</v>
      </c>
      <c r="K80" s="3"/>
      <c r="L80" s="3">
        <f t="shared" si="6"/>
        <v>108.54</v>
      </c>
      <c r="M80" s="3"/>
      <c r="N80" s="23">
        <f t="shared" si="7"/>
        <v>0</v>
      </c>
      <c r="O80" s="12"/>
      <c r="P80" s="3">
        <v>108.54</v>
      </c>
      <c r="Q80" s="3"/>
      <c r="R80" s="23">
        <f t="shared" si="8"/>
        <v>2.4915392340989109E-4</v>
      </c>
      <c r="S80" s="3"/>
      <c r="T80" s="3"/>
      <c r="U80" s="3"/>
      <c r="V80" s="23">
        <f t="shared" si="9"/>
        <v>0</v>
      </c>
      <c r="W80" s="3"/>
      <c r="X80" s="3">
        <f t="shared" si="10"/>
        <v>108.54</v>
      </c>
      <c r="Y80" s="3"/>
      <c r="Z80" s="23">
        <f t="shared" si="11"/>
        <v>0</v>
      </c>
    </row>
    <row r="81" spans="1:26" s="24" customFormat="1" hidden="1" outlineLevel="1" x14ac:dyDescent="0.25">
      <c r="A81" s="51"/>
      <c r="B81" s="12" t="str">
        <f>CONCATENATE("          ", "5014", " - ", "PURCHASES @ COST-REMAINDERS")</f>
        <v xml:space="preserve">          5014 - PURCHASES @ COST-REMAINDERS</v>
      </c>
      <c r="C81" s="12"/>
      <c r="D81" s="3">
        <v>-12.51</v>
      </c>
      <c r="E81" s="3"/>
      <c r="F81" s="23">
        <f t="shared" si="4"/>
        <v>-2.8716745732980813E-5</v>
      </c>
      <c r="G81" s="3"/>
      <c r="H81" s="3"/>
      <c r="I81" s="3"/>
      <c r="J81" s="23">
        <f t="shared" si="5"/>
        <v>0</v>
      </c>
      <c r="K81" s="3"/>
      <c r="L81" s="3">
        <f t="shared" si="6"/>
        <v>-12.51</v>
      </c>
      <c r="M81" s="3"/>
      <c r="N81" s="23">
        <f t="shared" si="7"/>
        <v>0</v>
      </c>
      <c r="O81" s="12"/>
      <c r="P81" s="3">
        <v>-12.51</v>
      </c>
      <c r="Q81" s="3"/>
      <c r="R81" s="23">
        <f t="shared" si="8"/>
        <v>-2.8716745732980813E-5</v>
      </c>
      <c r="S81" s="3"/>
      <c r="T81" s="3"/>
      <c r="U81" s="3"/>
      <c r="V81" s="23">
        <f t="shared" si="9"/>
        <v>0</v>
      </c>
      <c r="W81" s="3"/>
      <c r="X81" s="3">
        <f t="shared" si="10"/>
        <v>-12.51</v>
      </c>
      <c r="Y81" s="3"/>
      <c r="Z81" s="23">
        <f t="shared" si="11"/>
        <v>0</v>
      </c>
    </row>
    <row r="82" spans="1:26" s="24" customFormat="1" hidden="1" outlineLevel="1" x14ac:dyDescent="0.25">
      <c r="A82" s="51"/>
      <c r="B82" s="12" t="str">
        <f>CONCATENATE("          ", "5027", " - ", "PURCHASES @ COST-SCHOOL SUPPLI")</f>
        <v xml:space="preserve">          5027 - PURCHASES @ COST-SCHOOL SUPPLI</v>
      </c>
      <c r="C82" s="12"/>
      <c r="D82" s="3">
        <v>8503.4</v>
      </c>
      <c r="E82" s="3"/>
      <c r="F82" s="23">
        <f t="shared" si="4"/>
        <v>1.9519582387356439E-2</v>
      </c>
      <c r="G82" s="3"/>
      <c r="H82" s="3"/>
      <c r="I82" s="3"/>
      <c r="J82" s="23">
        <f t="shared" si="5"/>
        <v>0</v>
      </c>
      <c r="K82" s="3"/>
      <c r="L82" s="3">
        <f t="shared" si="6"/>
        <v>8503.4</v>
      </c>
      <c r="M82" s="3"/>
      <c r="N82" s="23">
        <f t="shared" si="7"/>
        <v>0</v>
      </c>
      <c r="O82" s="12"/>
      <c r="P82" s="3">
        <v>8503.4</v>
      </c>
      <c r="Q82" s="3"/>
      <c r="R82" s="23">
        <f t="shared" si="8"/>
        <v>1.9519582387356439E-2</v>
      </c>
      <c r="S82" s="3"/>
      <c r="T82" s="3"/>
      <c r="U82" s="3"/>
      <c r="V82" s="23">
        <f t="shared" si="9"/>
        <v>0</v>
      </c>
      <c r="W82" s="3"/>
      <c r="X82" s="3">
        <f t="shared" si="10"/>
        <v>8503.4</v>
      </c>
      <c r="Y82" s="3"/>
      <c r="Z82" s="23">
        <f t="shared" si="11"/>
        <v>0</v>
      </c>
    </row>
    <row r="83" spans="1:26" s="24" customFormat="1" hidden="1" outlineLevel="1" x14ac:dyDescent="0.25">
      <c r="A83" s="51"/>
      <c r="B83" s="12" t="str">
        <f>CONCATENATE("          ", "5040", " - ", "PURCHASES @ COST-LOGO CLOTHING")</f>
        <v xml:space="preserve">          5040 - PURCHASES @ COST-LOGO CLOTHING</v>
      </c>
      <c r="C83" s="12"/>
      <c r="D83" s="3">
        <v>1723.07</v>
      </c>
      <c r="E83" s="3"/>
      <c r="F83" s="23">
        <f t="shared" si="4"/>
        <v>3.9553127953738804E-3</v>
      </c>
      <c r="G83" s="3"/>
      <c r="H83" s="3"/>
      <c r="I83" s="3"/>
      <c r="J83" s="23">
        <f t="shared" si="5"/>
        <v>0</v>
      </c>
      <c r="K83" s="3"/>
      <c r="L83" s="3">
        <f t="shared" si="6"/>
        <v>1723.07</v>
      </c>
      <c r="M83" s="3"/>
      <c r="N83" s="23">
        <f t="shared" si="7"/>
        <v>0</v>
      </c>
      <c r="O83" s="12"/>
      <c r="P83" s="3">
        <v>1723.07</v>
      </c>
      <c r="Q83" s="3"/>
      <c r="R83" s="23">
        <f t="shared" si="8"/>
        <v>3.9553127953738804E-3</v>
      </c>
      <c r="S83" s="3"/>
      <c r="T83" s="3"/>
      <c r="U83" s="3"/>
      <c r="V83" s="23">
        <f t="shared" si="9"/>
        <v>0</v>
      </c>
      <c r="W83" s="3"/>
      <c r="X83" s="3">
        <f t="shared" si="10"/>
        <v>1723.07</v>
      </c>
      <c r="Y83" s="3"/>
      <c r="Z83" s="23">
        <f t="shared" si="11"/>
        <v>0</v>
      </c>
    </row>
    <row r="84" spans="1:26" s="24" customFormat="1" hidden="1" outlineLevel="1" x14ac:dyDescent="0.25">
      <c r="A84" s="51"/>
      <c r="B84" s="12" t="str">
        <f>CONCATENATE("          ", "5041", " - ", "PURCHASES @ COST-LOGO GIFTS")</f>
        <v xml:space="preserve">          5041 - PURCHASES @ COST-LOGO GIFTS</v>
      </c>
      <c r="C84" s="12"/>
      <c r="D84" s="3">
        <v>-713.75</v>
      </c>
      <c r="E84" s="3"/>
      <c r="F84" s="23">
        <f t="shared" si="4"/>
        <v>-1.6384154489940091E-3</v>
      </c>
      <c r="G84" s="3"/>
      <c r="H84" s="3"/>
      <c r="I84" s="3"/>
      <c r="J84" s="23">
        <f t="shared" si="5"/>
        <v>0</v>
      </c>
      <c r="K84" s="3"/>
      <c r="L84" s="3">
        <f t="shared" si="6"/>
        <v>-713.75</v>
      </c>
      <c r="M84" s="3"/>
      <c r="N84" s="23">
        <f t="shared" si="7"/>
        <v>0</v>
      </c>
      <c r="O84" s="12"/>
      <c r="P84" s="3">
        <v>-713.75</v>
      </c>
      <c r="Q84" s="3"/>
      <c r="R84" s="23">
        <f t="shared" si="8"/>
        <v>-1.6384154489940091E-3</v>
      </c>
      <c r="S84" s="3"/>
      <c r="T84" s="3"/>
      <c r="U84" s="3"/>
      <c r="V84" s="23">
        <f t="shared" si="9"/>
        <v>0</v>
      </c>
      <c r="W84" s="3"/>
      <c r="X84" s="3">
        <f t="shared" si="10"/>
        <v>-713.75</v>
      </c>
      <c r="Y84" s="3"/>
      <c r="Z84" s="23">
        <f t="shared" si="11"/>
        <v>0</v>
      </c>
    </row>
    <row r="85" spans="1:26" s="24" customFormat="1" hidden="1" outlineLevel="1" x14ac:dyDescent="0.25">
      <c r="A85" s="51"/>
      <c r="B85" s="12" t="str">
        <f>CONCATENATE("          ", "5042", " - ", "PURCHASES @ COST-EVERYDAY GIFT")</f>
        <v xml:space="preserve">          5042 - PURCHASES @ COST-EVERYDAY GIFT</v>
      </c>
      <c r="C85" s="12"/>
      <c r="D85" s="3">
        <v>236.16</v>
      </c>
      <c r="E85" s="3"/>
      <c r="F85" s="23">
        <f t="shared" si="4"/>
        <v>5.42106048944904E-4</v>
      </c>
      <c r="G85" s="3"/>
      <c r="H85" s="3"/>
      <c r="I85" s="3"/>
      <c r="J85" s="23">
        <f t="shared" si="5"/>
        <v>0</v>
      </c>
      <c r="K85" s="3"/>
      <c r="L85" s="3">
        <f t="shared" si="6"/>
        <v>236.16</v>
      </c>
      <c r="M85" s="3"/>
      <c r="N85" s="23">
        <f t="shared" si="7"/>
        <v>0</v>
      </c>
      <c r="O85" s="12"/>
      <c r="P85" s="3">
        <v>236.16</v>
      </c>
      <c r="Q85" s="3"/>
      <c r="R85" s="23">
        <f t="shared" si="8"/>
        <v>5.42106048944904E-4</v>
      </c>
      <c r="S85" s="3"/>
      <c r="T85" s="3"/>
      <c r="U85" s="3"/>
      <c r="V85" s="23">
        <f t="shared" si="9"/>
        <v>0</v>
      </c>
      <c r="W85" s="3"/>
      <c r="X85" s="3">
        <f t="shared" si="10"/>
        <v>236.16</v>
      </c>
      <c r="Y85" s="3"/>
      <c r="Z85" s="23">
        <f t="shared" si="11"/>
        <v>0</v>
      </c>
    </row>
    <row r="86" spans="1:26" s="24" customFormat="1" hidden="1" outlineLevel="1" x14ac:dyDescent="0.25">
      <c r="A86" s="51"/>
      <c r="B86" s="12" t="str">
        <f>CONCATENATE("          ", "5043", " - ", "PURCHASES @ COST-CARDS")</f>
        <v xml:space="preserve">          5043 - PURCHASES @ COST-CARDS</v>
      </c>
      <c r="C86" s="12"/>
      <c r="D86" s="3">
        <v>308.7</v>
      </c>
      <c r="E86" s="3"/>
      <c r="F86" s="23">
        <f t="shared" si="4"/>
        <v>7.0862185513758411E-4</v>
      </c>
      <c r="G86" s="3"/>
      <c r="H86" s="3"/>
      <c r="I86" s="3"/>
      <c r="J86" s="23">
        <f t="shared" si="5"/>
        <v>0</v>
      </c>
      <c r="K86" s="3"/>
      <c r="L86" s="3">
        <f t="shared" si="6"/>
        <v>308.7</v>
      </c>
      <c r="M86" s="3"/>
      <c r="N86" s="23">
        <f t="shared" si="7"/>
        <v>0</v>
      </c>
      <c r="O86" s="12"/>
      <c r="P86" s="3">
        <v>308.7</v>
      </c>
      <c r="Q86" s="3"/>
      <c r="R86" s="23">
        <f t="shared" si="8"/>
        <v>7.0862185513758411E-4</v>
      </c>
      <c r="S86" s="3"/>
      <c r="T86" s="3"/>
      <c r="U86" s="3"/>
      <c r="V86" s="23">
        <f t="shared" si="9"/>
        <v>0</v>
      </c>
      <c r="W86" s="3"/>
      <c r="X86" s="3">
        <f t="shared" si="10"/>
        <v>308.7</v>
      </c>
      <c r="Y86" s="3"/>
      <c r="Z86" s="23">
        <f t="shared" si="11"/>
        <v>0</v>
      </c>
    </row>
    <row r="87" spans="1:26" s="24" customFormat="1" hidden="1" outlineLevel="1" x14ac:dyDescent="0.25">
      <c r="A87" s="51"/>
      <c r="B87" s="12" t="str">
        <f>CONCATENATE("          ", "5045", " - ", "PURCHASES @ COST-SPECIAL ORDER")</f>
        <v xml:space="preserve">          5045 - PURCHASES @ COST-SPECIAL ORDER</v>
      </c>
      <c r="C87" s="12"/>
      <c r="D87" s="3">
        <v>2756.21</v>
      </c>
      <c r="E87" s="3"/>
      <c r="F87" s="23">
        <f t="shared" si="4"/>
        <v>6.3268890293124739E-3</v>
      </c>
      <c r="G87" s="3"/>
      <c r="H87" s="3"/>
      <c r="I87" s="3"/>
      <c r="J87" s="23">
        <f t="shared" si="5"/>
        <v>0</v>
      </c>
      <c r="K87" s="3"/>
      <c r="L87" s="3">
        <f t="shared" si="6"/>
        <v>2756.21</v>
      </c>
      <c r="M87" s="3"/>
      <c r="N87" s="23">
        <f t="shared" si="7"/>
        <v>0</v>
      </c>
      <c r="O87" s="12"/>
      <c r="P87" s="3">
        <v>2756.21</v>
      </c>
      <c r="Q87" s="3"/>
      <c r="R87" s="23">
        <f t="shared" si="8"/>
        <v>6.3268890293124739E-3</v>
      </c>
      <c r="S87" s="3"/>
      <c r="T87" s="3"/>
      <c r="U87" s="3"/>
      <c r="V87" s="23">
        <f t="shared" si="9"/>
        <v>0</v>
      </c>
      <c r="W87" s="3"/>
      <c r="X87" s="3">
        <f t="shared" si="10"/>
        <v>2756.21</v>
      </c>
      <c r="Y87" s="3"/>
      <c r="Z87" s="23">
        <f t="shared" si="11"/>
        <v>0</v>
      </c>
    </row>
    <row r="88" spans="1:26" s="24" customFormat="1" hidden="1" outlineLevel="1" x14ac:dyDescent="0.25">
      <c r="A88" s="51"/>
      <c r="B88" s="12" t="str">
        <f>CONCATENATE("          ", "5081", " - ", "PURCHASES @ COST-ELECTRONICS")</f>
        <v xml:space="preserve">          5081 - PURCHASES @ COST-ELECTRONICS</v>
      </c>
      <c r="C88" s="12"/>
      <c r="D88" s="3">
        <v>6676.92</v>
      </c>
      <c r="E88" s="3"/>
      <c r="F88" s="23">
        <f t="shared" si="4"/>
        <v>1.5326891600276119E-2</v>
      </c>
      <c r="G88" s="3"/>
      <c r="H88" s="3"/>
      <c r="I88" s="3"/>
      <c r="J88" s="23">
        <f t="shared" si="5"/>
        <v>0</v>
      </c>
      <c r="K88" s="3"/>
      <c r="L88" s="3">
        <f t="shared" si="6"/>
        <v>6676.92</v>
      </c>
      <c r="M88" s="3"/>
      <c r="N88" s="23">
        <f t="shared" si="7"/>
        <v>0</v>
      </c>
      <c r="O88" s="12"/>
      <c r="P88" s="3">
        <v>6676.92</v>
      </c>
      <c r="Q88" s="3"/>
      <c r="R88" s="23">
        <f t="shared" si="8"/>
        <v>1.5326891600276119E-2</v>
      </c>
      <c r="S88" s="3"/>
      <c r="T88" s="3"/>
      <c r="U88" s="3"/>
      <c r="V88" s="23">
        <f t="shared" si="9"/>
        <v>0</v>
      </c>
      <c r="W88" s="3"/>
      <c r="X88" s="3">
        <f t="shared" si="10"/>
        <v>6676.92</v>
      </c>
      <c r="Y88" s="3"/>
      <c r="Z88" s="23">
        <f t="shared" si="11"/>
        <v>0</v>
      </c>
    </row>
    <row r="89" spans="1:26" s="24" customFormat="1" hidden="1" outlineLevel="1" x14ac:dyDescent="0.25">
      <c r="A89" s="51"/>
      <c r="B89" s="12" t="str">
        <f>CONCATENATE("          ", "5082", " - ", "PURCHASES @ COST-COMPUTER HARD")</f>
        <v xml:space="preserve">          5082 - PURCHASES @ COST-COMPUTER HARD</v>
      </c>
      <c r="C89" s="12"/>
      <c r="D89" s="3">
        <v>186472.57</v>
      </c>
      <c r="E89" s="3"/>
      <c r="F89" s="23">
        <f t="shared" si="4"/>
        <v>0.42804839159596053</v>
      </c>
      <c r="G89" s="3"/>
      <c r="H89" s="3"/>
      <c r="I89" s="3"/>
      <c r="J89" s="23">
        <f t="shared" si="5"/>
        <v>0</v>
      </c>
      <c r="K89" s="3"/>
      <c r="L89" s="3">
        <f t="shared" si="6"/>
        <v>186472.57</v>
      </c>
      <c r="M89" s="3"/>
      <c r="N89" s="23">
        <f t="shared" si="7"/>
        <v>0</v>
      </c>
      <c r="O89" s="12"/>
      <c r="P89" s="3">
        <v>186472.57</v>
      </c>
      <c r="Q89" s="3"/>
      <c r="R89" s="23">
        <f t="shared" si="8"/>
        <v>0.42804839159596053</v>
      </c>
      <c r="S89" s="3"/>
      <c r="T89" s="3"/>
      <c r="U89" s="3"/>
      <c r="V89" s="23">
        <f t="shared" si="9"/>
        <v>0</v>
      </c>
      <c r="W89" s="3"/>
      <c r="X89" s="3">
        <f t="shared" si="10"/>
        <v>186472.57</v>
      </c>
      <c r="Y89" s="3"/>
      <c r="Z89" s="23">
        <f t="shared" si="11"/>
        <v>0</v>
      </c>
    </row>
    <row r="90" spans="1:26" s="24" customFormat="1" hidden="1" outlineLevel="1" x14ac:dyDescent="0.25">
      <c r="A90" s="51"/>
      <c r="B90" s="12" t="str">
        <f>CONCATENATE("          ", "5083", " - ", "PURCHASES @ COST-COMPUTER EQUI")</f>
        <v xml:space="preserve">          5083 - PURCHASES @ COST-COMPUTER EQUI</v>
      </c>
      <c r="C90" s="12"/>
      <c r="D90" s="3">
        <v>29938.300000000003</v>
      </c>
      <c r="E90" s="3"/>
      <c r="F90" s="23">
        <f t="shared" si="4"/>
        <v>6.8723465130111877E-2</v>
      </c>
      <c r="G90" s="3"/>
      <c r="H90" s="3"/>
      <c r="I90" s="3"/>
      <c r="J90" s="23">
        <f t="shared" si="5"/>
        <v>0</v>
      </c>
      <c r="K90" s="3"/>
      <c r="L90" s="3">
        <f t="shared" si="6"/>
        <v>29938.300000000003</v>
      </c>
      <c r="M90" s="3"/>
      <c r="N90" s="23">
        <f t="shared" si="7"/>
        <v>0</v>
      </c>
      <c r="O90" s="12"/>
      <c r="P90" s="3">
        <v>29938.300000000003</v>
      </c>
      <c r="Q90" s="3"/>
      <c r="R90" s="23">
        <f t="shared" si="8"/>
        <v>6.8723465130111877E-2</v>
      </c>
      <c r="S90" s="3"/>
      <c r="T90" s="3"/>
      <c r="U90" s="3"/>
      <c r="V90" s="23">
        <f t="shared" si="9"/>
        <v>0</v>
      </c>
      <c r="W90" s="3"/>
      <c r="X90" s="3">
        <f t="shared" si="10"/>
        <v>29938.300000000003</v>
      </c>
      <c r="Y90" s="3"/>
      <c r="Z90" s="23">
        <f t="shared" si="11"/>
        <v>0</v>
      </c>
    </row>
    <row r="91" spans="1:26" s="24" customFormat="1" hidden="1" outlineLevel="1" x14ac:dyDescent="0.25">
      <c r="A91" s="51"/>
      <c r="B91" s="12" t="str">
        <f>CONCATENATE("          ", "5085", " - ", "PURCHASES @ COST-SOFTWARE")</f>
        <v xml:space="preserve">          5085 - PURCHASES @ COST-SOFTWARE</v>
      </c>
      <c r="C91" s="12"/>
      <c r="D91" s="3">
        <v>3864.34</v>
      </c>
      <c r="E91" s="3"/>
      <c r="F91" s="23">
        <f t="shared" si="4"/>
        <v>8.8706050524210295E-3</v>
      </c>
      <c r="G91" s="3"/>
      <c r="H91" s="3"/>
      <c r="I91" s="3"/>
      <c r="J91" s="23">
        <f t="shared" si="5"/>
        <v>0</v>
      </c>
      <c r="K91" s="3"/>
      <c r="L91" s="3">
        <f t="shared" si="6"/>
        <v>3864.34</v>
      </c>
      <c r="M91" s="3"/>
      <c r="N91" s="23">
        <f t="shared" si="7"/>
        <v>0</v>
      </c>
      <c r="O91" s="12"/>
      <c r="P91" s="3">
        <v>3864.34</v>
      </c>
      <c r="Q91" s="3"/>
      <c r="R91" s="23">
        <f t="shared" si="8"/>
        <v>8.8706050524210295E-3</v>
      </c>
      <c r="S91" s="3"/>
      <c r="T91" s="3"/>
      <c r="U91" s="3"/>
      <c r="V91" s="23">
        <f t="shared" si="9"/>
        <v>0</v>
      </c>
      <c r="W91" s="3"/>
      <c r="X91" s="3">
        <f t="shared" si="10"/>
        <v>3864.34</v>
      </c>
      <c r="Y91" s="3"/>
      <c r="Z91" s="23">
        <f t="shared" si="11"/>
        <v>0</v>
      </c>
    </row>
    <row r="92" spans="1:26" s="24" customFormat="1" hidden="1" outlineLevel="1" x14ac:dyDescent="0.25">
      <c r="A92" s="51"/>
      <c r="B92" s="12" t="str">
        <f>CONCATENATE("          ", "5086", " - ", "PURCHASES @ COST-COMPUTER SUPP")</f>
        <v xml:space="preserve">          5086 - PURCHASES @ COST-COMPUTER SUPP</v>
      </c>
      <c r="C92" s="12"/>
      <c r="D92" s="3">
        <v>87.25</v>
      </c>
      <c r="E92" s="3"/>
      <c r="F92" s="23">
        <f t="shared" si="4"/>
        <v>2.0028265908893494E-4</v>
      </c>
      <c r="G92" s="3"/>
      <c r="H92" s="3"/>
      <c r="I92" s="3"/>
      <c r="J92" s="23">
        <f t="shared" si="5"/>
        <v>0</v>
      </c>
      <c r="K92" s="3"/>
      <c r="L92" s="3">
        <f t="shared" si="6"/>
        <v>87.25</v>
      </c>
      <c r="M92" s="3"/>
      <c r="N92" s="23">
        <f t="shared" si="7"/>
        <v>0</v>
      </c>
      <c r="O92" s="12"/>
      <c r="P92" s="3">
        <v>87.25</v>
      </c>
      <c r="Q92" s="3"/>
      <c r="R92" s="23">
        <f t="shared" si="8"/>
        <v>2.0028265908893494E-4</v>
      </c>
      <c r="S92" s="3"/>
      <c r="T92" s="3"/>
      <c r="U92" s="3"/>
      <c r="V92" s="23">
        <f t="shared" si="9"/>
        <v>0</v>
      </c>
      <c r="W92" s="3"/>
      <c r="X92" s="3">
        <f t="shared" si="10"/>
        <v>87.25</v>
      </c>
      <c r="Y92" s="3"/>
      <c r="Z92" s="23">
        <f t="shared" si="11"/>
        <v>0</v>
      </c>
    </row>
    <row r="93" spans="1:26" s="24" customFormat="1" hidden="1" outlineLevel="1" x14ac:dyDescent="0.25">
      <c r="A93" s="51"/>
      <c r="B93" s="12" t="str">
        <f>CONCATENATE("          ", "5200", " - ", "PURCHASES OFFSET")</f>
        <v xml:space="preserve">          5200 - PURCHASES OFFSET</v>
      </c>
      <c r="C93" s="12"/>
      <c r="D93" s="3">
        <v>-442822.05</v>
      </c>
      <c r="E93" s="3"/>
      <c r="F93" s="23">
        <f t="shared" si="4"/>
        <v>-1.0164994576184905</v>
      </c>
      <c r="G93" s="3"/>
      <c r="H93" s="3"/>
      <c r="I93" s="3"/>
      <c r="J93" s="23">
        <f t="shared" si="5"/>
        <v>0</v>
      </c>
      <c r="K93" s="3"/>
      <c r="L93" s="3">
        <f t="shared" si="6"/>
        <v>-442822.05</v>
      </c>
      <c r="M93" s="3"/>
      <c r="N93" s="23">
        <f t="shared" si="7"/>
        <v>0</v>
      </c>
      <c r="O93" s="12"/>
      <c r="P93" s="3">
        <v>-442822.05</v>
      </c>
      <c r="Q93" s="3"/>
      <c r="R93" s="23">
        <f t="shared" si="8"/>
        <v>-1.0164994576184905</v>
      </c>
      <c r="S93" s="3"/>
      <c r="T93" s="3"/>
      <c r="U93" s="3"/>
      <c r="V93" s="23">
        <f t="shared" si="9"/>
        <v>0</v>
      </c>
      <c r="W93" s="3"/>
      <c r="X93" s="3">
        <f t="shared" si="10"/>
        <v>-442822.05</v>
      </c>
      <c r="Y93" s="3"/>
      <c r="Z93" s="23">
        <f t="shared" si="11"/>
        <v>0</v>
      </c>
    </row>
    <row r="94" spans="1:26" s="24" customFormat="1" hidden="1" outlineLevel="1" x14ac:dyDescent="0.25">
      <c r="A94" s="51"/>
      <c r="B94" s="12" t="str">
        <f>CONCATENATE("          ", "5300", " - ", "COG$ OFFSET")</f>
        <v xml:space="preserve">          5300 - COG$ OFFSET</v>
      </c>
      <c r="C94" s="12"/>
      <c r="D94" s="3">
        <v>319584</v>
      </c>
      <c r="E94" s="3"/>
      <c r="F94" s="23">
        <f t="shared" si="4"/>
        <v>0.73360611257625419</v>
      </c>
      <c r="G94" s="3"/>
      <c r="H94" s="3"/>
      <c r="I94" s="3"/>
      <c r="J94" s="23">
        <f t="shared" si="5"/>
        <v>0</v>
      </c>
      <c r="K94" s="3"/>
      <c r="L94" s="3">
        <f t="shared" si="6"/>
        <v>319584</v>
      </c>
      <c r="M94" s="3"/>
      <c r="N94" s="23">
        <f t="shared" si="7"/>
        <v>0</v>
      </c>
      <c r="O94" s="12"/>
      <c r="P94" s="3">
        <v>319584</v>
      </c>
      <c r="Q94" s="3"/>
      <c r="R94" s="23">
        <f t="shared" si="8"/>
        <v>0.73360611257625419</v>
      </c>
      <c r="S94" s="3"/>
      <c r="T94" s="3"/>
      <c r="U94" s="3"/>
      <c r="V94" s="23">
        <f t="shared" si="9"/>
        <v>0</v>
      </c>
      <c r="W94" s="3"/>
      <c r="X94" s="3">
        <f t="shared" si="10"/>
        <v>319584</v>
      </c>
      <c r="Y94" s="3"/>
      <c r="Z94" s="23">
        <f t="shared" si="11"/>
        <v>0</v>
      </c>
    </row>
    <row r="95" spans="1:26" s="24" customFormat="1" hidden="1" outlineLevel="1" x14ac:dyDescent="0.25">
      <c r="A95" s="51"/>
      <c r="B95" s="12" t="str">
        <f>CONCATENATE("          ", "5501", " - ", "FREIGHT-IN-NEW TEXT")</f>
        <v xml:space="preserve">          5501 - FREIGHT-IN-NEW TEXT</v>
      </c>
      <c r="C95" s="12"/>
      <c r="D95" s="3">
        <v>802.72</v>
      </c>
      <c r="E95" s="3"/>
      <c r="F95" s="23">
        <f t="shared" si="4"/>
        <v>1.842646373683322E-3</v>
      </c>
      <c r="G95" s="3"/>
      <c r="H95" s="3"/>
      <c r="I95" s="3"/>
      <c r="J95" s="23">
        <f t="shared" si="5"/>
        <v>0</v>
      </c>
      <c r="K95" s="3"/>
      <c r="L95" s="3">
        <f t="shared" si="6"/>
        <v>802.72</v>
      </c>
      <c r="M95" s="3"/>
      <c r="N95" s="23">
        <f t="shared" si="7"/>
        <v>0</v>
      </c>
      <c r="O95" s="12"/>
      <c r="P95" s="3">
        <v>802.72</v>
      </c>
      <c r="Q95" s="3"/>
      <c r="R95" s="23">
        <f t="shared" si="8"/>
        <v>1.842646373683322E-3</v>
      </c>
      <c r="S95" s="3"/>
      <c r="T95" s="3"/>
      <c r="U95" s="3"/>
      <c r="V95" s="23">
        <f t="shared" si="9"/>
        <v>0</v>
      </c>
      <c r="W95" s="3"/>
      <c r="X95" s="3">
        <f t="shared" si="10"/>
        <v>802.72</v>
      </c>
      <c r="Y95" s="3"/>
      <c r="Z95" s="23">
        <f t="shared" si="11"/>
        <v>0</v>
      </c>
    </row>
    <row r="96" spans="1:26" s="24" customFormat="1" hidden="1" outlineLevel="1" x14ac:dyDescent="0.25">
      <c r="A96" s="51"/>
      <c r="B96" s="12" t="str">
        <f>CONCATENATE("          ", "5502", " - ", "FREIGHT-IN-USED TEXT")</f>
        <v xml:space="preserve">          5502 - FREIGHT-IN-USED TEXT</v>
      </c>
      <c r="C96" s="12"/>
      <c r="D96" s="3">
        <v>47.89</v>
      </c>
      <c r="E96" s="3"/>
      <c r="F96" s="23">
        <f t="shared" si="4"/>
        <v>1.0993165093145093E-4</v>
      </c>
      <c r="G96" s="3"/>
      <c r="H96" s="3"/>
      <c r="I96" s="3"/>
      <c r="J96" s="23">
        <f t="shared" si="5"/>
        <v>0</v>
      </c>
      <c r="K96" s="3"/>
      <c r="L96" s="3">
        <f t="shared" si="6"/>
        <v>47.89</v>
      </c>
      <c r="M96" s="3"/>
      <c r="N96" s="23">
        <f t="shared" si="7"/>
        <v>0</v>
      </c>
      <c r="O96" s="12"/>
      <c r="P96" s="3">
        <v>47.89</v>
      </c>
      <c r="Q96" s="3"/>
      <c r="R96" s="23">
        <f t="shared" si="8"/>
        <v>1.0993165093145093E-4</v>
      </c>
      <c r="S96" s="3"/>
      <c r="T96" s="3"/>
      <c r="U96" s="3"/>
      <c r="V96" s="23">
        <f t="shared" si="9"/>
        <v>0</v>
      </c>
      <c r="W96" s="3"/>
      <c r="X96" s="3">
        <f t="shared" si="10"/>
        <v>47.89</v>
      </c>
      <c r="Y96" s="3"/>
      <c r="Z96" s="23">
        <f t="shared" si="11"/>
        <v>0</v>
      </c>
    </row>
    <row r="97" spans="1:26" s="24" customFormat="1" hidden="1" outlineLevel="1" x14ac:dyDescent="0.25">
      <c r="A97" s="51"/>
      <c r="B97" s="12" t="str">
        <f>CONCATENATE("          ", "5528", " - ", "FREIGHT-IN-ART/TECH")</f>
        <v xml:space="preserve">          5528 - FREIGHT-IN-ART/TECH</v>
      </c>
      <c r="C97" s="12"/>
      <c r="D97" s="3">
        <v>38.049999999999997</v>
      </c>
      <c r="E97" s="3"/>
      <c r="F97" s="23">
        <f t="shared" si="4"/>
        <v>8.7343898892079932E-5</v>
      </c>
      <c r="G97" s="3"/>
      <c r="H97" s="3"/>
      <c r="I97" s="3"/>
      <c r="J97" s="23">
        <f t="shared" si="5"/>
        <v>0</v>
      </c>
      <c r="K97" s="3"/>
      <c r="L97" s="3">
        <f t="shared" si="6"/>
        <v>38.049999999999997</v>
      </c>
      <c r="M97" s="3"/>
      <c r="N97" s="23">
        <f t="shared" si="7"/>
        <v>0</v>
      </c>
      <c r="O97" s="12"/>
      <c r="P97" s="3">
        <v>38.049999999999997</v>
      </c>
      <c r="Q97" s="3"/>
      <c r="R97" s="23">
        <f t="shared" si="8"/>
        <v>8.7343898892079932E-5</v>
      </c>
      <c r="S97" s="3"/>
      <c r="T97" s="3"/>
      <c r="U97" s="3"/>
      <c r="V97" s="23">
        <f t="shared" si="9"/>
        <v>0</v>
      </c>
      <c r="W97" s="3"/>
      <c r="X97" s="3">
        <f t="shared" si="10"/>
        <v>38.049999999999997</v>
      </c>
      <c r="Y97" s="3"/>
      <c r="Z97" s="23">
        <f t="shared" si="11"/>
        <v>0</v>
      </c>
    </row>
    <row r="98" spans="1:26" s="24" customFormat="1" hidden="1" outlineLevel="1" x14ac:dyDescent="0.25">
      <c r="A98" s="51"/>
      <c r="B98" s="12" t="str">
        <f>CONCATENATE("          ", "5540", " - ", "FREIGHT-IN-LOGO CLOTHING")</f>
        <v xml:space="preserve">          5540 - FREIGHT-IN-LOGO CLOTHING</v>
      </c>
      <c r="C98" s="12"/>
      <c r="D98" s="3">
        <v>909.83</v>
      </c>
      <c r="E98" s="3"/>
      <c r="F98" s="23">
        <f t="shared" si="4"/>
        <v>2.0885177274370852E-3</v>
      </c>
      <c r="G98" s="3"/>
      <c r="H98" s="3"/>
      <c r="I98" s="3"/>
      <c r="J98" s="23">
        <f t="shared" si="5"/>
        <v>0</v>
      </c>
      <c r="K98" s="3"/>
      <c r="L98" s="3">
        <f t="shared" si="6"/>
        <v>909.83</v>
      </c>
      <c r="M98" s="3"/>
      <c r="N98" s="23">
        <f t="shared" si="7"/>
        <v>0</v>
      </c>
      <c r="O98" s="12"/>
      <c r="P98" s="3">
        <v>909.83</v>
      </c>
      <c r="Q98" s="3"/>
      <c r="R98" s="23">
        <f t="shared" si="8"/>
        <v>2.0885177274370852E-3</v>
      </c>
      <c r="S98" s="3"/>
      <c r="T98" s="3"/>
      <c r="U98" s="3"/>
      <c r="V98" s="23">
        <f t="shared" si="9"/>
        <v>0</v>
      </c>
      <c r="W98" s="3"/>
      <c r="X98" s="3">
        <f t="shared" si="10"/>
        <v>909.83</v>
      </c>
      <c r="Y98" s="3"/>
      <c r="Z98" s="23">
        <f t="shared" si="11"/>
        <v>0</v>
      </c>
    </row>
    <row r="99" spans="1:26" s="24" customFormat="1" hidden="1" outlineLevel="1" x14ac:dyDescent="0.25">
      <c r="A99" s="51"/>
      <c r="B99" s="12" t="str">
        <f>CONCATENATE("          ", "5541", " - ", "FREIGHT-IN-LOGO GIFTS")</f>
        <v xml:space="preserve">          5541 - FREIGHT-IN-LOGO GIFTS</v>
      </c>
      <c r="C99" s="12"/>
      <c r="D99" s="3">
        <v>83.58</v>
      </c>
      <c r="E99" s="3"/>
      <c r="F99" s="23">
        <f t="shared" si="4"/>
        <v>1.9185816213929146E-4</v>
      </c>
      <c r="G99" s="3"/>
      <c r="H99" s="3"/>
      <c r="I99" s="3"/>
      <c r="J99" s="23">
        <f t="shared" si="5"/>
        <v>0</v>
      </c>
      <c r="K99" s="3"/>
      <c r="L99" s="3">
        <f t="shared" si="6"/>
        <v>83.58</v>
      </c>
      <c r="M99" s="3"/>
      <c r="N99" s="23">
        <f t="shared" si="7"/>
        <v>0</v>
      </c>
      <c r="O99" s="12"/>
      <c r="P99" s="3">
        <v>83.58</v>
      </c>
      <c r="Q99" s="3"/>
      <c r="R99" s="23">
        <f t="shared" si="8"/>
        <v>1.9185816213929146E-4</v>
      </c>
      <c r="S99" s="3"/>
      <c r="T99" s="3"/>
      <c r="U99" s="3"/>
      <c r="V99" s="23">
        <f t="shared" si="9"/>
        <v>0</v>
      </c>
      <c r="W99" s="3"/>
      <c r="X99" s="3">
        <f t="shared" si="10"/>
        <v>83.58</v>
      </c>
      <c r="Y99" s="3"/>
      <c r="Z99" s="23">
        <f t="shared" si="11"/>
        <v>0</v>
      </c>
    </row>
    <row r="100" spans="1:26" s="24" customFormat="1" hidden="1" outlineLevel="1" x14ac:dyDescent="0.25">
      <c r="A100" s="51"/>
      <c r="B100" s="12" t="str">
        <f>CONCATENATE("          ", "5542", " - ", "FREIGHT-IN-EVERYDAY GIFTS")</f>
        <v xml:space="preserve">          5542 - FREIGHT-IN-EVERYDAY GIFTS</v>
      </c>
      <c r="C100" s="12"/>
      <c r="D100" s="3">
        <v>5.94</v>
      </c>
      <c r="E100" s="3"/>
      <c r="F100" s="23">
        <f t="shared" si="4"/>
        <v>1.3635289340839812E-5</v>
      </c>
      <c r="G100" s="3"/>
      <c r="H100" s="3"/>
      <c r="I100" s="3"/>
      <c r="J100" s="23">
        <f t="shared" si="5"/>
        <v>0</v>
      </c>
      <c r="K100" s="3"/>
      <c r="L100" s="3">
        <f t="shared" si="6"/>
        <v>5.94</v>
      </c>
      <c r="M100" s="3"/>
      <c r="N100" s="23">
        <f t="shared" si="7"/>
        <v>0</v>
      </c>
      <c r="O100" s="12"/>
      <c r="P100" s="3">
        <v>5.94</v>
      </c>
      <c r="Q100" s="3"/>
      <c r="R100" s="23">
        <f t="shared" si="8"/>
        <v>1.3635289340839812E-5</v>
      </c>
      <c r="S100" s="3"/>
      <c r="T100" s="3"/>
      <c r="U100" s="3"/>
      <c r="V100" s="23">
        <f t="shared" si="9"/>
        <v>0</v>
      </c>
      <c r="W100" s="3"/>
      <c r="X100" s="3">
        <f t="shared" si="10"/>
        <v>5.94</v>
      </c>
      <c r="Y100" s="3"/>
      <c r="Z100" s="23">
        <f t="shared" si="11"/>
        <v>0</v>
      </c>
    </row>
    <row r="101" spans="1:26" s="24" customFormat="1" hidden="1" outlineLevel="1" x14ac:dyDescent="0.25">
      <c r="A101" s="51"/>
      <c r="B101" s="12" t="str">
        <f>CONCATENATE("          ", "5545", " - ", "FREIGHT-IN-SPECIAL ORDERS")</f>
        <v xml:space="preserve">          5545 - FREIGHT-IN-SPECIAL ORDERS</v>
      </c>
      <c r="C101" s="12"/>
      <c r="D101" s="3">
        <v>300.39999999999998</v>
      </c>
      <c r="E101" s="3"/>
      <c r="F101" s="23">
        <f t="shared" si="4"/>
        <v>6.895691781125049E-4</v>
      </c>
      <c r="G101" s="3"/>
      <c r="H101" s="3"/>
      <c r="I101" s="3"/>
      <c r="J101" s="23">
        <f t="shared" si="5"/>
        <v>0</v>
      </c>
      <c r="K101" s="3"/>
      <c r="L101" s="3">
        <f t="shared" si="6"/>
        <v>300.39999999999998</v>
      </c>
      <c r="M101" s="3"/>
      <c r="N101" s="23">
        <f t="shared" si="7"/>
        <v>0</v>
      </c>
      <c r="O101" s="12"/>
      <c r="P101" s="3">
        <v>300.39999999999998</v>
      </c>
      <c r="Q101" s="3"/>
      <c r="R101" s="23">
        <f t="shared" si="8"/>
        <v>6.895691781125049E-4</v>
      </c>
      <c r="S101" s="3"/>
      <c r="T101" s="3"/>
      <c r="U101" s="3"/>
      <c r="V101" s="23">
        <f t="shared" si="9"/>
        <v>0</v>
      </c>
      <c r="W101" s="3"/>
      <c r="X101" s="3">
        <f t="shared" si="10"/>
        <v>300.39999999999998</v>
      </c>
      <c r="Y101" s="3"/>
      <c r="Z101" s="23">
        <f t="shared" si="11"/>
        <v>0</v>
      </c>
    </row>
    <row r="102" spans="1:26" s="24" customFormat="1" hidden="1" outlineLevel="1" x14ac:dyDescent="0.25">
      <c r="A102" s="51"/>
      <c r="B102" s="12" t="str">
        <f>CONCATENATE("          ", "5583", " - ", "FREIGHT-IN-COMPUTER EQUIPMENT")</f>
        <v xml:space="preserve">          5583 - FREIGHT-IN-COMPUTER EQUIPMENT</v>
      </c>
      <c r="C102" s="12"/>
      <c r="D102" s="3">
        <v>17.39</v>
      </c>
      <c r="E102" s="3"/>
      <c r="F102" s="23">
        <f t="shared" si="4"/>
        <v>3.9918801622424967E-5</v>
      </c>
      <c r="G102" s="3"/>
      <c r="H102" s="3"/>
      <c r="I102" s="3"/>
      <c r="J102" s="23">
        <f t="shared" si="5"/>
        <v>0</v>
      </c>
      <c r="K102" s="3"/>
      <c r="L102" s="3">
        <f t="shared" si="6"/>
        <v>17.39</v>
      </c>
      <c r="M102" s="3"/>
      <c r="N102" s="23">
        <f t="shared" si="7"/>
        <v>0</v>
      </c>
      <c r="O102" s="12"/>
      <c r="P102" s="3">
        <v>17.39</v>
      </c>
      <c r="Q102" s="3"/>
      <c r="R102" s="23">
        <f t="shared" si="8"/>
        <v>3.9918801622424967E-5</v>
      </c>
      <c r="S102" s="3"/>
      <c r="T102" s="3"/>
      <c r="U102" s="3"/>
      <c r="V102" s="23">
        <f t="shared" si="9"/>
        <v>0</v>
      </c>
      <c r="W102" s="3"/>
      <c r="X102" s="3">
        <f t="shared" si="10"/>
        <v>17.39</v>
      </c>
      <c r="Y102" s="3"/>
      <c r="Z102" s="23">
        <f t="shared" si="11"/>
        <v>0</v>
      </c>
    </row>
    <row r="103" spans="1:26" x14ac:dyDescent="0.25">
      <c r="A103" s="9"/>
      <c r="B103" s="10"/>
      <c r="C103" s="10"/>
      <c r="D103" s="2"/>
      <c r="E103" s="2"/>
      <c r="F103" s="6"/>
      <c r="G103" s="2"/>
      <c r="H103" s="2"/>
      <c r="I103" s="2"/>
      <c r="J103" s="6"/>
      <c r="K103" s="2"/>
      <c r="L103" s="2"/>
      <c r="M103" s="2"/>
      <c r="N103" s="6"/>
      <c r="O103" s="10"/>
      <c r="P103" s="2"/>
      <c r="Q103" s="2"/>
      <c r="R103" s="6"/>
      <c r="S103" s="2"/>
      <c r="T103" s="2"/>
      <c r="U103" s="2"/>
      <c r="V103" s="6"/>
      <c r="W103" s="2"/>
      <c r="X103" s="2"/>
      <c r="Y103" s="2"/>
      <c r="Z103" s="6"/>
    </row>
    <row r="104" spans="1:26" s="22" customFormat="1" x14ac:dyDescent="0.25">
      <c r="A104" s="10"/>
      <c r="B104" s="25" t="s">
        <v>6</v>
      </c>
      <c r="C104" s="25"/>
      <c r="D104" s="21">
        <f>D12-D74</f>
        <v>110283.04999999993</v>
      </c>
      <c r="E104" s="13"/>
      <c r="F104" s="20">
        <f>IF(D$12=0,0,D104/D$12)</f>
        <v>0.25315510036032035</v>
      </c>
      <c r="G104" s="13"/>
      <c r="H104" s="21">
        <f>H12-H74</f>
        <v>219901</v>
      </c>
      <c r="I104" s="13"/>
      <c r="J104" s="20">
        <f>IF(H$12=0,0,H104/H$12)</f>
        <v>0.34613998221298764</v>
      </c>
      <c r="K104" s="15"/>
      <c r="L104" s="21">
        <f>+D104-H104</f>
        <v>-109617.95000000007</v>
      </c>
      <c r="M104" s="15"/>
      <c r="N104" s="20">
        <f>IF(H104=0,0,L104/H104)</f>
        <v>-0.49848772856876533</v>
      </c>
      <c r="O104" s="26"/>
      <c r="P104" s="21">
        <f>P12-P74</f>
        <v>110283.04999999993</v>
      </c>
      <c r="Q104" s="13"/>
      <c r="R104" s="20">
        <f>IF(P$12=0,0,P104/P$12)</f>
        <v>0.25315510036032035</v>
      </c>
      <c r="S104" s="13"/>
      <c r="T104" s="21">
        <f>T12-T74</f>
        <v>219901</v>
      </c>
      <c r="U104" s="13"/>
      <c r="V104" s="20">
        <f>IF(T$12=0,0,T104/T$12)</f>
        <v>0.34613998221298764</v>
      </c>
      <c r="W104" s="15"/>
      <c r="X104" s="21">
        <f>+P104-T104</f>
        <v>-109617.95000000007</v>
      </c>
      <c r="Y104" s="15"/>
      <c r="Z104" s="20">
        <f>IF(T104=0,0,X104/T104)</f>
        <v>-0.49848772856876533</v>
      </c>
    </row>
    <row r="105" spans="1:26" x14ac:dyDescent="0.25">
      <c r="A105" s="9"/>
      <c r="B105" s="10"/>
      <c r="C105" s="9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2" customFormat="1" x14ac:dyDescent="0.25">
      <c r="A106" s="10"/>
      <c r="B106" s="26" t="s">
        <v>9</v>
      </c>
      <c r="C106" s="10"/>
      <c r="D106" s="19">
        <f>SUM(OSRRefD22x_0)</f>
        <v>330380.45999999996</v>
      </c>
      <c r="E106" s="19"/>
      <c r="F106" s="31">
        <f t="shared" ref="F106:F117" si="12">IF(D$12=0,0,D106/D$12)</f>
        <v>0.75838942165989109</v>
      </c>
      <c r="G106" s="19"/>
      <c r="H106" s="19">
        <f>SUM(OSRRefH22x_0)</f>
        <v>406269.27000370197</v>
      </c>
      <c r="I106" s="19"/>
      <c r="J106" s="31">
        <f t="shared" ref="J106:J117" si="13">IF(H$12=0,0,H106/H$12)</f>
        <v>0.6394970368154983</v>
      </c>
      <c r="K106" s="4"/>
      <c r="L106" s="19">
        <f t="shared" ref="L106:L117" si="14">+D106-H106</f>
        <v>-75888.810003702005</v>
      </c>
      <c r="M106" s="4"/>
      <c r="N106" s="31">
        <f t="shared" ref="N106:N117" si="15">IF(H106=0,0,L106/H106)</f>
        <v>-0.18679436424765894</v>
      </c>
      <c r="O106" s="10"/>
      <c r="P106" s="19">
        <f>SUM(OSRRefP22x_0)</f>
        <v>330380.45999999996</v>
      </c>
      <c r="Q106" s="19"/>
      <c r="R106" s="31">
        <f t="shared" ref="R106:R117" si="16">IF(P$12=0,0,P106/P$12)</f>
        <v>0.75838942165989109</v>
      </c>
      <c r="S106" s="19"/>
      <c r="T106" s="19">
        <f>SUM(OSRRefT22x_0)</f>
        <v>406269.27000370197</v>
      </c>
      <c r="U106" s="19"/>
      <c r="V106" s="31">
        <f t="shared" ref="V106:V117" si="17">IF(T$12=0,0,T106/T$12)</f>
        <v>0.6394970368154983</v>
      </c>
      <c r="W106" s="4"/>
      <c r="X106" s="19">
        <f t="shared" ref="X106:X117" si="18">+P106-T106</f>
        <v>-75888.810003702005</v>
      </c>
      <c r="Y106" s="4"/>
      <c r="Z106" s="31">
        <f t="shared" ref="Z106:Z117" si="19">IF(T106=0,0,X106/T106)</f>
        <v>-0.18679436424765894</v>
      </c>
    </row>
    <row r="107" spans="1:26" s="29" customFormat="1" outlineLevel="1" collapsed="1" x14ac:dyDescent="0.25">
      <c r="A107" s="28"/>
      <c r="B107" s="14" t="str">
        <f>CONCATENATE("     ","*Benefits                                         ")</f>
        <v xml:space="preserve">     *Benefits                                         </v>
      </c>
      <c r="C107" s="14"/>
      <c r="D107" s="1">
        <f>SUM(OSRRefD22_0x_0)</f>
        <v>43394.840000000004</v>
      </c>
      <c r="E107" s="1"/>
      <c r="F107" s="5">
        <f t="shared" si="12"/>
        <v>9.9612996515058769E-2</v>
      </c>
      <c r="G107" s="1"/>
      <c r="H107" s="1">
        <f>SUM(OSRRefH22_0x_0)</f>
        <v>54593.831526009584</v>
      </c>
      <c r="I107" s="1"/>
      <c r="J107" s="5">
        <f t="shared" si="13"/>
        <v>8.5934615455826951E-2</v>
      </c>
      <c r="K107" s="1"/>
      <c r="L107" s="1">
        <f t="shared" si="14"/>
        <v>-11198.99152600958</v>
      </c>
      <c r="M107" s="1"/>
      <c r="N107" s="5">
        <f t="shared" si="15"/>
        <v>-0.20513290994558897</v>
      </c>
      <c r="O107" s="14"/>
      <c r="P107" s="1">
        <f>SUM(OSRRefP22_0x_0)</f>
        <v>43394.840000000004</v>
      </c>
      <c r="Q107" s="1"/>
      <c r="R107" s="5">
        <f t="shared" si="16"/>
        <v>9.9612996515058769E-2</v>
      </c>
      <c r="S107" s="1"/>
      <c r="T107" s="1">
        <f>SUM(OSRRefT22_0x_0)</f>
        <v>54593.831526009584</v>
      </c>
      <c r="U107" s="1"/>
      <c r="V107" s="5">
        <f t="shared" si="17"/>
        <v>8.5934615455826951E-2</v>
      </c>
      <c r="W107" s="1"/>
      <c r="X107" s="1">
        <f t="shared" si="18"/>
        <v>-11198.99152600958</v>
      </c>
      <c r="Y107" s="1"/>
      <c r="Z107" s="5">
        <f t="shared" si="19"/>
        <v>-0.20513290994558897</v>
      </c>
    </row>
    <row r="108" spans="1:26" s="24" customFormat="1" hidden="1" outlineLevel="2" x14ac:dyDescent="0.25">
      <c r="A108" s="27"/>
      <c r="B108" s="12" t="str">
        <f>CONCATENATE("          ", "6111", " - ", "F.I.C.A.")</f>
        <v xml:space="preserve">          6111 - F.I.C.A.</v>
      </c>
      <c r="C108" s="12"/>
      <c r="D108" s="7">
        <v>7986.74</v>
      </c>
      <c r="E108" s="3"/>
      <c r="F108" s="8">
        <f t="shared" si="12"/>
        <v>1.8333587675094097E-2</v>
      </c>
      <c r="G108" s="3"/>
      <c r="H108" s="7">
        <v>13454.550550528846</v>
      </c>
      <c r="I108" s="3"/>
      <c r="J108" s="8">
        <f t="shared" si="13"/>
        <v>2.1178429785420703E-2</v>
      </c>
      <c r="K108" s="3"/>
      <c r="L108" s="7">
        <f t="shared" si="14"/>
        <v>-5467.8105505288459</v>
      </c>
      <c r="M108" s="3"/>
      <c r="N108" s="8">
        <f t="shared" si="15"/>
        <v>-0.40639117077856812</v>
      </c>
      <c r="O108" s="12"/>
      <c r="P108" s="7">
        <v>7986.74</v>
      </c>
      <c r="Q108" s="3"/>
      <c r="R108" s="8">
        <f t="shared" si="16"/>
        <v>1.8333587675094097E-2</v>
      </c>
      <c r="S108" s="3"/>
      <c r="T108" s="7">
        <v>13454.550550528846</v>
      </c>
      <c r="U108" s="3"/>
      <c r="V108" s="8">
        <f t="shared" si="17"/>
        <v>2.1178429785420703E-2</v>
      </c>
      <c r="W108" s="3"/>
      <c r="X108" s="7">
        <f t="shared" si="18"/>
        <v>-5467.8105505288459</v>
      </c>
      <c r="Y108" s="3"/>
      <c r="Z108" s="8">
        <f t="shared" si="19"/>
        <v>-0.40639117077856812</v>
      </c>
    </row>
    <row r="109" spans="1:26" s="24" customFormat="1" hidden="1" outlineLevel="2" x14ac:dyDescent="0.25">
      <c r="A109" s="27"/>
      <c r="B109" s="12" t="str">
        <f>CONCATENATE("          ", "6112", " - ", "COMPENSATION INSURANCE")</f>
        <v xml:space="preserve">          6112 - COMPENSATION INSURANCE</v>
      </c>
      <c r="C109" s="12"/>
      <c r="D109" s="7">
        <v>1832.08</v>
      </c>
      <c r="E109" s="3"/>
      <c r="F109" s="8">
        <f t="shared" si="12"/>
        <v>4.2055456053141076E-3</v>
      </c>
      <c r="G109" s="3"/>
      <c r="H109" s="7">
        <v>3413.3014975961537</v>
      </c>
      <c r="I109" s="3"/>
      <c r="J109" s="8">
        <f t="shared" si="13"/>
        <v>5.3727819321671881E-3</v>
      </c>
      <c r="K109" s="3"/>
      <c r="L109" s="7">
        <f t="shared" si="14"/>
        <v>-1581.2214975961538</v>
      </c>
      <c r="M109" s="3"/>
      <c r="N109" s="8">
        <f t="shared" si="15"/>
        <v>-0.46325280632541316</v>
      </c>
      <c r="O109" s="12"/>
      <c r="P109" s="7">
        <v>1832.08</v>
      </c>
      <c r="Q109" s="3"/>
      <c r="R109" s="8">
        <f t="shared" si="16"/>
        <v>4.2055456053141076E-3</v>
      </c>
      <c r="S109" s="3"/>
      <c r="T109" s="7">
        <v>3413.3014975961537</v>
      </c>
      <c r="U109" s="3"/>
      <c r="V109" s="8">
        <f t="shared" si="17"/>
        <v>5.3727819321671881E-3</v>
      </c>
      <c r="W109" s="3"/>
      <c r="X109" s="7">
        <f t="shared" si="18"/>
        <v>-1581.2214975961538</v>
      </c>
      <c r="Y109" s="3"/>
      <c r="Z109" s="8">
        <f t="shared" si="19"/>
        <v>-0.46325280632541316</v>
      </c>
    </row>
    <row r="110" spans="1:26" s="24" customFormat="1" hidden="1" outlineLevel="2" x14ac:dyDescent="0.25">
      <c r="A110" s="27"/>
      <c r="B110" s="12" t="str">
        <f>CONCATENATE("          ", "6113", " - ", "GROUP INSURANCE")</f>
        <v xml:space="preserve">          6113 - GROUP INSURANCE</v>
      </c>
      <c r="C110" s="12"/>
      <c r="D110" s="7">
        <v>14504.37</v>
      </c>
      <c r="E110" s="3"/>
      <c r="F110" s="8">
        <f t="shared" si="12"/>
        <v>3.3294828561716623E-2</v>
      </c>
      <c r="G110" s="3"/>
      <c r="H110" s="7">
        <v>19167.307692307681</v>
      </c>
      <c r="I110" s="3"/>
      <c r="J110" s="8">
        <f t="shared" si="13"/>
        <v>3.0170720204484028E-2</v>
      </c>
      <c r="K110" s="3"/>
      <c r="L110" s="7">
        <f t="shared" si="14"/>
        <v>-4662.9376923076798</v>
      </c>
      <c r="M110" s="3"/>
      <c r="N110" s="8">
        <f t="shared" si="15"/>
        <v>-0.24327556937895004</v>
      </c>
      <c r="O110" s="12"/>
      <c r="P110" s="7">
        <v>14504.37</v>
      </c>
      <c r="Q110" s="3"/>
      <c r="R110" s="8">
        <f t="shared" si="16"/>
        <v>3.3294828561716623E-2</v>
      </c>
      <c r="S110" s="3"/>
      <c r="T110" s="7">
        <v>19167.307692307681</v>
      </c>
      <c r="U110" s="3"/>
      <c r="V110" s="8">
        <f t="shared" si="17"/>
        <v>3.0170720204484028E-2</v>
      </c>
      <c r="W110" s="3"/>
      <c r="X110" s="7">
        <f t="shared" si="18"/>
        <v>-4662.9376923076798</v>
      </c>
      <c r="Y110" s="3"/>
      <c r="Z110" s="8">
        <f t="shared" si="19"/>
        <v>-0.24327556937895004</v>
      </c>
    </row>
    <row r="111" spans="1:26" s="24" customFormat="1" hidden="1" outlineLevel="2" x14ac:dyDescent="0.25">
      <c r="A111" s="27"/>
      <c r="B111" s="12" t="str">
        <f>CONCATENATE("          ", "6114", " - ", "STATE UNEMPLOYMENT INSURANCE")</f>
        <v xml:space="preserve">          6114 - STATE UNEMPLOYMENT INSURANCE</v>
      </c>
      <c r="C111" s="12"/>
      <c r="D111" s="7">
        <v>289.55</v>
      </c>
      <c r="E111" s="3"/>
      <c r="F111" s="8">
        <f t="shared" si="12"/>
        <v>6.646629677845399E-4</v>
      </c>
      <c r="G111" s="3"/>
      <c r="H111" s="7">
        <v>479.70723750000008</v>
      </c>
      <c r="I111" s="3"/>
      <c r="J111" s="8">
        <f t="shared" si="13"/>
        <v>7.5509367695322652E-4</v>
      </c>
      <c r="K111" s="3"/>
      <c r="L111" s="7">
        <f t="shared" si="14"/>
        <v>-190.15723750000006</v>
      </c>
      <c r="M111" s="3"/>
      <c r="N111" s="8">
        <f t="shared" si="15"/>
        <v>-0.39640268612791157</v>
      </c>
      <c r="O111" s="12"/>
      <c r="P111" s="7">
        <v>289.55</v>
      </c>
      <c r="Q111" s="3"/>
      <c r="R111" s="8">
        <f t="shared" si="16"/>
        <v>6.646629677845399E-4</v>
      </c>
      <c r="S111" s="3"/>
      <c r="T111" s="7">
        <v>479.70723750000008</v>
      </c>
      <c r="U111" s="3"/>
      <c r="V111" s="8">
        <f t="shared" si="17"/>
        <v>7.5509367695322652E-4</v>
      </c>
      <c r="W111" s="3"/>
      <c r="X111" s="7">
        <f t="shared" si="18"/>
        <v>-190.15723750000006</v>
      </c>
      <c r="Y111" s="3"/>
      <c r="Z111" s="8">
        <f t="shared" si="19"/>
        <v>-0.39640268612791157</v>
      </c>
    </row>
    <row r="112" spans="1:26" s="24" customFormat="1" hidden="1" outlineLevel="2" x14ac:dyDescent="0.25">
      <c r="A112" s="27"/>
      <c r="B112" s="12" t="str">
        <f>CONCATENATE("          ", "6115", " - ", "P.E.R.S.")</f>
        <v xml:space="preserve">          6115 - P.E.R.S.</v>
      </c>
      <c r="C112" s="12"/>
      <c r="D112" s="7">
        <v>8423.1200000000008</v>
      </c>
      <c r="E112" s="3"/>
      <c r="F112" s="8">
        <f t="shared" si="12"/>
        <v>1.9335299385962061E-2</v>
      </c>
      <c r="G112" s="3"/>
      <c r="H112" s="7">
        <v>6111.2918942307688</v>
      </c>
      <c r="I112" s="3"/>
      <c r="J112" s="8">
        <f t="shared" si="13"/>
        <v>9.6196127692344015E-3</v>
      </c>
      <c r="K112" s="3"/>
      <c r="L112" s="7">
        <f t="shared" si="14"/>
        <v>2311.828105769232</v>
      </c>
      <c r="M112" s="3"/>
      <c r="N112" s="8">
        <f t="shared" si="15"/>
        <v>0.37828795380427871</v>
      </c>
      <c r="O112" s="12"/>
      <c r="P112" s="7">
        <v>8423.1200000000008</v>
      </c>
      <c r="Q112" s="3"/>
      <c r="R112" s="8">
        <f t="shared" si="16"/>
        <v>1.9335299385962061E-2</v>
      </c>
      <c r="S112" s="3"/>
      <c r="T112" s="7">
        <v>6111.2918942307688</v>
      </c>
      <c r="U112" s="3"/>
      <c r="V112" s="8">
        <f t="shared" si="17"/>
        <v>9.6196127692344015E-3</v>
      </c>
      <c r="W112" s="3"/>
      <c r="X112" s="7">
        <f t="shared" si="18"/>
        <v>2311.828105769232</v>
      </c>
      <c r="Y112" s="3"/>
      <c r="Z112" s="8">
        <f t="shared" si="19"/>
        <v>0.37828795380427871</v>
      </c>
    </row>
    <row r="113" spans="1:26" s="24" customFormat="1" hidden="1" outlineLevel="2" x14ac:dyDescent="0.25">
      <c r="A113" s="27"/>
      <c r="B113" s="12" t="str">
        <f>CONCATENATE("          ", "6116", " - ", "EDUCATIONAL BENEFITS")</f>
        <v xml:space="preserve">          6116 - EDUCATIONAL BENEFITS</v>
      </c>
      <c r="C113" s="12"/>
      <c r="D113" s="7">
        <v>0</v>
      </c>
      <c r="E113" s="3"/>
      <c r="F113" s="8">
        <f t="shared" si="12"/>
        <v>0</v>
      </c>
      <c r="G113" s="3"/>
      <c r="H113" s="7">
        <v>0</v>
      </c>
      <c r="I113" s="3"/>
      <c r="J113" s="8">
        <f t="shared" si="13"/>
        <v>0</v>
      </c>
      <c r="K113" s="3"/>
      <c r="L113" s="7">
        <f t="shared" si="14"/>
        <v>0</v>
      </c>
      <c r="M113" s="3"/>
      <c r="N113" s="8">
        <f t="shared" si="15"/>
        <v>0</v>
      </c>
      <c r="O113" s="12"/>
      <c r="P113" s="7">
        <v>0</v>
      </c>
      <c r="Q113" s="3"/>
      <c r="R113" s="8">
        <f t="shared" si="16"/>
        <v>0</v>
      </c>
      <c r="S113" s="3"/>
      <c r="T113" s="7">
        <v>0</v>
      </c>
      <c r="U113" s="3"/>
      <c r="V113" s="8">
        <f t="shared" si="17"/>
        <v>0</v>
      </c>
      <c r="W113" s="3"/>
      <c r="X113" s="7">
        <f t="shared" si="18"/>
        <v>0</v>
      </c>
      <c r="Y113" s="3"/>
      <c r="Z113" s="8">
        <f t="shared" si="19"/>
        <v>0</v>
      </c>
    </row>
    <row r="114" spans="1:26" s="24" customFormat="1" hidden="1" outlineLevel="2" x14ac:dyDescent="0.25">
      <c r="A114" s="27"/>
      <c r="B114" s="12" t="str">
        <f>CONCATENATE("          ", "6117", " - ", "RETIREMENT STAFF HOURLY")</f>
        <v xml:space="preserve">          6117 - RETIREMENT STAFF HOURLY</v>
      </c>
      <c r="C114" s="12"/>
      <c r="D114" s="7">
        <v>580.67999999999995</v>
      </c>
      <c r="E114" s="3"/>
      <c r="F114" s="8">
        <f t="shared" si="12"/>
        <v>1.3329528307136128E-3</v>
      </c>
      <c r="G114" s="3"/>
      <c r="H114" s="7"/>
      <c r="I114" s="3"/>
      <c r="J114" s="8">
        <f t="shared" si="13"/>
        <v>0</v>
      </c>
      <c r="K114" s="3"/>
      <c r="L114" s="7">
        <f t="shared" si="14"/>
        <v>580.67999999999995</v>
      </c>
      <c r="M114" s="3"/>
      <c r="N114" s="8">
        <f t="shared" si="15"/>
        <v>0</v>
      </c>
      <c r="O114" s="12"/>
      <c r="P114" s="7">
        <v>580.67999999999995</v>
      </c>
      <c r="Q114" s="3"/>
      <c r="R114" s="8">
        <f t="shared" si="16"/>
        <v>1.3329528307136128E-3</v>
      </c>
      <c r="S114" s="3"/>
      <c r="T114" s="7"/>
      <c r="U114" s="3"/>
      <c r="V114" s="8">
        <f t="shared" si="17"/>
        <v>0</v>
      </c>
      <c r="W114" s="3"/>
      <c r="X114" s="7">
        <f t="shared" si="18"/>
        <v>580.67999999999995</v>
      </c>
      <c r="Y114" s="3"/>
      <c r="Z114" s="8">
        <f t="shared" si="19"/>
        <v>0</v>
      </c>
    </row>
    <row r="115" spans="1:26" s="24" customFormat="1" hidden="1" outlineLevel="2" x14ac:dyDescent="0.25">
      <c r="A115" s="27"/>
      <c r="B115" s="12" t="str">
        <f>CONCATENATE("          ", "6118", " - ", "VACATION")</f>
        <v xml:space="preserve">          6118 - VACATION</v>
      </c>
      <c r="C115" s="12"/>
      <c r="D115" s="7">
        <v>4991.5</v>
      </c>
      <c r="E115" s="3"/>
      <c r="F115" s="8">
        <f t="shared" si="12"/>
        <v>1.1458004502491905E-2</v>
      </c>
      <c r="G115" s="3"/>
      <c r="H115" s="7">
        <v>5175.6155249999965</v>
      </c>
      <c r="I115" s="3"/>
      <c r="J115" s="8">
        <f t="shared" si="13"/>
        <v>8.1467909002904109E-3</v>
      </c>
      <c r="K115" s="3"/>
      <c r="L115" s="7">
        <f t="shared" si="14"/>
        <v>-184.11552499999652</v>
      </c>
      <c r="M115" s="3"/>
      <c r="N115" s="8">
        <f t="shared" si="15"/>
        <v>-3.5573648025177963E-2</v>
      </c>
      <c r="O115" s="12"/>
      <c r="P115" s="7">
        <v>4991.5</v>
      </c>
      <c r="Q115" s="3"/>
      <c r="R115" s="8">
        <f t="shared" si="16"/>
        <v>1.1458004502491905E-2</v>
      </c>
      <c r="S115" s="3"/>
      <c r="T115" s="7">
        <v>5175.6155249999965</v>
      </c>
      <c r="U115" s="3"/>
      <c r="V115" s="8">
        <f t="shared" si="17"/>
        <v>8.1467909002904109E-3</v>
      </c>
      <c r="W115" s="3"/>
      <c r="X115" s="7">
        <f t="shared" si="18"/>
        <v>-184.11552499999652</v>
      </c>
      <c r="Y115" s="3"/>
      <c r="Z115" s="8">
        <f t="shared" si="19"/>
        <v>-3.5573648025177963E-2</v>
      </c>
    </row>
    <row r="116" spans="1:26" s="24" customFormat="1" hidden="1" outlineLevel="2" x14ac:dyDescent="0.25">
      <c r="A116" s="27"/>
      <c r="B116" s="12" t="str">
        <f>CONCATENATE("          ", "6119", " - ", "SICK LEAVE")</f>
        <v xml:space="preserve">          6119 - SICK LEAVE</v>
      </c>
      <c r="C116" s="12"/>
      <c r="D116" s="7">
        <v>3592.55</v>
      </c>
      <c r="E116" s="3"/>
      <c r="F116" s="8">
        <f t="shared" si="12"/>
        <v>8.2467102224636473E-3</v>
      </c>
      <c r="G116" s="3"/>
      <c r="H116" s="7">
        <v>4992.057128846147</v>
      </c>
      <c r="I116" s="3"/>
      <c r="J116" s="8">
        <f t="shared" si="13"/>
        <v>7.857856789123395E-3</v>
      </c>
      <c r="K116" s="3"/>
      <c r="L116" s="7">
        <f t="shared" si="14"/>
        <v>-1399.5071288461468</v>
      </c>
      <c r="M116" s="3"/>
      <c r="N116" s="8">
        <f t="shared" si="15"/>
        <v>-0.28034677743554304</v>
      </c>
      <c r="O116" s="12"/>
      <c r="P116" s="7">
        <v>3592.55</v>
      </c>
      <c r="Q116" s="3"/>
      <c r="R116" s="8">
        <f t="shared" si="16"/>
        <v>8.2467102224636473E-3</v>
      </c>
      <c r="S116" s="3"/>
      <c r="T116" s="7">
        <v>4992.057128846147</v>
      </c>
      <c r="U116" s="3"/>
      <c r="V116" s="8">
        <f t="shared" si="17"/>
        <v>7.857856789123395E-3</v>
      </c>
      <c r="W116" s="3"/>
      <c r="X116" s="7">
        <f t="shared" si="18"/>
        <v>-1399.5071288461468</v>
      </c>
      <c r="Y116" s="3"/>
      <c r="Z116" s="8">
        <f t="shared" si="19"/>
        <v>-0.28034677743554304</v>
      </c>
    </row>
    <row r="117" spans="1:26" s="24" customFormat="1" hidden="1" outlineLevel="2" x14ac:dyDescent="0.25">
      <c r="A117" s="27"/>
      <c r="B117" s="12" t="str">
        <f>CONCATENATE("          ", "6156", " - ", "EMPLOYEE MEALS")</f>
        <v xml:space="preserve">          6156 - EMPLOYEE MEALS</v>
      </c>
      <c r="C117" s="12"/>
      <c r="D117" s="7">
        <v>1194.25</v>
      </c>
      <c r="E117" s="3"/>
      <c r="F117" s="8">
        <f t="shared" si="12"/>
        <v>2.7414047635181725E-3</v>
      </c>
      <c r="G117" s="3"/>
      <c r="H117" s="7">
        <v>1800</v>
      </c>
      <c r="I117" s="3"/>
      <c r="J117" s="8">
        <f t="shared" si="13"/>
        <v>2.8333293981536137E-3</v>
      </c>
      <c r="K117" s="3"/>
      <c r="L117" s="7">
        <f t="shared" si="14"/>
        <v>-605.75</v>
      </c>
      <c r="M117" s="3"/>
      <c r="N117" s="8">
        <f t="shared" si="15"/>
        <v>-0.33652777777777776</v>
      </c>
      <c r="O117" s="12"/>
      <c r="P117" s="7">
        <v>1194.25</v>
      </c>
      <c r="Q117" s="3"/>
      <c r="R117" s="8">
        <f t="shared" si="16"/>
        <v>2.7414047635181725E-3</v>
      </c>
      <c r="S117" s="3"/>
      <c r="T117" s="7">
        <v>1800</v>
      </c>
      <c r="U117" s="3"/>
      <c r="V117" s="8">
        <f t="shared" si="17"/>
        <v>2.8333293981536137E-3</v>
      </c>
      <c r="W117" s="3"/>
      <c r="X117" s="7">
        <f t="shared" si="18"/>
        <v>-605.75</v>
      </c>
      <c r="Y117" s="3"/>
      <c r="Z117" s="8">
        <f t="shared" si="19"/>
        <v>-0.33652777777777776</v>
      </c>
    </row>
    <row r="118" spans="1:26" s="29" customFormat="1" outlineLevel="1" collapsed="1" x14ac:dyDescent="0.25">
      <c r="A118" s="28"/>
      <c r="B118" s="14" t="str">
        <f>CONCATENATE("     ","*Payroll                                          ")</f>
        <v xml:space="preserve">     *Payroll                                          </v>
      </c>
      <c r="C118" s="14"/>
      <c r="D118" s="1">
        <f>SUM(OSRRefD22_1x_0)</f>
        <v>126895.38000000002</v>
      </c>
      <c r="E118" s="1"/>
      <c r="F118" s="5">
        <f t="shared" ref="F118:F128" si="20">IF(D$12=0,0,D118/D$12)</f>
        <v>0.29128875796562587</v>
      </c>
      <c r="G118" s="1"/>
      <c r="H118" s="1">
        <f>SUM(OSRRefH22_1x_0)</f>
        <v>171932.43847769237</v>
      </c>
      <c r="I118" s="1"/>
      <c r="J118" s="5">
        <f t="shared" ref="J118:J128" si="21">IF(H$12=0,0,H118/H$12)</f>
        <v>0.27063401801949072</v>
      </c>
      <c r="K118" s="1"/>
      <c r="L118" s="1">
        <f t="shared" ref="L118:L128" si="22">+D118-H118</f>
        <v>-45037.05847769235</v>
      </c>
      <c r="M118" s="1"/>
      <c r="N118" s="5">
        <f t="shared" ref="N118:N128" si="23">IF(H118=0,0,L118/H118)</f>
        <v>-0.26194625561328122</v>
      </c>
      <c r="O118" s="14"/>
      <c r="P118" s="1">
        <f>SUM(OSRRefP22_1x_0)</f>
        <v>126895.38000000002</v>
      </c>
      <c r="Q118" s="1"/>
      <c r="R118" s="5">
        <f t="shared" ref="R118:R128" si="24">IF(P$12=0,0,P118/P$12)</f>
        <v>0.29128875796562587</v>
      </c>
      <c r="S118" s="1"/>
      <c r="T118" s="1">
        <f>SUM(OSRRefT22_1x_0)</f>
        <v>171932.43847769237</v>
      </c>
      <c r="U118" s="1"/>
      <c r="V118" s="5">
        <f t="shared" ref="V118:V128" si="25">IF(T$12=0,0,T118/T$12)</f>
        <v>0.27063401801949072</v>
      </c>
      <c r="W118" s="1"/>
      <c r="X118" s="1">
        <f t="shared" ref="X118:X128" si="26">+P118-T118</f>
        <v>-45037.05847769235</v>
      </c>
      <c r="Y118" s="1"/>
      <c r="Z118" s="5">
        <f t="shared" ref="Z118:Z128" si="27">IF(T118=0,0,X118/T118)</f>
        <v>-0.26194625561328122</v>
      </c>
    </row>
    <row r="119" spans="1:26" s="24" customFormat="1" hidden="1" outlineLevel="2" x14ac:dyDescent="0.25">
      <c r="A119" s="27"/>
      <c r="B119" s="12" t="str">
        <f>CONCATENATE("          ", "6001", " - ", "ADMINISTRATIVE SALARIES")</f>
        <v xml:space="preserve">          6001 - ADMINISTRATIVE SALARIES</v>
      </c>
      <c r="C119" s="12"/>
      <c r="D119" s="7">
        <v>4525.8500000000004</v>
      </c>
      <c r="E119" s="3"/>
      <c r="F119" s="8">
        <f t="shared" si="20"/>
        <v>1.0389103411319841E-2</v>
      </c>
      <c r="G119" s="3"/>
      <c r="H119" s="7">
        <v>9699.6153846153902</v>
      </c>
      <c r="I119" s="3"/>
      <c r="J119" s="8">
        <f t="shared" si="21"/>
        <v>1.5267891900007697E-2</v>
      </c>
      <c r="K119" s="3"/>
      <c r="L119" s="7">
        <f t="shared" si="22"/>
        <v>-5173.7653846153898</v>
      </c>
      <c r="M119" s="3"/>
      <c r="N119" s="8">
        <f t="shared" si="23"/>
        <v>-0.53339902454498611</v>
      </c>
      <c r="O119" s="12"/>
      <c r="P119" s="7">
        <v>4525.8500000000004</v>
      </c>
      <c r="Q119" s="3"/>
      <c r="R119" s="8">
        <f t="shared" si="24"/>
        <v>1.0389103411319841E-2</v>
      </c>
      <c r="S119" s="3"/>
      <c r="T119" s="7">
        <v>9699.6153846153902</v>
      </c>
      <c r="U119" s="3"/>
      <c r="V119" s="8">
        <f t="shared" si="25"/>
        <v>1.5267891900007697E-2</v>
      </c>
      <c r="W119" s="3"/>
      <c r="X119" s="7">
        <f t="shared" si="26"/>
        <v>-5173.7653846153898</v>
      </c>
      <c r="Y119" s="3"/>
      <c r="Z119" s="8">
        <f t="shared" si="27"/>
        <v>-0.53339902454498611</v>
      </c>
    </row>
    <row r="120" spans="1:26" s="24" customFormat="1" hidden="1" outlineLevel="2" x14ac:dyDescent="0.25">
      <c r="A120" s="27"/>
      <c r="B120" s="12" t="str">
        <f>CONCATENATE("          ", "6002", " - ", "STAFF SALARIES")</f>
        <v xml:space="preserve">          6002 - STAFF SALARIES</v>
      </c>
      <c r="C120" s="12"/>
      <c r="D120" s="7">
        <v>67061.47</v>
      </c>
      <c r="E120" s="3"/>
      <c r="F120" s="8">
        <f t="shared" si="20"/>
        <v>0.15393982273940215</v>
      </c>
      <c r="G120" s="3"/>
      <c r="H120" s="7">
        <v>54219.325493076991</v>
      </c>
      <c r="I120" s="3"/>
      <c r="J120" s="8">
        <f t="shared" si="21"/>
        <v>8.5345116037552612E-2</v>
      </c>
      <c r="K120" s="3"/>
      <c r="L120" s="7">
        <f t="shared" si="22"/>
        <v>12842.14450692301</v>
      </c>
      <c r="M120" s="3"/>
      <c r="N120" s="8">
        <f t="shared" si="23"/>
        <v>0.23685548261869771</v>
      </c>
      <c r="O120" s="12"/>
      <c r="P120" s="7">
        <v>67061.47</v>
      </c>
      <c r="Q120" s="3"/>
      <c r="R120" s="8">
        <f t="shared" si="24"/>
        <v>0.15393982273940215</v>
      </c>
      <c r="S120" s="3"/>
      <c r="T120" s="7">
        <v>54219.325493076991</v>
      </c>
      <c r="U120" s="3"/>
      <c r="V120" s="8">
        <f t="shared" si="25"/>
        <v>8.5345116037552612E-2</v>
      </c>
      <c r="W120" s="3"/>
      <c r="X120" s="7">
        <f t="shared" si="26"/>
        <v>12842.14450692301</v>
      </c>
      <c r="Y120" s="3"/>
      <c r="Z120" s="8">
        <f t="shared" si="27"/>
        <v>0.23685548261869771</v>
      </c>
    </row>
    <row r="121" spans="1:26" s="24" customFormat="1" hidden="1" outlineLevel="2" x14ac:dyDescent="0.25">
      <c r="A121" s="27"/>
      <c r="B121" s="12" t="str">
        <f>CONCATENATE("          ", "6003", " - ", "STAFF HOURLY-9 MONTH")</f>
        <v xml:space="preserve">          6003 - STAFF HOURLY-9 MONTH</v>
      </c>
      <c r="C121" s="12"/>
      <c r="D121" s="7"/>
      <c r="E121" s="3"/>
      <c r="F121" s="8">
        <f t="shared" si="20"/>
        <v>0</v>
      </c>
      <c r="G121" s="3"/>
      <c r="H121" s="7">
        <v>0</v>
      </c>
      <c r="I121" s="3"/>
      <c r="J121" s="8">
        <f t="shared" si="21"/>
        <v>0</v>
      </c>
      <c r="K121" s="3"/>
      <c r="L121" s="7">
        <f t="shared" si="22"/>
        <v>0</v>
      </c>
      <c r="M121" s="3"/>
      <c r="N121" s="8">
        <f t="shared" si="23"/>
        <v>0</v>
      </c>
      <c r="O121" s="12"/>
      <c r="P121" s="7"/>
      <c r="Q121" s="3"/>
      <c r="R121" s="8">
        <f t="shared" si="24"/>
        <v>0</v>
      </c>
      <c r="S121" s="3"/>
      <c r="T121" s="7">
        <v>0</v>
      </c>
      <c r="U121" s="3"/>
      <c r="V121" s="8">
        <f t="shared" si="25"/>
        <v>0</v>
      </c>
      <c r="W121" s="3"/>
      <c r="X121" s="7">
        <f t="shared" si="26"/>
        <v>0</v>
      </c>
      <c r="Y121" s="3"/>
      <c r="Z121" s="8">
        <f t="shared" si="27"/>
        <v>0</v>
      </c>
    </row>
    <row r="122" spans="1:26" s="24" customFormat="1" hidden="1" outlineLevel="2" x14ac:dyDescent="0.25">
      <c r="A122" s="27"/>
      <c r="B122" s="12" t="str">
        <f>CONCATENATE("          ", "6004", " - ", "STAFF HOURLY")</f>
        <v xml:space="preserve">          6004 - STAFF HOURLY</v>
      </c>
      <c r="C122" s="12"/>
      <c r="D122" s="7">
        <v>18737.27</v>
      </c>
      <c r="E122" s="3"/>
      <c r="F122" s="8">
        <f t="shared" si="20"/>
        <v>4.3011464294181408E-2</v>
      </c>
      <c r="G122" s="3"/>
      <c r="H122" s="7">
        <v>33888.587599999999</v>
      </c>
      <c r="I122" s="3"/>
      <c r="J122" s="8">
        <f t="shared" si="21"/>
        <v>5.3343073060546677E-2</v>
      </c>
      <c r="K122" s="3"/>
      <c r="L122" s="7">
        <f t="shared" si="22"/>
        <v>-15151.317599999998</v>
      </c>
      <c r="M122" s="3"/>
      <c r="N122" s="8">
        <f t="shared" si="23"/>
        <v>-0.44709203519594304</v>
      </c>
      <c r="O122" s="12"/>
      <c r="P122" s="7">
        <v>18737.27</v>
      </c>
      <c r="Q122" s="3"/>
      <c r="R122" s="8">
        <f t="shared" si="24"/>
        <v>4.3011464294181408E-2</v>
      </c>
      <c r="S122" s="3"/>
      <c r="T122" s="7">
        <v>33888.587599999999</v>
      </c>
      <c r="U122" s="3"/>
      <c r="V122" s="8">
        <f t="shared" si="25"/>
        <v>5.3343073060546677E-2</v>
      </c>
      <c r="W122" s="3"/>
      <c r="X122" s="7">
        <f t="shared" si="26"/>
        <v>-15151.317599999998</v>
      </c>
      <c r="Y122" s="3"/>
      <c r="Z122" s="8">
        <f t="shared" si="27"/>
        <v>-0.44709203519594304</v>
      </c>
    </row>
    <row r="123" spans="1:26" s="24" customFormat="1" hidden="1" outlineLevel="2" x14ac:dyDescent="0.25">
      <c r="A123" s="27"/>
      <c r="B123" s="12" t="str">
        <f>CONCATENATE("          ", "6005", " - ", "TEMPORARY WAGES-HOURLY")</f>
        <v xml:space="preserve">          6005 - TEMPORARY WAGES-HOURLY</v>
      </c>
      <c r="C123" s="12"/>
      <c r="D123" s="7">
        <v>12385.55</v>
      </c>
      <c r="E123" s="3"/>
      <c r="F123" s="8">
        <f t="shared" si="20"/>
        <v>2.8431070352767426E-2</v>
      </c>
      <c r="G123" s="3"/>
      <c r="H123" s="7">
        <v>3676.5</v>
      </c>
      <c r="I123" s="3"/>
      <c r="J123" s="8">
        <f t="shared" si="21"/>
        <v>5.7870752957287558E-3</v>
      </c>
      <c r="K123" s="3"/>
      <c r="L123" s="7">
        <f t="shared" si="22"/>
        <v>8709.0499999999993</v>
      </c>
      <c r="M123" s="3"/>
      <c r="N123" s="8">
        <f t="shared" si="23"/>
        <v>2.3688426492588057</v>
      </c>
      <c r="O123" s="12"/>
      <c r="P123" s="7">
        <v>12385.55</v>
      </c>
      <c r="Q123" s="3"/>
      <c r="R123" s="8">
        <f t="shared" si="24"/>
        <v>2.8431070352767426E-2</v>
      </c>
      <c r="S123" s="3"/>
      <c r="T123" s="7">
        <v>3676.5</v>
      </c>
      <c r="U123" s="3"/>
      <c r="V123" s="8">
        <f t="shared" si="25"/>
        <v>5.7870752957287558E-3</v>
      </c>
      <c r="W123" s="3"/>
      <c r="X123" s="7">
        <f t="shared" si="26"/>
        <v>8709.0499999999993</v>
      </c>
      <c r="Y123" s="3"/>
      <c r="Z123" s="8">
        <f t="shared" si="27"/>
        <v>2.3688426492588057</v>
      </c>
    </row>
    <row r="124" spans="1:26" s="24" customFormat="1" hidden="1" outlineLevel="2" x14ac:dyDescent="0.25">
      <c r="A124" s="27"/>
      <c r="B124" s="12" t="str">
        <f>CONCATENATE("          ", "6006", " - ", "TEMPORARY PART TIME")</f>
        <v xml:space="preserve">          6006 - TEMPORARY PART TIME</v>
      </c>
      <c r="C124" s="12"/>
      <c r="D124" s="7">
        <v>2048.21</v>
      </c>
      <c r="E124" s="3"/>
      <c r="F124" s="8">
        <f t="shared" si="20"/>
        <v>4.7016727240406578E-3</v>
      </c>
      <c r="G124" s="3"/>
      <c r="H124" s="7">
        <v>0</v>
      </c>
      <c r="I124" s="3"/>
      <c r="J124" s="8">
        <f t="shared" si="21"/>
        <v>0</v>
      </c>
      <c r="K124" s="3"/>
      <c r="L124" s="7">
        <f t="shared" si="22"/>
        <v>2048.21</v>
      </c>
      <c r="M124" s="3"/>
      <c r="N124" s="8">
        <f t="shared" si="23"/>
        <v>0</v>
      </c>
      <c r="O124" s="12"/>
      <c r="P124" s="7">
        <v>2048.21</v>
      </c>
      <c r="Q124" s="3"/>
      <c r="R124" s="8">
        <f t="shared" si="24"/>
        <v>4.7016727240406578E-3</v>
      </c>
      <c r="S124" s="3"/>
      <c r="T124" s="7">
        <v>0</v>
      </c>
      <c r="U124" s="3"/>
      <c r="V124" s="8">
        <f t="shared" si="25"/>
        <v>0</v>
      </c>
      <c r="W124" s="3"/>
      <c r="X124" s="7">
        <f t="shared" si="26"/>
        <v>2048.21</v>
      </c>
      <c r="Y124" s="3"/>
      <c r="Z124" s="8">
        <f t="shared" si="27"/>
        <v>0</v>
      </c>
    </row>
    <row r="125" spans="1:26" s="24" customFormat="1" hidden="1" outlineLevel="2" x14ac:dyDescent="0.25">
      <c r="A125" s="27"/>
      <c r="B125" s="12" t="str">
        <f>CONCATENATE("          ", "6007", " - ", "STUDENT HOURLY")</f>
        <v xml:space="preserve">          6007 - STUDENT HOURLY</v>
      </c>
      <c r="C125" s="12"/>
      <c r="D125" s="7">
        <v>22137.030000000002</v>
      </c>
      <c r="E125" s="3"/>
      <c r="F125" s="8">
        <f t="shared" si="20"/>
        <v>5.0815624443914333E-2</v>
      </c>
      <c r="G125" s="3"/>
      <c r="H125" s="7">
        <v>65429.66</v>
      </c>
      <c r="I125" s="3"/>
      <c r="J125" s="8">
        <f t="shared" si="21"/>
        <v>0.10299098843844198</v>
      </c>
      <c r="K125" s="3"/>
      <c r="L125" s="7">
        <f t="shared" si="22"/>
        <v>-43292.630000000005</v>
      </c>
      <c r="M125" s="3"/>
      <c r="N125" s="8">
        <f t="shared" si="23"/>
        <v>-0.66166674257515634</v>
      </c>
      <c r="O125" s="12"/>
      <c r="P125" s="7">
        <v>22137.030000000002</v>
      </c>
      <c r="Q125" s="3"/>
      <c r="R125" s="8">
        <f t="shared" si="24"/>
        <v>5.0815624443914333E-2</v>
      </c>
      <c r="S125" s="3"/>
      <c r="T125" s="7">
        <v>65429.66</v>
      </c>
      <c r="U125" s="3"/>
      <c r="V125" s="8">
        <f t="shared" si="25"/>
        <v>0.10299098843844198</v>
      </c>
      <c r="W125" s="3"/>
      <c r="X125" s="7">
        <f t="shared" si="26"/>
        <v>-43292.630000000005</v>
      </c>
      <c r="Y125" s="3"/>
      <c r="Z125" s="8">
        <f t="shared" si="27"/>
        <v>-0.66166674257515634</v>
      </c>
    </row>
    <row r="126" spans="1:26" s="24" customFormat="1" hidden="1" outlineLevel="2" x14ac:dyDescent="0.25">
      <c r="A126" s="27"/>
      <c r="B126" s="12" t="str">
        <f>CONCATENATE("          ", "6008", " - ", "STUDENT HOURLY-FICA EXEMPT")</f>
        <v xml:space="preserve">          6008 - STUDENT HOURLY-FICA EXEMPT</v>
      </c>
      <c r="C126" s="12"/>
      <c r="D126" s="7"/>
      <c r="E126" s="3"/>
      <c r="F126" s="8">
        <f t="shared" si="20"/>
        <v>0</v>
      </c>
      <c r="G126" s="3"/>
      <c r="H126" s="7">
        <v>5018.75</v>
      </c>
      <c r="I126" s="3"/>
      <c r="J126" s="8">
        <f t="shared" si="21"/>
        <v>7.8998732872130276E-3</v>
      </c>
      <c r="K126" s="3"/>
      <c r="L126" s="7">
        <f t="shared" si="22"/>
        <v>-5018.75</v>
      </c>
      <c r="M126" s="3"/>
      <c r="N126" s="8">
        <f t="shared" si="23"/>
        <v>-1</v>
      </c>
      <c r="O126" s="12"/>
      <c r="P126" s="7"/>
      <c r="Q126" s="3"/>
      <c r="R126" s="8">
        <f t="shared" si="24"/>
        <v>0</v>
      </c>
      <c r="S126" s="3"/>
      <c r="T126" s="7">
        <v>5018.75</v>
      </c>
      <c r="U126" s="3"/>
      <c r="V126" s="8">
        <f t="shared" si="25"/>
        <v>7.8998732872130276E-3</v>
      </c>
      <c r="W126" s="3"/>
      <c r="X126" s="7">
        <f t="shared" si="26"/>
        <v>-5018.75</v>
      </c>
      <c r="Y126" s="3"/>
      <c r="Z126" s="8">
        <f t="shared" si="27"/>
        <v>-1</v>
      </c>
    </row>
    <row r="127" spans="1:26" s="24" customFormat="1" hidden="1" outlineLevel="2" x14ac:dyDescent="0.25">
      <c r="A127" s="27"/>
      <c r="B127" s="12" t="str">
        <f>CONCATENATE("          ", "6009", " - ", "TEMPORARY-SEASONAL")</f>
        <v xml:space="preserve">          6009 - TEMPORARY-SEASONAL</v>
      </c>
      <c r="C127" s="12"/>
      <c r="D127" s="7"/>
      <c r="E127" s="3"/>
      <c r="F127" s="8">
        <f t="shared" si="20"/>
        <v>0</v>
      </c>
      <c r="G127" s="3"/>
      <c r="H127" s="7">
        <v>0</v>
      </c>
      <c r="I127" s="3"/>
      <c r="J127" s="8">
        <f t="shared" si="21"/>
        <v>0</v>
      </c>
      <c r="K127" s="3"/>
      <c r="L127" s="7">
        <f t="shared" si="22"/>
        <v>0</v>
      </c>
      <c r="M127" s="3"/>
      <c r="N127" s="8">
        <f t="shared" si="23"/>
        <v>0</v>
      </c>
      <c r="O127" s="12"/>
      <c r="P127" s="7"/>
      <c r="Q127" s="3"/>
      <c r="R127" s="8">
        <f t="shared" si="24"/>
        <v>0</v>
      </c>
      <c r="S127" s="3"/>
      <c r="T127" s="7">
        <v>0</v>
      </c>
      <c r="U127" s="3"/>
      <c r="V127" s="8">
        <f t="shared" si="25"/>
        <v>0</v>
      </c>
      <c r="W127" s="3"/>
      <c r="X127" s="7">
        <f t="shared" si="26"/>
        <v>0</v>
      </c>
      <c r="Y127" s="3"/>
      <c r="Z127" s="8">
        <f t="shared" si="27"/>
        <v>0</v>
      </c>
    </row>
    <row r="128" spans="1:26" s="24" customFormat="1" hidden="1" outlineLevel="2" x14ac:dyDescent="0.25">
      <c r="A128" s="27"/>
      <c r="B128" s="12" t="str">
        <f>CONCATENATE("          ", "6010", " - ", "GRATUITY")</f>
        <v xml:space="preserve">          6010 - GRATUITY</v>
      </c>
      <c r="C128" s="12"/>
      <c r="D128" s="7"/>
      <c r="E128" s="3"/>
      <c r="F128" s="8">
        <f t="shared" si="20"/>
        <v>0</v>
      </c>
      <c r="G128" s="3"/>
      <c r="H128" s="7">
        <v>0</v>
      </c>
      <c r="I128" s="3"/>
      <c r="J128" s="8">
        <f t="shared" si="21"/>
        <v>0</v>
      </c>
      <c r="K128" s="3"/>
      <c r="L128" s="7">
        <f t="shared" si="22"/>
        <v>0</v>
      </c>
      <c r="M128" s="3"/>
      <c r="N128" s="8">
        <f t="shared" si="23"/>
        <v>0</v>
      </c>
      <c r="O128" s="12"/>
      <c r="P128" s="7"/>
      <c r="Q128" s="3"/>
      <c r="R128" s="8">
        <f t="shared" si="24"/>
        <v>0</v>
      </c>
      <c r="S128" s="3"/>
      <c r="T128" s="7">
        <v>0</v>
      </c>
      <c r="U128" s="3"/>
      <c r="V128" s="8">
        <f t="shared" si="25"/>
        <v>0</v>
      </c>
      <c r="W128" s="3"/>
      <c r="X128" s="7">
        <f t="shared" si="26"/>
        <v>0</v>
      </c>
      <c r="Y128" s="3"/>
      <c r="Z128" s="8">
        <f t="shared" si="27"/>
        <v>0</v>
      </c>
    </row>
    <row r="129" spans="1:26" s="29" customFormat="1" outlineLevel="1" collapsed="1" x14ac:dyDescent="0.25">
      <c r="A129" s="28"/>
      <c r="B129" s="14" t="str">
        <f>CONCATENATE("     ","Advertising/Promo                                 ")</f>
        <v xml:space="preserve">     Advertising/Promo                                 </v>
      </c>
      <c r="C129" s="14"/>
      <c r="D129" s="1">
        <f>SUM(OSRRefD22_2x_0)</f>
        <v>2740.48</v>
      </c>
      <c r="E129" s="1"/>
      <c r="F129" s="5">
        <f t="shared" ref="F129:F133" si="28">IF(D$12=0,0,D129/D$12)</f>
        <v>6.2907807630950647E-3</v>
      </c>
      <c r="G129" s="1"/>
      <c r="H129" s="1">
        <f>SUM(OSRRefH22_2x_0)</f>
        <v>980</v>
      </c>
      <c r="I129" s="1"/>
      <c r="J129" s="5">
        <f t="shared" ref="J129:J133" si="29">IF(H$12=0,0,H129/H$12)</f>
        <v>1.5425904501058564E-3</v>
      </c>
      <c r="K129" s="1"/>
      <c r="L129" s="1">
        <f t="shared" ref="L129:L133" si="30">+D129-H129</f>
        <v>1760.48</v>
      </c>
      <c r="M129" s="1"/>
      <c r="N129" s="5">
        <f t="shared" ref="N129:N133" si="31">IF(H129=0,0,L129/H129)</f>
        <v>1.7964081632653062</v>
      </c>
      <c r="O129" s="14"/>
      <c r="P129" s="1">
        <f>SUM(OSRRefP22_2x_0)</f>
        <v>2740.48</v>
      </c>
      <c r="Q129" s="1"/>
      <c r="R129" s="5">
        <f t="shared" ref="R129:R133" si="32">IF(P$12=0,0,P129/P$12)</f>
        <v>6.2907807630950647E-3</v>
      </c>
      <c r="S129" s="1"/>
      <c r="T129" s="1">
        <f>SUM(OSRRefT22_2x_0)</f>
        <v>980</v>
      </c>
      <c r="U129" s="1"/>
      <c r="V129" s="5">
        <f t="shared" ref="V129:V133" si="33">IF(T$12=0,0,T129/T$12)</f>
        <v>1.5425904501058564E-3</v>
      </c>
      <c r="W129" s="1"/>
      <c r="X129" s="1">
        <f t="shared" ref="X129:X133" si="34">+P129-T129</f>
        <v>1760.48</v>
      </c>
      <c r="Y129" s="1"/>
      <c r="Z129" s="5">
        <f t="shared" ref="Z129:Z133" si="35">IF(T129=0,0,X129/T129)</f>
        <v>1.7964081632653062</v>
      </c>
    </row>
    <row r="130" spans="1:26" s="24" customFormat="1" hidden="1" outlineLevel="2" x14ac:dyDescent="0.25">
      <c r="A130" s="27"/>
      <c r="B130" s="12" t="str">
        <f>CONCATENATE("          ", "6362", " - ", "ADVERTISING EXPENSE")</f>
        <v xml:space="preserve">          6362 - ADVERTISING EXPENSE</v>
      </c>
      <c r="C130" s="12"/>
      <c r="D130" s="7">
        <v>2740.48</v>
      </c>
      <c r="E130" s="3"/>
      <c r="F130" s="8">
        <f t="shared" si="28"/>
        <v>6.2907807630950647E-3</v>
      </c>
      <c r="G130" s="3"/>
      <c r="H130" s="7">
        <v>980</v>
      </c>
      <c r="I130" s="3"/>
      <c r="J130" s="8">
        <f t="shared" si="29"/>
        <v>1.5425904501058564E-3</v>
      </c>
      <c r="K130" s="3"/>
      <c r="L130" s="7">
        <f t="shared" si="30"/>
        <v>1760.48</v>
      </c>
      <c r="M130" s="3"/>
      <c r="N130" s="8">
        <f t="shared" si="31"/>
        <v>1.7964081632653062</v>
      </c>
      <c r="O130" s="12"/>
      <c r="P130" s="7">
        <v>2740.48</v>
      </c>
      <c r="Q130" s="3"/>
      <c r="R130" s="8">
        <f t="shared" si="32"/>
        <v>6.2907807630950647E-3</v>
      </c>
      <c r="S130" s="3"/>
      <c r="T130" s="7">
        <v>980</v>
      </c>
      <c r="U130" s="3"/>
      <c r="V130" s="8">
        <f t="shared" si="33"/>
        <v>1.5425904501058564E-3</v>
      </c>
      <c r="W130" s="3"/>
      <c r="X130" s="7">
        <f t="shared" si="34"/>
        <v>1760.48</v>
      </c>
      <c r="Y130" s="3"/>
      <c r="Z130" s="8">
        <f t="shared" si="35"/>
        <v>1.7964081632653062</v>
      </c>
    </row>
    <row r="131" spans="1:26" s="29" customFormat="1" outlineLevel="1" collapsed="1" x14ac:dyDescent="0.25">
      <c r="A131" s="28"/>
      <c r="B131" s="14" t="str">
        <f>CONCATENATE("     ","Bad Debts/Over/Short                              ")</f>
        <v xml:space="preserve">     Bad Debts/Over/Short                              </v>
      </c>
      <c r="C131" s="14"/>
      <c r="D131" s="1">
        <f>SUM(OSRRefD22_3x_0)</f>
        <v>4.9800000000000004</v>
      </c>
      <c r="E131" s="1"/>
      <c r="F131" s="5">
        <f t="shared" si="28"/>
        <v>1.1431606215047519E-5</v>
      </c>
      <c r="G131" s="1"/>
      <c r="H131" s="1">
        <f>SUM(OSRRefH22_3x_0)</f>
        <v>110</v>
      </c>
      <c r="I131" s="1"/>
      <c r="J131" s="5">
        <f t="shared" si="29"/>
        <v>1.7314790766494306E-4</v>
      </c>
      <c r="K131" s="1"/>
      <c r="L131" s="1">
        <f t="shared" si="30"/>
        <v>-105.02</v>
      </c>
      <c r="M131" s="1"/>
      <c r="N131" s="5">
        <f t="shared" si="31"/>
        <v>-0.95472727272727265</v>
      </c>
      <c r="O131" s="14"/>
      <c r="P131" s="1">
        <f>SUM(OSRRefP22_3x_0)</f>
        <v>4.9800000000000004</v>
      </c>
      <c r="Q131" s="1"/>
      <c r="R131" s="5">
        <f t="shared" si="32"/>
        <v>1.1431606215047519E-5</v>
      </c>
      <c r="S131" s="1"/>
      <c r="T131" s="1">
        <f>SUM(OSRRefT22_3x_0)</f>
        <v>110</v>
      </c>
      <c r="U131" s="1"/>
      <c r="V131" s="5">
        <f t="shared" si="33"/>
        <v>1.7314790766494306E-4</v>
      </c>
      <c r="W131" s="1"/>
      <c r="X131" s="1">
        <f t="shared" si="34"/>
        <v>-105.02</v>
      </c>
      <c r="Y131" s="1"/>
      <c r="Z131" s="5">
        <f t="shared" si="35"/>
        <v>-0.95472727272727265</v>
      </c>
    </row>
    <row r="132" spans="1:26" s="24" customFormat="1" hidden="1" outlineLevel="2" x14ac:dyDescent="0.25">
      <c r="A132" s="27"/>
      <c r="B132" s="12" t="str">
        <f>CONCATENATE("          ", "6272", " - ", "CASH (OVER/SHORT)")</f>
        <v xml:space="preserve">          6272 - CASH (OVER/SHORT)</v>
      </c>
      <c r="C132" s="12"/>
      <c r="D132" s="7">
        <v>4.9800000000000004</v>
      </c>
      <c r="E132" s="3"/>
      <c r="F132" s="8">
        <f t="shared" si="28"/>
        <v>1.1431606215047519E-5</v>
      </c>
      <c r="G132" s="3"/>
      <c r="H132" s="7">
        <v>60</v>
      </c>
      <c r="I132" s="3"/>
      <c r="J132" s="8">
        <f t="shared" si="29"/>
        <v>9.4444313271787125E-5</v>
      </c>
      <c r="K132" s="3"/>
      <c r="L132" s="7">
        <f t="shared" si="30"/>
        <v>-55.019999999999996</v>
      </c>
      <c r="M132" s="3"/>
      <c r="N132" s="8">
        <f t="shared" si="31"/>
        <v>-0.91699999999999993</v>
      </c>
      <c r="O132" s="12"/>
      <c r="P132" s="7">
        <v>4.9800000000000004</v>
      </c>
      <c r="Q132" s="3"/>
      <c r="R132" s="8">
        <f t="shared" si="32"/>
        <v>1.1431606215047519E-5</v>
      </c>
      <c r="S132" s="3"/>
      <c r="T132" s="7">
        <v>60</v>
      </c>
      <c r="U132" s="3"/>
      <c r="V132" s="8">
        <f t="shared" si="33"/>
        <v>9.4444313271787125E-5</v>
      </c>
      <c r="W132" s="3"/>
      <c r="X132" s="7">
        <f t="shared" si="34"/>
        <v>-55.019999999999996</v>
      </c>
      <c r="Y132" s="3"/>
      <c r="Z132" s="8">
        <f t="shared" si="35"/>
        <v>-0.91699999999999993</v>
      </c>
    </row>
    <row r="133" spans="1:26" s="24" customFormat="1" hidden="1" outlineLevel="2" x14ac:dyDescent="0.25">
      <c r="A133" s="27"/>
      <c r="B133" s="12" t="str">
        <f>CONCATENATE("          ", "6342", " - ", "BAD DEBT")</f>
        <v xml:space="preserve">          6342 - BAD DEBT</v>
      </c>
      <c r="C133" s="12"/>
      <c r="D133" s="7"/>
      <c r="E133" s="3"/>
      <c r="F133" s="8">
        <f t="shared" si="28"/>
        <v>0</v>
      </c>
      <c r="G133" s="3"/>
      <c r="H133" s="7">
        <v>50</v>
      </c>
      <c r="I133" s="3"/>
      <c r="J133" s="8">
        <f t="shared" si="29"/>
        <v>7.8703594393155933E-5</v>
      </c>
      <c r="K133" s="3"/>
      <c r="L133" s="7">
        <f t="shared" si="30"/>
        <v>-50</v>
      </c>
      <c r="M133" s="3"/>
      <c r="N133" s="8">
        <f t="shared" si="31"/>
        <v>-1</v>
      </c>
      <c r="O133" s="12"/>
      <c r="P133" s="7"/>
      <c r="Q133" s="3"/>
      <c r="R133" s="8">
        <f t="shared" si="32"/>
        <v>0</v>
      </c>
      <c r="S133" s="3"/>
      <c r="T133" s="7">
        <v>50</v>
      </c>
      <c r="U133" s="3"/>
      <c r="V133" s="8">
        <f t="shared" si="33"/>
        <v>7.8703594393155933E-5</v>
      </c>
      <c r="W133" s="3"/>
      <c r="X133" s="7">
        <f t="shared" si="34"/>
        <v>-50</v>
      </c>
      <c r="Y133" s="3"/>
      <c r="Z133" s="8">
        <f t="shared" si="35"/>
        <v>-1</v>
      </c>
    </row>
    <row r="134" spans="1:26" s="29" customFormat="1" outlineLevel="1" collapsed="1" x14ac:dyDescent="0.25">
      <c r="A134" s="28"/>
      <c r="B134" s="14" t="str">
        <f>CONCATENATE("     ","Bank/card Fees                                    ")</f>
        <v xml:space="preserve">     Bank/card Fees                                    </v>
      </c>
      <c r="C134" s="14"/>
      <c r="D134" s="1">
        <f>SUM(OSRRefD22_4x_0)</f>
        <v>3117.21</v>
      </c>
      <c r="E134" s="1"/>
      <c r="F134" s="5">
        <f t="shared" ref="F134:F138" si="36">IF(D$12=0,0,D134/D$12)</f>
        <v>7.1555657047406174E-3</v>
      </c>
      <c r="G134" s="1"/>
      <c r="H134" s="1">
        <f>SUM(OSRRefH22_4x_0)</f>
        <v>4600</v>
      </c>
      <c r="I134" s="1"/>
      <c r="J134" s="5">
        <f t="shared" ref="J134:J138" si="37">IF(H$12=0,0,H134/H$12)</f>
        <v>7.2407306841703462E-3</v>
      </c>
      <c r="K134" s="1"/>
      <c r="L134" s="1">
        <f t="shared" ref="L134:L138" si="38">+D134-H134</f>
        <v>-1482.79</v>
      </c>
      <c r="M134" s="1"/>
      <c r="N134" s="5">
        <f t="shared" ref="N134:N138" si="39">IF(H134=0,0,L134/H134)</f>
        <v>-0.32234565217391303</v>
      </c>
      <c r="O134" s="14"/>
      <c r="P134" s="1">
        <f>SUM(OSRRefP22_4x_0)</f>
        <v>3117.21</v>
      </c>
      <c r="Q134" s="1"/>
      <c r="R134" s="5">
        <f t="shared" ref="R134:R138" si="40">IF(P$12=0,0,P134/P$12)</f>
        <v>7.1555657047406174E-3</v>
      </c>
      <c r="S134" s="1"/>
      <c r="T134" s="1">
        <f>SUM(OSRRefT22_4x_0)</f>
        <v>4600</v>
      </c>
      <c r="U134" s="1"/>
      <c r="V134" s="5">
        <f t="shared" ref="V134:V138" si="41">IF(T$12=0,0,T134/T$12)</f>
        <v>7.2407306841703462E-3</v>
      </c>
      <c r="W134" s="1"/>
      <c r="X134" s="1">
        <f t="shared" ref="X134:X138" si="42">+P134-T134</f>
        <v>-1482.79</v>
      </c>
      <c r="Y134" s="1"/>
      <c r="Z134" s="5">
        <f t="shared" ref="Z134:Z138" si="43">IF(T134=0,0,X134/T134)</f>
        <v>-0.32234565217391303</v>
      </c>
    </row>
    <row r="135" spans="1:26" s="24" customFormat="1" hidden="1" outlineLevel="2" x14ac:dyDescent="0.25">
      <c r="A135" s="27"/>
      <c r="B135" s="12" t="str">
        <f>CONCATENATE("          ", "6381", " - ", "BANK/CREDIT CARD FEES")</f>
        <v xml:space="preserve">          6381 - BANK/CREDIT CARD FEES</v>
      </c>
      <c r="C135" s="12"/>
      <c r="D135" s="7">
        <v>3117.21</v>
      </c>
      <c r="E135" s="3"/>
      <c r="F135" s="8">
        <f t="shared" si="36"/>
        <v>7.1555657047406174E-3</v>
      </c>
      <c r="G135" s="3"/>
      <c r="H135" s="7">
        <v>4600</v>
      </c>
      <c r="I135" s="3"/>
      <c r="J135" s="8">
        <f t="shared" si="37"/>
        <v>7.2407306841703462E-3</v>
      </c>
      <c r="K135" s="3"/>
      <c r="L135" s="7">
        <f t="shared" si="38"/>
        <v>-1482.79</v>
      </c>
      <c r="M135" s="3"/>
      <c r="N135" s="8">
        <f t="shared" si="39"/>
        <v>-0.32234565217391303</v>
      </c>
      <c r="O135" s="12"/>
      <c r="P135" s="7">
        <v>3117.21</v>
      </c>
      <c r="Q135" s="3"/>
      <c r="R135" s="8">
        <f t="shared" si="40"/>
        <v>7.1555657047406174E-3</v>
      </c>
      <c r="S135" s="3"/>
      <c r="T135" s="7">
        <v>4600</v>
      </c>
      <c r="U135" s="3"/>
      <c r="V135" s="8">
        <f t="shared" si="41"/>
        <v>7.2407306841703462E-3</v>
      </c>
      <c r="W135" s="3"/>
      <c r="X135" s="7">
        <f t="shared" si="42"/>
        <v>-1482.79</v>
      </c>
      <c r="Y135" s="3"/>
      <c r="Z135" s="8">
        <f t="shared" si="43"/>
        <v>-0.32234565217391303</v>
      </c>
    </row>
    <row r="136" spans="1:26" s="29" customFormat="1" outlineLevel="1" collapsed="1" x14ac:dyDescent="0.25">
      <c r="A136" s="28"/>
      <c r="B136" s="14" t="str">
        <f>CONCATENATE("     ","Depreciation                                      ")</f>
        <v xml:space="preserve">     Depreciation                                      </v>
      </c>
      <c r="C136" s="14"/>
      <c r="D136" s="1">
        <f>SUM(OSRRefD22_5x_0)</f>
        <v>30627.300000000003</v>
      </c>
      <c r="E136" s="1"/>
      <c r="F136" s="5">
        <f t="shared" si="36"/>
        <v>7.0305066873519048E-2</v>
      </c>
      <c r="G136" s="1"/>
      <c r="H136" s="1">
        <f>SUM(OSRRefH22_5x_0)</f>
        <v>30930</v>
      </c>
      <c r="I136" s="1"/>
      <c r="J136" s="5">
        <f t="shared" si="37"/>
        <v>4.8686043491606261E-2</v>
      </c>
      <c r="K136" s="1"/>
      <c r="L136" s="1">
        <f t="shared" si="38"/>
        <v>-302.69999999999709</v>
      </c>
      <c r="M136" s="1"/>
      <c r="N136" s="5">
        <f t="shared" si="39"/>
        <v>-9.7866149369543187E-3</v>
      </c>
      <c r="O136" s="14"/>
      <c r="P136" s="1">
        <f>SUM(OSRRefP22_5x_0)</f>
        <v>30627.300000000003</v>
      </c>
      <c r="Q136" s="1"/>
      <c r="R136" s="5">
        <f t="shared" si="40"/>
        <v>7.0305066873519048E-2</v>
      </c>
      <c r="S136" s="1"/>
      <c r="T136" s="1">
        <f>SUM(OSRRefT22_5x_0)</f>
        <v>30930</v>
      </c>
      <c r="U136" s="1"/>
      <c r="V136" s="5">
        <f t="shared" si="41"/>
        <v>4.8686043491606261E-2</v>
      </c>
      <c r="W136" s="1"/>
      <c r="X136" s="1">
        <f t="shared" si="42"/>
        <v>-302.69999999999709</v>
      </c>
      <c r="Y136" s="1"/>
      <c r="Z136" s="5">
        <f t="shared" si="43"/>
        <v>-9.7866149369543187E-3</v>
      </c>
    </row>
    <row r="137" spans="1:26" s="24" customFormat="1" hidden="1" outlineLevel="2" x14ac:dyDescent="0.25">
      <c r="A137" s="27"/>
      <c r="B137" s="12" t="str">
        <f>CONCATENATE("          ", "6321", " - ", "BUILDING DEPRECIATION")</f>
        <v xml:space="preserve">          6321 - BUILDING DEPRECIATION</v>
      </c>
      <c r="C137" s="12"/>
      <c r="D137" s="7">
        <v>16396.52</v>
      </c>
      <c r="E137" s="3"/>
      <c r="F137" s="8">
        <f t="shared" si="36"/>
        <v>3.7638265047620668E-2</v>
      </c>
      <c r="G137" s="3"/>
      <c r="H137" s="7"/>
      <c r="I137" s="3"/>
      <c r="J137" s="8">
        <f t="shared" si="37"/>
        <v>0</v>
      </c>
      <c r="K137" s="3"/>
      <c r="L137" s="7">
        <f t="shared" si="38"/>
        <v>16396.52</v>
      </c>
      <c r="M137" s="3"/>
      <c r="N137" s="8">
        <f t="shared" si="39"/>
        <v>0</v>
      </c>
      <c r="O137" s="12"/>
      <c r="P137" s="7">
        <v>16396.52</v>
      </c>
      <c r="Q137" s="3"/>
      <c r="R137" s="8">
        <f t="shared" si="40"/>
        <v>3.7638265047620668E-2</v>
      </c>
      <c r="S137" s="3"/>
      <c r="T137" s="7"/>
      <c r="U137" s="3"/>
      <c r="V137" s="8">
        <f t="shared" si="41"/>
        <v>0</v>
      </c>
      <c r="W137" s="3"/>
      <c r="X137" s="7">
        <f t="shared" si="42"/>
        <v>16396.52</v>
      </c>
      <c r="Y137" s="3"/>
      <c r="Z137" s="8">
        <f t="shared" si="43"/>
        <v>0</v>
      </c>
    </row>
    <row r="138" spans="1:26" s="24" customFormat="1" hidden="1" outlineLevel="2" x14ac:dyDescent="0.25">
      <c r="A138" s="27"/>
      <c r="B138" s="12" t="str">
        <f>CONCATENATE("          ", "6322", " - ", "EQUIPMENT DEPRECIATION EXPENSE")</f>
        <v xml:space="preserve">          6322 - EQUIPMENT DEPRECIATION EXPENSE</v>
      </c>
      <c r="C138" s="12"/>
      <c r="D138" s="7">
        <v>14230.78</v>
      </c>
      <c r="E138" s="3"/>
      <c r="F138" s="8">
        <f t="shared" si="36"/>
        <v>3.266680182589838E-2</v>
      </c>
      <c r="G138" s="3"/>
      <c r="H138" s="7">
        <v>30930</v>
      </c>
      <c r="I138" s="3"/>
      <c r="J138" s="8">
        <f t="shared" si="37"/>
        <v>4.8686043491606261E-2</v>
      </c>
      <c r="K138" s="3"/>
      <c r="L138" s="7">
        <f t="shared" si="38"/>
        <v>-16699.22</v>
      </c>
      <c r="M138" s="3"/>
      <c r="N138" s="8">
        <f t="shared" si="39"/>
        <v>-0.53990365341092794</v>
      </c>
      <c r="O138" s="12"/>
      <c r="P138" s="7">
        <v>14230.78</v>
      </c>
      <c r="Q138" s="3"/>
      <c r="R138" s="8">
        <f t="shared" si="40"/>
        <v>3.266680182589838E-2</v>
      </c>
      <c r="S138" s="3"/>
      <c r="T138" s="7">
        <v>30930</v>
      </c>
      <c r="U138" s="3"/>
      <c r="V138" s="8">
        <f t="shared" si="41"/>
        <v>4.8686043491606261E-2</v>
      </c>
      <c r="W138" s="3"/>
      <c r="X138" s="7">
        <f t="shared" si="42"/>
        <v>-16699.22</v>
      </c>
      <c r="Y138" s="3"/>
      <c r="Z138" s="8">
        <f t="shared" si="43"/>
        <v>-0.53990365341092794</v>
      </c>
    </row>
    <row r="139" spans="1:26" s="29" customFormat="1" outlineLevel="1" collapsed="1" x14ac:dyDescent="0.25">
      <c r="A139" s="28"/>
      <c r="B139" s="14" t="str">
        <f>CONCATENATE("     ","Discounts and Markdowns                           ")</f>
        <v xml:space="preserve">     Discounts and Markdowns                           </v>
      </c>
      <c r="C139" s="14"/>
      <c r="D139" s="1">
        <f>SUM(OSRRefD22_6x_0)</f>
        <v>0</v>
      </c>
      <c r="E139" s="1"/>
      <c r="F139" s="5">
        <f t="shared" ref="F139:F143" si="44">IF(D$12=0,0,D139/D$12)</f>
        <v>0</v>
      </c>
      <c r="G139" s="1"/>
      <c r="H139" s="1">
        <f>SUM(OSRRefH22_6x_0)</f>
        <v>24820</v>
      </c>
      <c r="I139" s="1"/>
      <c r="J139" s="5">
        <f t="shared" ref="J139:J143" si="45">IF(H$12=0,0,H139/H$12)</f>
        <v>3.9068464256762608E-2</v>
      </c>
      <c r="K139" s="1"/>
      <c r="L139" s="1">
        <f t="shared" ref="L139:L143" si="46">+D139-H139</f>
        <v>-24820</v>
      </c>
      <c r="M139" s="1"/>
      <c r="N139" s="5">
        <f t="shared" ref="N139:N143" si="47">IF(H139=0,0,L139/H139)</f>
        <v>-1</v>
      </c>
      <c r="O139" s="14"/>
      <c r="P139" s="1">
        <f>SUM(OSRRefP22_6x_0)</f>
        <v>0</v>
      </c>
      <c r="Q139" s="1"/>
      <c r="R139" s="5">
        <f t="shared" ref="R139:R143" si="48">IF(P$12=0,0,P139/P$12)</f>
        <v>0</v>
      </c>
      <c r="S139" s="1"/>
      <c r="T139" s="1">
        <f>SUM(OSRRefT22_6x_0)</f>
        <v>24820</v>
      </c>
      <c r="U139" s="1"/>
      <c r="V139" s="5">
        <f t="shared" ref="V139:V143" si="49">IF(T$12=0,0,T139/T$12)</f>
        <v>3.9068464256762608E-2</v>
      </c>
      <c r="W139" s="1"/>
      <c r="X139" s="1">
        <f t="shared" ref="X139:X143" si="50">+P139-T139</f>
        <v>-24820</v>
      </c>
      <c r="Y139" s="1"/>
      <c r="Z139" s="5">
        <f t="shared" ref="Z139:Z143" si="51">IF(T139=0,0,X139/T139)</f>
        <v>-1</v>
      </c>
    </row>
    <row r="140" spans="1:26" s="24" customFormat="1" hidden="1" outlineLevel="2" x14ac:dyDescent="0.25">
      <c r="A140" s="27"/>
      <c r="B140" s="12" t="str">
        <f>CONCATENATE("          ", "6382", " - ", "DISCOUNTS/MARK DOWNS")</f>
        <v xml:space="preserve">          6382 - DISCOUNTS/MARK DOWNS</v>
      </c>
      <c r="C140" s="12"/>
      <c r="D140" s="7"/>
      <c r="E140" s="3"/>
      <c r="F140" s="8">
        <f t="shared" si="44"/>
        <v>0</v>
      </c>
      <c r="G140" s="3"/>
      <c r="H140" s="7">
        <v>24820</v>
      </c>
      <c r="I140" s="3"/>
      <c r="J140" s="8">
        <f t="shared" si="45"/>
        <v>3.9068464256762608E-2</v>
      </c>
      <c r="K140" s="3"/>
      <c r="L140" s="7">
        <f t="shared" si="46"/>
        <v>-24820</v>
      </c>
      <c r="M140" s="3"/>
      <c r="N140" s="8">
        <f t="shared" si="47"/>
        <v>-1</v>
      </c>
      <c r="O140" s="12"/>
      <c r="P140" s="7"/>
      <c r="Q140" s="3"/>
      <c r="R140" s="8">
        <f t="shared" si="48"/>
        <v>0</v>
      </c>
      <c r="S140" s="3"/>
      <c r="T140" s="7">
        <v>24820</v>
      </c>
      <c r="U140" s="3"/>
      <c r="V140" s="8">
        <f t="shared" si="49"/>
        <v>3.9068464256762608E-2</v>
      </c>
      <c r="W140" s="3"/>
      <c r="X140" s="7">
        <f t="shared" si="50"/>
        <v>-24820</v>
      </c>
      <c r="Y140" s="3"/>
      <c r="Z140" s="8">
        <f t="shared" si="51"/>
        <v>-1</v>
      </c>
    </row>
    <row r="141" spans="1:26" s="29" customFormat="1" outlineLevel="1" collapsed="1" x14ac:dyDescent="0.25">
      <c r="A141" s="28"/>
      <c r="B141" s="14" t="str">
        <f>CONCATENATE("     ","Donations                                         ")</f>
        <v xml:space="preserve">     Donations                                         </v>
      </c>
      <c r="C141" s="14"/>
      <c r="D141" s="1">
        <f>SUM(OSRRefD22_7x_0)</f>
        <v>0</v>
      </c>
      <c r="E141" s="1"/>
      <c r="F141" s="5">
        <f t="shared" si="44"/>
        <v>0</v>
      </c>
      <c r="G141" s="1"/>
      <c r="H141" s="1">
        <f>SUM(OSRRefH22_7x_0)</f>
        <v>1000</v>
      </c>
      <c r="I141" s="1"/>
      <c r="J141" s="5">
        <f t="shared" si="45"/>
        <v>1.5740718878631188E-3</v>
      </c>
      <c r="K141" s="1"/>
      <c r="L141" s="1">
        <f t="shared" si="46"/>
        <v>-1000</v>
      </c>
      <c r="M141" s="1"/>
      <c r="N141" s="5">
        <f t="shared" si="47"/>
        <v>-1</v>
      </c>
      <c r="O141" s="14"/>
      <c r="P141" s="1">
        <f>SUM(OSRRefP22_7x_0)</f>
        <v>0</v>
      </c>
      <c r="Q141" s="1"/>
      <c r="R141" s="5">
        <f t="shared" si="48"/>
        <v>0</v>
      </c>
      <c r="S141" s="1"/>
      <c r="T141" s="1">
        <f>SUM(OSRRefT22_7x_0)</f>
        <v>1000</v>
      </c>
      <c r="U141" s="1"/>
      <c r="V141" s="5">
        <f t="shared" si="49"/>
        <v>1.5740718878631188E-3</v>
      </c>
      <c r="W141" s="1"/>
      <c r="X141" s="1">
        <f t="shared" si="50"/>
        <v>-1000</v>
      </c>
      <c r="Y141" s="1"/>
      <c r="Z141" s="5">
        <f t="shared" si="51"/>
        <v>-1</v>
      </c>
    </row>
    <row r="142" spans="1:26" s="24" customFormat="1" hidden="1" outlineLevel="2" x14ac:dyDescent="0.25">
      <c r="A142" s="27"/>
      <c r="B142" s="12" t="str">
        <f>CONCATENATE("          ", "6395", " - ", "DONATION-OFF CAMPUS")</f>
        <v xml:space="preserve">          6395 - DONATION-OFF CAMPUS</v>
      </c>
      <c r="C142" s="12"/>
      <c r="D142" s="7"/>
      <c r="E142" s="3"/>
      <c r="F142" s="8">
        <f t="shared" si="44"/>
        <v>0</v>
      </c>
      <c r="G142" s="3"/>
      <c r="H142" s="7">
        <v>0</v>
      </c>
      <c r="I142" s="3"/>
      <c r="J142" s="8">
        <f t="shared" si="45"/>
        <v>0</v>
      </c>
      <c r="K142" s="3"/>
      <c r="L142" s="7">
        <f t="shared" si="46"/>
        <v>0</v>
      </c>
      <c r="M142" s="3"/>
      <c r="N142" s="8">
        <f t="shared" si="47"/>
        <v>0</v>
      </c>
      <c r="O142" s="12"/>
      <c r="P142" s="7"/>
      <c r="Q142" s="3"/>
      <c r="R142" s="8">
        <f t="shared" si="48"/>
        <v>0</v>
      </c>
      <c r="S142" s="3"/>
      <c r="T142" s="7">
        <v>0</v>
      </c>
      <c r="U142" s="3"/>
      <c r="V142" s="8">
        <f t="shared" si="49"/>
        <v>0</v>
      </c>
      <c r="W142" s="3"/>
      <c r="X142" s="7">
        <f t="shared" si="50"/>
        <v>0</v>
      </c>
      <c r="Y142" s="3"/>
      <c r="Z142" s="8">
        <f t="shared" si="51"/>
        <v>0</v>
      </c>
    </row>
    <row r="143" spans="1:26" s="24" customFormat="1" hidden="1" outlineLevel="2" x14ac:dyDescent="0.25">
      <c r="A143" s="27"/>
      <c r="B143" s="12" t="str">
        <f>CONCATENATE("          ", "6399", " - ", "DONATION-ON CAMPUS")</f>
        <v xml:space="preserve">          6399 - DONATION-ON CAMPUS</v>
      </c>
      <c r="C143" s="12"/>
      <c r="D143" s="7"/>
      <c r="E143" s="3"/>
      <c r="F143" s="8">
        <f t="shared" si="44"/>
        <v>0</v>
      </c>
      <c r="G143" s="3"/>
      <c r="H143" s="7">
        <v>1000</v>
      </c>
      <c r="I143" s="3"/>
      <c r="J143" s="8">
        <f t="shared" si="45"/>
        <v>1.5740718878631188E-3</v>
      </c>
      <c r="K143" s="3"/>
      <c r="L143" s="7">
        <f t="shared" si="46"/>
        <v>-1000</v>
      </c>
      <c r="M143" s="3"/>
      <c r="N143" s="8">
        <f t="shared" si="47"/>
        <v>-1</v>
      </c>
      <c r="O143" s="12"/>
      <c r="P143" s="7"/>
      <c r="Q143" s="3"/>
      <c r="R143" s="8">
        <f t="shared" si="48"/>
        <v>0</v>
      </c>
      <c r="S143" s="3"/>
      <c r="T143" s="7">
        <v>1000</v>
      </c>
      <c r="U143" s="3"/>
      <c r="V143" s="8">
        <f t="shared" si="49"/>
        <v>1.5740718878631188E-3</v>
      </c>
      <c r="W143" s="3"/>
      <c r="X143" s="7">
        <f t="shared" si="50"/>
        <v>-1000</v>
      </c>
      <c r="Y143" s="3"/>
      <c r="Z143" s="8">
        <f t="shared" si="51"/>
        <v>-1</v>
      </c>
    </row>
    <row r="144" spans="1:26" s="29" customFormat="1" outlineLevel="1" collapsed="1" x14ac:dyDescent="0.25">
      <c r="A144" s="28"/>
      <c r="B144" s="14" t="str">
        <f>CONCATENATE("     ","Employees' Appreciation                           ")</f>
        <v xml:space="preserve">     Employees' Appreciation                           </v>
      </c>
      <c r="C144" s="14"/>
      <c r="D144" s="1">
        <f>SUM(OSRRefD22_8x_0)</f>
        <v>107.7</v>
      </c>
      <c r="E144" s="1"/>
      <c r="F144" s="5">
        <f t="shared" ref="F144:F150" si="52">IF(D$12=0,0,D144/D$12)</f>
        <v>2.4722570067482286E-4</v>
      </c>
      <c r="G144" s="1"/>
      <c r="H144" s="1">
        <f>SUM(OSRRefH22_8x_0)</f>
        <v>445</v>
      </c>
      <c r="I144" s="1"/>
      <c r="J144" s="5">
        <f t="shared" ref="J144:J150" si="53">IF(H$12=0,0,H144/H$12)</f>
        <v>7.0046199009908777E-4</v>
      </c>
      <c r="K144" s="1"/>
      <c r="L144" s="1">
        <f t="shared" ref="L144:L150" si="54">+D144-H144</f>
        <v>-337.3</v>
      </c>
      <c r="M144" s="1"/>
      <c r="N144" s="5">
        <f t="shared" ref="N144:N150" si="55">IF(H144=0,0,L144/H144)</f>
        <v>-0.75797752808988772</v>
      </c>
      <c r="O144" s="14"/>
      <c r="P144" s="1">
        <f>SUM(OSRRefP22_8x_0)</f>
        <v>107.7</v>
      </c>
      <c r="Q144" s="1"/>
      <c r="R144" s="5">
        <f t="shared" ref="R144:R150" si="56">IF(P$12=0,0,P144/P$12)</f>
        <v>2.4722570067482286E-4</v>
      </c>
      <c r="S144" s="1"/>
      <c r="T144" s="1">
        <f>SUM(OSRRefT22_8x_0)</f>
        <v>445</v>
      </c>
      <c r="U144" s="1"/>
      <c r="V144" s="5">
        <f t="shared" ref="V144:V150" si="57">IF(T$12=0,0,T144/T$12)</f>
        <v>7.0046199009908777E-4</v>
      </c>
      <c r="W144" s="1"/>
      <c r="X144" s="1">
        <f t="shared" ref="X144:X150" si="58">+P144-T144</f>
        <v>-337.3</v>
      </c>
      <c r="Y144" s="1"/>
      <c r="Z144" s="5">
        <f t="shared" ref="Z144:Z150" si="59">IF(T144=0,0,X144/T144)</f>
        <v>-0.75797752808988772</v>
      </c>
    </row>
    <row r="145" spans="1:26" s="24" customFormat="1" hidden="1" outlineLevel="2" x14ac:dyDescent="0.25">
      <c r="A145" s="27"/>
      <c r="B145" s="12" t="str">
        <f>CONCATENATE("          ", "6277", " - ", "EMPLOYEE APPRECIATION")</f>
        <v xml:space="preserve">          6277 - EMPLOYEE APPRECIATION</v>
      </c>
      <c r="C145" s="12"/>
      <c r="D145" s="7">
        <v>107.7</v>
      </c>
      <c r="E145" s="3"/>
      <c r="F145" s="8">
        <f t="shared" si="52"/>
        <v>2.4722570067482286E-4</v>
      </c>
      <c r="G145" s="3"/>
      <c r="H145" s="7">
        <v>445</v>
      </c>
      <c r="I145" s="3"/>
      <c r="J145" s="8">
        <f t="shared" si="53"/>
        <v>7.0046199009908777E-4</v>
      </c>
      <c r="K145" s="3"/>
      <c r="L145" s="7">
        <f t="shared" si="54"/>
        <v>-337.3</v>
      </c>
      <c r="M145" s="3"/>
      <c r="N145" s="8">
        <f t="shared" si="55"/>
        <v>-0.75797752808988772</v>
      </c>
      <c r="O145" s="12"/>
      <c r="P145" s="7">
        <v>107.7</v>
      </c>
      <c r="Q145" s="3"/>
      <c r="R145" s="8">
        <f t="shared" si="56"/>
        <v>2.4722570067482286E-4</v>
      </c>
      <c r="S145" s="3"/>
      <c r="T145" s="7">
        <v>445</v>
      </c>
      <c r="U145" s="3"/>
      <c r="V145" s="8">
        <f t="shared" si="57"/>
        <v>7.0046199009908777E-4</v>
      </c>
      <c r="W145" s="3"/>
      <c r="X145" s="7">
        <f t="shared" si="58"/>
        <v>-337.3</v>
      </c>
      <c r="Y145" s="3"/>
      <c r="Z145" s="8">
        <f t="shared" si="59"/>
        <v>-0.75797752808988772</v>
      </c>
    </row>
    <row r="146" spans="1:26" s="29" customFormat="1" outlineLevel="1" collapsed="1" x14ac:dyDescent="0.25">
      <c r="A146" s="28"/>
      <c r="B146" s="14" t="str">
        <f>CONCATENATE("     ","Equipment Rental                                  ")</f>
        <v xml:space="preserve">     Equipment Rental                                  </v>
      </c>
      <c r="C146" s="14"/>
      <c r="D146" s="1">
        <f>SUM(OSRRefD22_9x_0)</f>
        <v>1388.16</v>
      </c>
      <c r="E146" s="1"/>
      <c r="F146" s="5">
        <f t="shared" si="52"/>
        <v>3.1865257998956553E-3</v>
      </c>
      <c r="G146" s="1"/>
      <c r="H146" s="1">
        <f>SUM(OSRRefH22_9x_0)</f>
        <v>3006</v>
      </c>
      <c r="I146" s="1"/>
      <c r="J146" s="5">
        <f t="shared" si="53"/>
        <v>4.7316600949165351E-3</v>
      </c>
      <c r="K146" s="1"/>
      <c r="L146" s="1">
        <f t="shared" si="54"/>
        <v>-1617.84</v>
      </c>
      <c r="M146" s="1"/>
      <c r="N146" s="5">
        <f t="shared" si="55"/>
        <v>-0.53820359281437125</v>
      </c>
      <c r="O146" s="14"/>
      <c r="P146" s="1">
        <f>SUM(OSRRefP22_9x_0)</f>
        <v>1388.16</v>
      </c>
      <c r="Q146" s="1"/>
      <c r="R146" s="5">
        <f t="shared" si="56"/>
        <v>3.1865257998956553E-3</v>
      </c>
      <c r="S146" s="1"/>
      <c r="T146" s="1">
        <f>SUM(OSRRefT22_9x_0)</f>
        <v>3006</v>
      </c>
      <c r="U146" s="1"/>
      <c r="V146" s="5">
        <f t="shared" si="57"/>
        <v>4.7316600949165351E-3</v>
      </c>
      <c r="W146" s="1"/>
      <c r="X146" s="1">
        <f t="shared" si="58"/>
        <v>-1617.84</v>
      </c>
      <c r="Y146" s="1"/>
      <c r="Z146" s="5">
        <f t="shared" si="59"/>
        <v>-0.53820359281437125</v>
      </c>
    </row>
    <row r="147" spans="1:26" s="24" customFormat="1" hidden="1" outlineLevel="2" x14ac:dyDescent="0.25">
      <c r="A147" s="27"/>
      <c r="B147" s="12" t="str">
        <f>CONCATENATE("          ", "6351", " - ", "EQUIPMENT RENTAL")</f>
        <v xml:space="preserve">          6351 - EQUIPMENT RENTAL</v>
      </c>
      <c r="C147" s="12"/>
      <c r="D147" s="7">
        <v>1388.16</v>
      </c>
      <c r="E147" s="3"/>
      <c r="F147" s="8">
        <f t="shared" si="52"/>
        <v>3.1865257998956553E-3</v>
      </c>
      <c r="G147" s="3"/>
      <c r="H147" s="7">
        <v>3006</v>
      </c>
      <c r="I147" s="3"/>
      <c r="J147" s="8">
        <f t="shared" si="53"/>
        <v>4.7316600949165351E-3</v>
      </c>
      <c r="K147" s="3"/>
      <c r="L147" s="7">
        <f t="shared" si="54"/>
        <v>-1617.84</v>
      </c>
      <c r="M147" s="3"/>
      <c r="N147" s="8">
        <f t="shared" si="55"/>
        <v>-0.53820359281437125</v>
      </c>
      <c r="O147" s="12"/>
      <c r="P147" s="7">
        <v>1388.16</v>
      </c>
      <c r="Q147" s="3"/>
      <c r="R147" s="8">
        <f t="shared" si="56"/>
        <v>3.1865257998956553E-3</v>
      </c>
      <c r="S147" s="3"/>
      <c r="T147" s="7">
        <v>3006</v>
      </c>
      <c r="U147" s="3"/>
      <c r="V147" s="8">
        <f t="shared" si="57"/>
        <v>4.7316600949165351E-3</v>
      </c>
      <c r="W147" s="3"/>
      <c r="X147" s="7">
        <f t="shared" si="58"/>
        <v>-1617.84</v>
      </c>
      <c r="Y147" s="3"/>
      <c r="Z147" s="8">
        <f t="shared" si="59"/>
        <v>-0.53820359281437125</v>
      </c>
    </row>
    <row r="148" spans="1:26" s="29" customFormat="1" outlineLevel="1" collapsed="1" x14ac:dyDescent="0.25">
      <c r="A148" s="28"/>
      <c r="B148" s="14" t="str">
        <f>CONCATENATE("     ","Freight out/Postage                               ")</f>
        <v xml:space="preserve">     Freight out/Postage                               </v>
      </c>
      <c r="C148" s="14"/>
      <c r="D148" s="1">
        <f>SUM(OSRRefD22_10x_0)</f>
        <v>8939.26</v>
      </c>
      <c r="E148" s="1"/>
      <c r="F148" s="5">
        <f t="shared" si="52"/>
        <v>2.0520100436531262E-2</v>
      </c>
      <c r="G148" s="1"/>
      <c r="H148" s="1">
        <f>SUM(OSRRefH22_10x_0)</f>
        <v>5035</v>
      </c>
      <c r="I148" s="1"/>
      <c r="J148" s="5">
        <f t="shared" si="53"/>
        <v>7.925451955390803E-3</v>
      </c>
      <c r="K148" s="1"/>
      <c r="L148" s="1">
        <f t="shared" si="54"/>
        <v>3904.26</v>
      </c>
      <c r="M148" s="1"/>
      <c r="N148" s="5">
        <f t="shared" si="55"/>
        <v>0.77542403177755714</v>
      </c>
      <c r="O148" s="14"/>
      <c r="P148" s="1">
        <f>SUM(OSRRefP22_10x_0)</f>
        <v>8939.26</v>
      </c>
      <c r="Q148" s="1"/>
      <c r="R148" s="5">
        <f t="shared" si="56"/>
        <v>2.0520100436531262E-2</v>
      </c>
      <c r="S148" s="1"/>
      <c r="T148" s="1">
        <f>SUM(OSRRefT22_10x_0)</f>
        <v>5035</v>
      </c>
      <c r="U148" s="1"/>
      <c r="V148" s="5">
        <f t="shared" si="57"/>
        <v>7.925451955390803E-3</v>
      </c>
      <c r="W148" s="1"/>
      <c r="X148" s="1">
        <f t="shared" si="58"/>
        <v>3904.26</v>
      </c>
      <c r="Y148" s="1"/>
      <c r="Z148" s="5">
        <f t="shared" si="59"/>
        <v>0.77542403177755714</v>
      </c>
    </row>
    <row r="149" spans="1:26" s="24" customFormat="1" hidden="1" outlineLevel="2" x14ac:dyDescent="0.25">
      <c r="A149" s="27"/>
      <c r="B149" s="12" t="str">
        <f>CONCATENATE("          ", "6305", " - ", "FREIGHT OUT")</f>
        <v xml:space="preserve">          6305 - FREIGHT OUT</v>
      </c>
      <c r="C149" s="12"/>
      <c r="D149" s="7">
        <v>12094.7</v>
      </c>
      <c r="E149" s="3"/>
      <c r="F149" s="8">
        <f t="shared" si="52"/>
        <v>2.7763423230750046E-2</v>
      </c>
      <c r="G149" s="3"/>
      <c r="H149" s="7">
        <v>1515</v>
      </c>
      <c r="I149" s="3"/>
      <c r="J149" s="8">
        <f t="shared" si="53"/>
        <v>2.3847189101126247E-3</v>
      </c>
      <c r="K149" s="3"/>
      <c r="L149" s="7">
        <f t="shared" si="54"/>
        <v>10579.7</v>
      </c>
      <c r="M149" s="3"/>
      <c r="N149" s="8">
        <f t="shared" si="55"/>
        <v>6.9833003300330034</v>
      </c>
      <c r="O149" s="12"/>
      <c r="P149" s="7">
        <v>12094.7</v>
      </c>
      <c r="Q149" s="3"/>
      <c r="R149" s="8">
        <f t="shared" si="56"/>
        <v>2.7763423230750046E-2</v>
      </c>
      <c r="S149" s="3"/>
      <c r="T149" s="7">
        <v>1515</v>
      </c>
      <c r="U149" s="3"/>
      <c r="V149" s="8">
        <f t="shared" si="57"/>
        <v>2.3847189101126247E-3</v>
      </c>
      <c r="W149" s="3"/>
      <c r="X149" s="7">
        <f t="shared" si="58"/>
        <v>10579.7</v>
      </c>
      <c r="Y149" s="3"/>
      <c r="Z149" s="8">
        <f t="shared" si="59"/>
        <v>6.9833003300330034</v>
      </c>
    </row>
    <row r="150" spans="1:26" s="24" customFormat="1" hidden="1" outlineLevel="2" x14ac:dyDescent="0.25">
      <c r="A150" s="27"/>
      <c r="B150" s="12" t="str">
        <f>CONCATENATE("          ", "6307", " - ", "POSTAGE")</f>
        <v xml:space="preserve">          6307 - POSTAGE</v>
      </c>
      <c r="C150" s="12"/>
      <c r="D150" s="7">
        <v>-3155.44</v>
      </c>
      <c r="E150" s="3"/>
      <c r="F150" s="8">
        <f t="shared" si="52"/>
        <v>-7.2433227942187836E-3</v>
      </c>
      <c r="G150" s="3"/>
      <c r="H150" s="7">
        <v>3520</v>
      </c>
      <c r="I150" s="3"/>
      <c r="J150" s="8">
        <f t="shared" si="53"/>
        <v>5.5407330452781779E-3</v>
      </c>
      <c r="K150" s="3"/>
      <c r="L150" s="7">
        <f t="shared" si="54"/>
        <v>-6675.4400000000005</v>
      </c>
      <c r="M150" s="3"/>
      <c r="N150" s="8">
        <f t="shared" si="55"/>
        <v>-1.8964318181818183</v>
      </c>
      <c r="O150" s="12"/>
      <c r="P150" s="7">
        <v>-3155.44</v>
      </c>
      <c r="Q150" s="3"/>
      <c r="R150" s="8">
        <f t="shared" si="56"/>
        <v>-7.2433227942187836E-3</v>
      </c>
      <c r="S150" s="3"/>
      <c r="T150" s="7">
        <v>3520</v>
      </c>
      <c r="U150" s="3"/>
      <c r="V150" s="8">
        <f t="shared" si="57"/>
        <v>5.5407330452781779E-3</v>
      </c>
      <c r="W150" s="3"/>
      <c r="X150" s="7">
        <f t="shared" si="58"/>
        <v>-6675.4400000000005</v>
      </c>
      <c r="Y150" s="3"/>
      <c r="Z150" s="8">
        <f t="shared" si="59"/>
        <v>-1.8964318181818183</v>
      </c>
    </row>
    <row r="151" spans="1:26" s="29" customFormat="1" outlineLevel="1" collapsed="1" x14ac:dyDescent="0.25">
      <c r="A151" s="28"/>
      <c r="B151" s="14" t="str">
        <f>CONCATENATE("     ","General                                           ")</f>
        <v xml:space="preserve">     General                                           </v>
      </c>
      <c r="C151" s="14"/>
      <c r="D151" s="1">
        <f>SUM(OSRRefD22_11x_0)</f>
        <v>-3350.24</v>
      </c>
      <c r="E151" s="1"/>
      <c r="F151" s="5">
        <f t="shared" ref="F151:F153" si="60">IF(D$12=0,0,D151/D$12)</f>
        <v>-7.6904868284941351E-3</v>
      </c>
      <c r="G151" s="1"/>
      <c r="H151" s="1">
        <f>SUM(OSRRefH22_11x_0)</f>
        <v>1680</v>
      </c>
      <c r="I151" s="1"/>
      <c r="J151" s="5">
        <f t="shared" ref="J151:J153" si="61">IF(H$12=0,0,H151/H$12)</f>
        <v>2.6444407716100394E-3</v>
      </c>
      <c r="K151" s="1"/>
      <c r="L151" s="1">
        <f t="shared" ref="L151:L153" si="62">+D151-H151</f>
        <v>-5030.24</v>
      </c>
      <c r="M151" s="1"/>
      <c r="N151" s="5">
        <f t="shared" ref="N151:N153" si="63">IF(H151=0,0,L151/H151)</f>
        <v>-2.9941904761904761</v>
      </c>
      <c r="O151" s="14"/>
      <c r="P151" s="1">
        <f>SUM(OSRRefP22_11x_0)</f>
        <v>-3350.24</v>
      </c>
      <c r="Q151" s="1"/>
      <c r="R151" s="5">
        <f t="shared" ref="R151:R153" si="64">IF(P$12=0,0,P151/P$12)</f>
        <v>-7.6904868284941351E-3</v>
      </c>
      <c r="S151" s="1"/>
      <c r="T151" s="1">
        <f>SUM(OSRRefT22_11x_0)</f>
        <v>1680</v>
      </c>
      <c r="U151" s="1"/>
      <c r="V151" s="5">
        <f t="shared" ref="V151:V153" si="65">IF(T$12=0,0,T151/T$12)</f>
        <v>2.6444407716100394E-3</v>
      </c>
      <c r="W151" s="1"/>
      <c r="X151" s="1">
        <f t="shared" ref="X151:X153" si="66">+P151-T151</f>
        <v>-5030.24</v>
      </c>
      <c r="Y151" s="1"/>
      <c r="Z151" s="5">
        <f t="shared" ref="Z151:Z153" si="67">IF(T151=0,0,X151/T151)</f>
        <v>-2.9941904761904761</v>
      </c>
    </row>
    <row r="152" spans="1:26" s="24" customFormat="1" hidden="1" outlineLevel="2" x14ac:dyDescent="0.25">
      <c r="A152" s="27"/>
      <c r="B152" s="12" t="str">
        <f>CONCATENATE("          ", "6276", " - ", "PROPERTY TAX")</f>
        <v xml:space="preserve">          6276 - PROPERTY TAX</v>
      </c>
      <c r="C152" s="12"/>
      <c r="D152" s="7"/>
      <c r="E152" s="3"/>
      <c r="F152" s="8">
        <f t="shared" si="60"/>
        <v>0</v>
      </c>
      <c r="G152" s="3"/>
      <c r="H152" s="7">
        <v>150</v>
      </c>
      <c r="I152" s="3"/>
      <c r="J152" s="8">
        <f t="shared" si="61"/>
        <v>2.361107831794678E-4</v>
      </c>
      <c r="K152" s="3"/>
      <c r="L152" s="7">
        <f t="shared" si="62"/>
        <v>-150</v>
      </c>
      <c r="M152" s="3"/>
      <c r="N152" s="8">
        <f t="shared" si="63"/>
        <v>-1</v>
      </c>
      <c r="O152" s="12"/>
      <c r="P152" s="7"/>
      <c r="Q152" s="3"/>
      <c r="R152" s="8">
        <f t="shared" si="64"/>
        <v>0</v>
      </c>
      <c r="S152" s="3"/>
      <c r="T152" s="7">
        <v>150</v>
      </c>
      <c r="U152" s="3"/>
      <c r="V152" s="8">
        <f t="shared" si="65"/>
        <v>2.361107831794678E-4</v>
      </c>
      <c r="W152" s="3"/>
      <c r="X152" s="7">
        <f t="shared" si="66"/>
        <v>-150</v>
      </c>
      <c r="Y152" s="3"/>
      <c r="Z152" s="8">
        <f t="shared" si="67"/>
        <v>-1</v>
      </c>
    </row>
    <row r="153" spans="1:26" s="24" customFormat="1" hidden="1" outlineLevel="2" x14ac:dyDescent="0.25">
      <c r="A153" s="27"/>
      <c r="B153" s="12" t="str">
        <f>CONCATENATE("          ", "6279", " - ", "GENERAL EXPENSE")</f>
        <v xml:space="preserve">          6279 - GENERAL EXPENSE</v>
      </c>
      <c r="C153" s="12"/>
      <c r="D153" s="7">
        <v>-3350.24</v>
      </c>
      <c r="E153" s="3"/>
      <c r="F153" s="8">
        <f t="shared" si="60"/>
        <v>-7.6904868284941351E-3</v>
      </c>
      <c r="G153" s="3"/>
      <c r="H153" s="7">
        <v>1530</v>
      </c>
      <c r="I153" s="3"/>
      <c r="J153" s="8">
        <f t="shared" si="61"/>
        <v>2.4083299884305716E-3</v>
      </c>
      <c r="K153" s="3"/>
      <c r="L153" s="7">
        <f t="shared" si="62"/>
        <v>-4880.24</v>
      </c>
      <c r="M153" s="3"/>
      <c r="N153" s="8">
        <f t="shared" si="63"/>
        <v>-3.1896993464052286</v>
      </c>
      <c r="O153" s="12"/>
      <c r="P153" s="7">
        <v>-3350.24</v>
      </c>
      <c r="Q153" s="3"/>
      <c r="R153" s="8">
        <f t="shared" si="64"/>
        <v>-7.6904868284941351E-3</v>
      </c>
      <c r="S153" s="3"/>
      <c r="T153" s="7">
        <v>1530</v>
      </c>
      <c r="U153" s="3"/>
      <c r="V153" s="8">
        <f t="shared" si="65"/>
        <v>2.4083299884305716E-3</v>
      </c>
      <c r="W153" s="3"/>
      <c r="X153" s="7">
        <f t="shared" si="66"/>
        <v>-4880.24</v>
      </c>
      <c r="Y153" s="3"/>
      <c r="Z153" s="8">
        <f t="shared" si="67"/>
        <v>-3.1896993464052286</v>
      </c>
    </row>
    <row r="154" spans="1:26" s="29" customFormat="1" outlineLevel="1" collapsed="1" x14ac:dyDescent="0.25">
      <c r="A154" s="28"/>
      <c r="B154" s="14" t="str">
        <f>CONCATENATE("     ","Insurance                                         ")</f>
        <v xml:space="preserve">     Insurance                                         </v>
      </c>
      <c r="C154" s="14"/>
      <c r="D154" s="1">
        <f>SUM(OSRRefD22_12x_0)</f>
        <v>4044.74</v>
      </c>
      <c r="E154" s="1"/>
      <c r="F154" s="5">
        <f t="shared" ref="F154:F165" si="68">IF(D$12=0,0,D154/D$12)</f>
        <v>9.2847138398094962E-3</v>
      </c>
      <c r="G154" s="1"/>
      <c r="H154" s="1">
        <f>SUM(OSRRefH22_12x_0)</f>
        <v>4446</v>
      </c>
      <c r="I154" s="1"/>
      <c r="J154" s="5">
        <f t="shared" ref="J154:J165" si="69">IF(H$12=0,0,H154/H$12)</f>
        <v>6.9983236134394259E-3</v>
      </c>
      <c r="K154" s="1"/>
      <c r="L154" s="1">
        <f t="shared" ref="L154:L165" si="70">+D154-H154</f>
        <v>-401.26000000000022</v>
      </c>
      <c r="M154" s="1"/>
      <c r="N154" s="5">
        <f t="shared" ref="N154:N165" si="71">IF(H154=0,0,L154/H154)</f>
        <v>-9.0251911830859247E-2</v>
      </c>
      <c r="O154" s="14"/>
      <c r="P154" s="1">
        <f>SUM(OSRRefP22_12x_0)</f>
        <v>4044.74</v>
      </c>
      <c r="Q154" s="1"/>
      <c r="R154" s="5">
        <f t="shared" ref="R154:R165" si="72">IF(P$12=0,0,P154/P$12)</f>
        <v>9.2847138398094962E-3</v>
      </c>
      <c r="S154" s="1"/>
      <c r="T154" s="1">
        <f>SUM(OSRRefT22_12x_0)</f>
        <v>4446</v>
      </c>
      <c r="U154" s="1"/>
      <c r="V154" s="5">
        <f t="shared" ref="V154:V165" si="73">IF(T$12=0,0,T154/T$12)</f>
        <v>6.9983236134394259E-3</v>
      </c>
      <c r="W154" s="1"/>
      <c r="X154" s="1">
        <f t="shared" ref="X154:X165" si="74">+P154-T154</f>
        <v>-401.26000000000022</v>
      </c>
      <c r="Y154" s="1"/>
      <c r="Z154" s="5">
        <f t="shared" ref="Z154:Z165" si="75">IF(T154=0,0,X154/T154)</f>
        <v>-9.0251911830859247E-2</v>
      </c>
    </row>
    <row r="155" spans="1:26" s="24" customFormat="1" hidden="1" outlineLevel="2" x14ac:dyDescent="0.25">
      <c r="A155" s="27"/>
      <c r="B155" s="12" t="str">
        <f>CONCATENATE("          ", "6314", " - ", "LIABILITY INSURANCE")</f>
        <v xml:space="preserve">          6314 - LIABILITY INSURANCE</v>
      </c>
      <c r="C155" s="12"/>
      <c r="D155" s="7">
        <v>4044.74</v>
      </c>
      <c r="E155" s="3"/>
      <c r="F155" s="8">
        <f t="shared" si="68"/>
        <v>9.2847138398094962E-3</v>
      </c>
      <c r="G155" s="3"/>
      <c r="H155" s="7">
        <v>4446</v>
      </c>
      <c r="I155" s="3"/>
      <c r="J155" s="8">
        <f t="shared" si="69"/>
        <v>6.9983236134394259E-3</v>
      </c>
      <c r="K155" s="3"/>
      <c r="L155" s="7">
        <f t="shared" si="70"/>
        <v>-401.26000000000022</v>
      </c>
      <c r="M155" s="3"/>
      <c r="N155" s="8">
        <f t="shared" si="71"/>
        <v>-9.0251911830859247E-2</v>
      </c>
      <c r="O155" s="12"/>
      <c r="P155" s="7">
        <v>4044.74</v>
      </c>
      <c r="Q155" s="3"/>
      <c r="R155" s="8">
        <f t="shared" si="72"/>
        <v>9.2847138398094962E-3</v>
      </c>
      <c r="S155" s="3"/>
      <c r="T155" s="7">
        <v>4446</v>
      </c>
      <c r="U155" s="3"/>
      <c r="V155" s="8">
        <f t="shared" si="73"/>
        <v>6.9983236134394259E-3</v>
      </c>
      <c r="W155" s="3"/>
      <c r="X155" s="7">
        <f t="shared" si="74"/>
        <v>-401.26000000000022</v>
      </c>
      <c r="Y155" s="3"/>
      <c r="Z155" s="8">
        <f t="shared" si="75"/>
        <v>-9.0251911830859247E-2</v>
      </c>
    </row>
    <row r="156" spans="1:26" s="29" customFormat="1" outlineLevel="1" collapsed="1" x14ac:dyDescent="0.25">
      <c r="A156" s="28"/>
      <c r="B156" s="14" t="str">
        <f>CONCATENATE("     ","Inventory Adjustment                              ")</f>
        <v xml:space="preserve">     Inventory Adjustment                              </v>
      </c>
      <c r="C156" s="14"/>
      <c r="D156" s="1">
        <f>SUM(OSRRefD22_13x_0)</f>
        <v>3350</v>
      </c>
      <c r="E156" s="1"/>
      <c r="F156" s="5">
        <f t="shared" si="68"/>
        <v>7.6899359077126882E-3</v>
      </c>
      <c r="G156" s="1"/>
      <c r="H156" s="1">
        <f>SUM(OSRRefH22_13x_0)</f>
        <v>4350</v>
      </c>
      <c r="I156" s="1"/>
      <c r="J156" s="5">
        <f t="shared" si="69"/>
        <v>6.8472127122045662E-3</v>
      </c>
      <c r="K156" s="1"/>
      <c r="L156" s="1">
        <f t="shared" si="70"/>
        <v>-1000</v>
      </c>
      <c r="M156" s="1"/>
      <c r="N156" s="5">
        <f t="shared" si="71"/>
        <v>-0.22988505747126436</v>
      </c>
      <c r="O156" s="14"/>
      <c r="P156" s="1">
        <f>SUM(OSRRefP22_13x_0)</f>
        <v>3350</v>
      </c>
      <c r="Q156" s="1"/>
      <c r="R156" s="5">
        <f t="shared" si="72"/>
        <v>7.6899359077126882E-3</v>
      </c>
      <c r="S156" s="1"/>
      <c r="T156" s="1">
        <f>SUM(OSRRefT22_13x_0)</f>
        <v>4350</v>
      </c>
      <c r="U156" s="1"/>
      <c r="V156" s="5">
        <f t="shared" si="73"/>
        <v>6.8472127122045662E-3</v>
      </c>
      <c r="W156" s="1"/>
      <c r="X156" s="1">
        <f t="shared" si="74"/>
        <v>-1000</v>
      </c>
      <c r="Y156" s="1"/>
      <c r="Z156" s="5">
        <f t="shared" si="75"/>
        <v>-0.22988505747126436</v>
      </c>
    </row>
    <row r="157" spans="1:26" s="24" customFormat="1" hidden="1" outlineLevel="2" x14ac:dyDescent="0.25">
      <c r="A157" s="27"/>
      <c r="B157" s="12" t="str">
        <f>CONCATENATE("          ", "6408", " - ", "INVENTORY ADJUSTMENT")</f>
        <v xml:space="preserve">          6408 - INVENTORY ADJUSTMENT</v>
      </c>
      <c r="C157" s="12"/>
      <c r="D157" s="7">
        <v>3350</v>
      </c>
      <c r="E157" s="3"/>
      <c r="F157" s="8">
        <f t="shared" si="68"/>
        <v>7.6899359077126882E-3</v>
      </c>
      <c r="G157" s="3"/>
      <c r="H157" s="7">
        <v>4350</v>
      </c>
      <c r="I157" s="3"/>
      <c r="J157" s="8">
        <f t="shared" si="69"/>
        <v>6.8472127122045662E-3</v>
      </c>
      <c r="K157" s="3"/>
      <c r="L157" s="7">
        <f t="shared" si="70"/>
        <v>-1000</v>
      </c>
      <c r="M157" s="3"/>
      <c r="N157" s="8">
        <f t="shared" si="71"/>
        <v>-0.22988505747126436</v>
      </c>
      <c r="O157" s="12"/>
      <c r="P157" s="7">
        <v>3350</v>
      </c>
      <c r="Q157" s="3"/>
      <c r="R157" s="8">
        <f t="shared" si="72"/>
        <v>7.6899359077126882E-3</v>
      </c>
      <c r="S157" s="3"/>
      <c r="T157" s="7">
        <v>4350</v>
      </c>
      <c r="U157" s="3"/>
      <c r="V157" s="8">
        <f t="shared" si="73"/>
        <v>6.8472127122045662E-3</v>
      </c>
      <c r="W157" s="3"/>
      <c r="X157" s="7">
        <f t="shared" si="74"/>
        <v>-1000</v>
      </c>
      <c r="Y157" s="3"/>
      <c r="Z157" s="8">
        <f t="shared" si="75"/>
        <v>-0.22988505747126436</v>
      </c>
    </row>
    <row r="158" spans="1:26" s="29" customFormat="1" outlineLevel="1" collapsed="1" x14ac:dyDescent="0.25">
      <c r="A158" s="28"/>
      <c r="B158" s="14" t="str">
        <f>CONCATENATE("     ","Professional Services                             ")</f>
        <v xml:space="preserve">     Professional Services                             </v>
      </c>
      <c r="C158" s="14"/>
      <c r="D158" s="1">
        <f>SUM(OSRRefD22_14x_0)</f>
        <v>0</v>
      </c>
      <c r="E158" s="1"/>
      <c r="F158" s="5">
        <f t="shared" si="68"/>
        <v>0</v>
      </c>
      <c r="G158" s="1"/>
      <c r="H158" s="1">
        <f>SUM(OSRRefH22_14x_0)</f>
        <v>6550</v>
      </c>
      <c r="I158" s="1"/>
      <c r="J158" s="5">
        <f t="shared" si="69"/>
        <v>1.0310170865503428E-2</v>
      </c>
      <c r="K158" s="1"/>
      <c r="L158" s="1">
        <f t="shared" si="70"/>
        <v>-6550</v>
      </c>
      <c r="M158" s="1"/>
      <c r="N158" s="5">
        <f t="shared" si="71"/>
        <v>-1</v>
      </c>
      <c r="O158" s="14"/>
      <c r="P158" s="1">
        <f>SUM(OSRRefP22_14x_0)</f>
        <v>0</v>
      </c>
      <c r="Q158" s="1"/>
      <c r="R158" s="5">
        <f t="shared" si="72"/>
        <v>0</v>
      </c>
      <c r="S158" s="1"/>
      <c r="T158" s="1">
        <f>SUM(OSRRefT22_14x_0)</f>
        <v>6550</v>
      </c>
      <c r="U158" s="1"/>
      <c r="V158" s="5">
        <f t="shared" si="73"/>
        <v>1.0310170865503428E-2</v>
      </c>
      <c r="W158" s="1"/>
      <c r="X158" s="1">
        <f t="shared" si="74"/>
        <v>-6550</v>
      </c>
      <c r="Y158" s="1"/>
      <c r="Z158" s="5">
        <f t="shared" si="75"/>
        <v>-1</v>
      </c>
    </row>
    <row r="159" spans="1:26" s="24" customFormat="1" hidden="1" outlineLevel="2" x14ac:dyDescent="0.25">
      <c r="A159" s="27"/>
      <c r="B159" s="12" t="str">
        <f>CONCATENATE("          ", "6336", " - ", "PROFESSIONAL SERVICES")</f>
        <v xml:space="preserve">          6336 - PROFESSIONAL SERVICES</v>
      </c>
      <c r="C159" s="12"/>
      <c r="D159" s="7"/>
      <c r="E159" s="3"/>
      <c r="F159" s="8">
        <f t="shared" si="68"/>
        <v>0</v>
      </c>
      <c r="G159" s="3"/>
      <c r="H159" s="7">
        <v>6550</v>
      </c>
      <c r="I159" s="3"/>
      <c r="J159" s="8">
        <f t="shared" si="69"/>
        <v>1.0310170865503428E-2</v>
      </c>
      <c r="K159" s="3"/>
      <c r="L159" s="7">
        <f t="shared" si="70"/>
        <v>-6550</v>
      </c>
      <c r="M159" s="3"/>
      <c r="N159" s="8">
        <f t="shared" si="71"/>
        <v>-1</v>
      </c>
      <c r="O159" s="12"/>
      <c r="P159" s="7"/>
      <c r="Q159" s="3"/>
      <c r="R159" s="8">
        <f t="shared" si="72"/>
        <v>0</v>
      </c>
      <c r="S159" s="3"/>
      <c r="T159" s="7">
        <v>6550</v>
      </c>
      <c r="U159" s="3"/>
      <c r="V159" s="8">
        <f t="shared" si="73"/>
        <v>1.0310170865503428E-2</v>
      </c>
      <c r="W159" s="3"/>
      <c r="X159" s="7">
        <f t="shared" si="74"/>
        <v>-6550</v>
      </c>
      <c r="Y159" s="3"/>
      <c r="Z159" s="8">
        <f t="shared" si="75"/>
        <v>-1</v>
      </c>
    </row>
    <row r="160" spans="1:26" s="29" customFormat="1" outlineLevel="1" collapsed="1" x14ac:dyDescent="0.25">
      <c r="A160" s="28"/>
      <c r="B160" s="14" t="str">
        <f>CONCATENATE("     ","Rent                                              ")</f>
        <v xml:space="preserve">     Rent                                              </v>
      </c>
      <c r="C160" s="14"/>
      <c r="D160" s="1">
        <f>SUM(OSRRefD22_15x_0)</f>
        <v>6100</v>
      </c>
      <c r="E160" s="1"/>
      <c r="F160" s="5">
        <f t="shared" si="68"/>
        <v>1.4002569861805193E-2</v>
      </c>
      <c r="G160" s="1"/>
      <c r="H160" s="1">
        <f>SUM(OSRRefH22_15x_0)</f>
        <v>6100</v>
      </c>
      <c r="I160" s="1"/>
      <c r="J160" s="5">
        <f t="shared" si="69"/>
        <v>9.6018385159650239E-3</v>
      </c>
      <c r="K160" s="1"/>
      <c r="L160" s="1">
        <f t="shared" si="70"/>
        <v>0</v>
      </c>
      <c r="M160" s="1"/>
      <c r="N160" s="5">
        <f t="shared" si="71"/>
        <v>0</v>
      </c>
      <c r="O160" s="14"/>
      <c r="P160" s="1">
        <f>SUM(OSRRefP22_15x_0)</f>
        <v>6100</v>
      </c>
      <c r="Q160" s="1"/>
      <c r="R160" s="5">
        <f t="shared" si="72"/>
        <v>1.4002569861805193E-2</v>
      </c>
      <c r="S160" s="1"/>
      <c r="T160" s="1">
        <f>SUM(OSRRefT22_15x_0)</f>
        <v>6100</v>
      </c>
      <c r="U160" s="1"/>
      <c r="V160" s="5">
        <f t="shared" si="73"/>
        <v>9.6018385159650239E-3</v>
      </c>
      <c r="W160" s="1"/>
      <c r="X160" s="1">
        <f t="shared" si="74"/>
        <v>0</v>
      </c>
      <c r="Y160" s="1"/>
      <c r="Z160" s="5">
        <f t="shared" si="75"/>
        <v>0</v>
      </c>
    </row>
    <row r="161" spans="1:26" s="24" customFormat="1" hidden="1" outlineLevel="2" x14ac:dyDescent="0.25">
      <c r="A161" s="27"/>
      <c r="B161" s="12" t="str">
        <f>CONCATENATE("          ", "6273", " - ", "RENT")</f>
        <v xml:space="preserve">          6273 - RENT</v>
      </c>
      <c r="C161" s="12"/>
      <c r="D161" s="7">
        <v>6100</v>
      </c>
      <c r="E161" s="3"/>
      <c r="F161" s="8">
        <f t="shared" si="68"/>
        <v>1.4002569861805193E-2</v>
      </c>
      <c r="G161" s="3"/>
      <c r="H161" s="7">
        <v>6100</v>
      </c>
      <c r="I161" s="3"/>
      <c r="J161" s="8">
        <f t="shared" si="69"/>
        <v>9.6018385159650239E-3</v>
      </c>
      <c r="K161" s="3"/>
      <c r="L161" s="7">
        <f t="shared" si="70"/>
        <v>0</v>
      </c>
      <c r="M161" s="3"/>
      <c r="N161" s="8">
        <f t="shared" si="71"/>
        <v>0</v>
      </c>
      <c r="O161" s="12"/>
      <c r="P161" s="7">
        <v>6100</v>
      </c>
      <c r="Q161" s="3"/>
      <c r="R161" s="8">
        <f t="shared" si="72"/>
        <v>1.4002569861805193E-2</v>
      </c>
      <c r="S161" s="3"/>
      <c r="T161" s="7">
        <v>6100</v>
      </c>
      <c r="U161" s="3"/>
      <c r="V161" s="8">
        <f t="shared" si="73"/>
        <v>9.6018385159650239E-3</v>
      </c>
      <c r="W161" s="3"/>
      <c r="X161" s="7">
        <f t="shared" si="74"/>
        <v>0</v>
      </c>
      <c r="Y161" s="3"/>
      <c r="Z161" s="8">
        <f t="shared" si="75"/>
        <v>0</v>
      </c>
    </row>
    <row r="162" spans="1:26" s="29" customFormat="1" outlineLevel="1" collapsed="1" x14ac:dyDescent="0.25">
      <c r="A162" s="28"/>
      <c r="B162" s="14" t="str">
        <f>CONCATENATE("     ","Repair and Maintenance                            ")</f>
        <v xml:space="preserve">     Repair and Maintenance                            </v>
      </c>
      <c r="C162" s="14"/>
      <c r="D162" s="1">
        <f>SUM(OSRRefD22_16x_0)</f>
        <v>66347.77</v>
      </c>
      <c r="E162" s="1"/>
      <c r="F162" s="5">
        <f t="shared" si="68"/>
        <v>0.15230152206557093</v>
      </c>
      <c r="G162" s="1"/>
      <c r="H162" s="1">
        <f>SUM(OSRRefH22_16x_0)</f>
        <v>56915</v>
      </c>
      <c r="I162" s="1"/>
      <c r="J162" s="5">
        <f t="shared" si="69"/>
        <v>8.9588301497729395E-2</v>
      </c>
      <c r="K162" s="1"/>
      <c r="L162" s="1">
        <f t="shared" si="70"/>
        <v>9432.7700000000041</v>
      </c>
      <c r="M162" s="1"/>
      <c r="N162" s="5">
        <f t="shared" si="71"/>
        <v>0.16573434068347542</v>
      </c>
      <c r="O162" s="14"/>
      <c r="P162" s="1">
        <f>SUM(OSRRefP22_16x_0)</f>
        <v>66347.77</v>
      </c>
      <c r="Q162" s="1"/>
      <c r="R162" s="5">
        <f t="shared" si="72"/>
        <v>0.15230152206557093</v>
      </c>
      <c r="S162" s="1"/>
      <c r="T162" s="1">
        <f>SUM(OSRRefT22_16x_0)</f>
        <v>56915</v>
      </c>
      <c r="U162" s="1"/>
      <c r="V162" s="5">
        <f t="shared" si="73"/>
        <v>8.9588301497729395E-2</v>
      </c>
      <c r="W162" s="1"/>
      <c r="X162" s="1">
        <f t="shared" si="74"/>
        <v>9432.7700000000041</v>
      </c>
      <c r="Y162" s="1"/>
      <c r="Z162" s="5">
        <f t="shared" si="75"/>
        <v>0.16573434068347542</v>
      </c>
    </row>
    <row r="163" spans="1:26" s="24" customFormat="1" hidden="1" outlineLevel="2" x14ac:dyDescent="0.25">
      <c r="A163" s="27"/>
      <c r="B163" s="12" t="str">
        <f>CONCATENATE("          ", "6371", " - ", "COMPUTER SOFTWARE MAINTENANCE")</f>
        <v xml:space="preserve">          6371 - COMPUTER SOFTWARE MAINTENANCE</v>
      </c>
      <c r="C163" s="12"/>
      <c r="D163" s="7">
        <v>58428.780000000006</v>
      </c>
      <c r="E163" s="3"/>
      <c r="F163" s="8">
        <f t="shared" si="68"/>
        <v>0.13412345473607312</v>
      </c>
      <c r="G163" s="3"/>
      <c r="H163" s="7">
        <v>45000</v>
      </c>
      <c r="I163" s="3"/>
      <c r="J163" s="8">
        <f t="shared" si="69"/>
        <v>7.0833234953840335E-2</v>
      </c>
      <c r="K163" s="3"/>
      <c r="L163" s="7">
        <f t="shared" si="70"/>
        <v>13428.780000000006</v>
      </c>
      <c r="M163" s="3"/>
      <c r="N163" s="8">
        <f t="shared" si="71"/>
        <v>0.29841733333333348</v>
      </c>
      <c r="O163" s="12"/>
      <c r="P163" s="7">
        <v>58428.780000000006</v>
      </c>
      <c r="Q163" s="3"/>
      <c r="R163" s="8">
        <f t="shared" si="72"/>
        <v>0.13412345473607312</v>
      </c>
      <c r="S163" s="3"/>
      <c r="T163" s="7">
        <v>45000</v>
      </c>
      <c r="U163" s="3"/>
      <c r="V163" s="8">
        <f t="shared" si="73"/>
        <v>7.0833234953840335E-2</v>
      </c>
      <c r="W163" s="3"/>
      <c r="X163" s="7">
        <f t="shared" si="74"/>
        <v>13428.780000000006</v>
      </c>
      <c r="Y163" s="3"/>
      <c r="Z163" s="8">
        <f t="shared" si="75"/>
        <v>0.29841733333333348</v>
      </c>
    </row>
    <row r="164" spans="1:26" s="24" customFormat="1" hidden="1" outlineLevel="2" x14ac:dyDescent="0.25">
      <c r="A164" s="27"/>
      <c r="B164" s="12" t="str">
        <f>CONCATENATE("          ", "6373", " - ", "MAINTENANCE CONTRACTS")</f>
        <v xml:space="preserve">          6373 - MAINTENANCE CONTRACTS</v>
      </c>
      <c r="C164" s="12"/>
      <c r="D164" s="7">
        <v>6416.01</v>
      </c>
      <c r="E164" s="3"/>
      <c r="F164" s="8">
        <f t="shared" si="68"/>
        <v>1.4727971845744384E-2</v>
      </c>
      <c r="G164" s="3"/>
      <c r="H164" s="7">
        <v>3540</v>
      </c>
      <c r="I164" s="3"/>
      <c r="J164" s="8">
        <f t="shared" si="69"/>
        <v>5.5722144830354405E-3</v>
      </c>
      <c r="K164" s="3"/>
      <c r="L164" s="7">
        <f t="shared" si="70"/>
        <v>2876.01</v>
      </c>
      <c r="M164" s="3"/>
      <c r="N164" s="8">
        <f t="shared" si="71"/>
        <v>0.81243220338983058</v>
      </c>
      <c r="O164" s="12"/>
      <c r="P164" s="7">
        <v>6416.01</v>
      </c>
      <c r="Q164" s="3"/>
      <c r="R164" s="8">
        <f t="shared" si="72"/>
        <v>1.4727971845744384E-2</v>
      </c>
      <c r="S164" s="3"/>
      <c r="T164" s="7">
        <v>3540</v>
      </c>
      <c r="U164" s="3"/>
      <c r="V164" s="8">
        <f t="shared" si="73"/>
        <v>5.5722144830354405E-3</v>
      </c>
      <c r="W164" s="3"/>
      <c r="X164" s="7">
        <f t="shared" si="74"/>
        <v>2876.01</v>
      </c>
      <c r="Y164" s="3"/>
      <c r="Z164" s="8">
        <f t="shared" si="75"/>
        <v>0.81243220338983058</v>
      </c>
    </row>
    <row r="165" spans="1:26" s="24" customFormat="1" hidden="1" outlineLevel="2" x14ac:dyDescent="0.25">
      <c r="A165" s="27"/>
      <c r="B165" s="12" t="str">
        <f>CONCATENATE("          ", "6375", " - ", "OUTSIDE REPAIRS &amp; MAINTENANCE")</f>
        <v xml:space="preserve">          6375 - OUTSIDE REPAIRS &amp; MAINTENANCE</v>
      </c>
      <c r="C165" s="12"/>
      <c r="D165" s="7">
        <v>1502.98</v>
      </c>
      <c r="E165" s="3"/>
      <c r="F165" s="8">
        <f t="shared" si="68"/>
        <v>3.4500954837534373E-3</v>
      </c>
      <c r="G165" s="3"/>
      <c r="H165" s="7">
        <v>8375</v>
      </c>
      <c r="I165" s="3"/>
      <c r="J165" s="8">
        <f t="shared" si="69"/>
        <v>1.3182852060853619E-2</v>
      </c>
      <c r="K165" s="3"/>
      <c r="L165" s="7">
        <f t="shared" si="70"/>
        <v>-6872.02</v>
      </c>
      <c r="M165" s="3"/>
      <c r="N165" s="8">
        <f t="shared" si="71"/>
        <v>-0.82053970149253741</v>
      </c>
      <c r="O165" s="12"/>
      <c r="P165" s="7">
        <v>1502.98</v>
      </c>
      <c r="Q165" s="3"/>
      <c r="R165" s="8">
        <f t="shared" si="72"/>
        <v>3.4500954837534373E-3</v>
      </c>
      <c r="S165" s="3"/>
      <c r="T165" s="7">
        <v>8375</v>
      </c>
      <c r="U165" s="3"/>
      <c r="V165" s="8">
        <f t="shared" si="73"/>
        <v>1.3182852060853619E-2</v>
      </c>
      <c r="W165" s="3"/>
      <c r="X165" s="7">
        <f t="shared" si="74"/>
        <v>-6872.02</v>
      </c>
      <c r="Y165" s="3"/>
      <c r="Z165" s="8">
        <f t="shared" si="75"/>
        <v>-0.82053970149253741</v>
      </c>
    </row>
    <row r="166" spans="1:26" s="29" customFormat="1" outlineLevel="1" collapsed="1" x14ac:dyDescent="0.25">
      <c r="A166" s="28"/>
      <c r="B166" s="14" t="str">
        <f>CONCATENATE("     ","Royalty &amp; Commissions                             ")</f>
        <v xml:space="preserve">     Royalty &amp; Commissions                             </v>
      </c>
      <c r="C166" s="14"/>
      <c r="D166" s="1">
        <f>SUM(OSRRefD22_17x_0)</f>
        <v>10989.75</v>
      </c>
      <c r="E166" s="1"/>
      <c r="F166" s="5">
        <f t="shared" ref="F166:F170" si="76">IF(D$12=0,0,D166/D$12)</f>
        <v>2.5227006907995675E-2</v>
      </c>
      <c r="G166" s="1"/>
      <c r="H166" s="1">
        <f>SUM(OSRRefH22_17x_0)</f>
        <v>6421</v>
      </c>
      <c r="I166" s="1"/>
      <c r="J166" s="5">
        <f t="shared" ref="J166:J170" si="77">IF(H$12=0,0,H166/H$12)</f>
        <v>1.0107115591969085E-2</v>
      </c>
      <c r="K166" s="1"/>
      <c r="L166" s="1">
        <f t="shared" ref="L166:L170" si="78">+D166-H166</f>
        <v>4568.75</v>
      </c>
      <c r="M166" s="1"/>
      <c r="N166" s="5">
        <f t="shared" ref="N166:N170" si="79">IF(H166=0,0,L166/H166)</f>
        <v>0.71153247157763588</v>
      </c>
      <c r="O166" s="14"/>
      <c r="P166" s="1">
        <f>SUM(OSRRefP22_17x_0)</f>
        <v>10989.75</v>
      </c>
      <c r="Q166" s="1"/>
      <c r="R166" s="5">
        <f t="shared" ref="R166:R170" si="80">IF(P$12=0,0,P166/P$12)</f>
        <v>2.5227006907995675E-2</v>
      </c>
      <c r="S166" s="1"/>
      <c r="T166" s="1">
        <f>SUM(OSRRefT22_17x_0)</f>
        <v>6421</v>
      </c>
      <c r="U166" s="1"/>
      <c r="V166" s="5">
        <f t="shared" ref="V166:V170" si="81">IF(T$12=0,0,T166/T$12)</f>
        <v>1.0107115591969085E-2</v>
      </c>
      <c r="W166" s="1"/>
      <c r="X166" s="1">
        <f t="shared" ref="X166:X170" si="82">+P166-T166</f>
        <v>4568.75</v>
      </c>
      <c r="Y166" s="1"/>
      <c r="Z166" s="5">
        <f t="shared" ref="Z166:Z170" si="83">IF(T166=0,0,X166/T166)</f>
        <v>0.71153247157763588</v>
      </c>
    </row>
    <row r="167" spans="1:26" s="24" customFormat="1" hidden="1" outlineLevel="2" x14ac:dyDescent="0.25">
      <c r="A167" s="27"/>
      <c r="B167" s="12" t="str">
        <f>CONCATENATE("          ", "6252", " - ", "ROYALTY DUE CSTV")</f>
        <v xml:space="preserve">          6252 - ROYALTY DUE CSTV</v>
      </c>
      <c r="C167" s="12"/>
      <c r="D167" s="7"/>
      <c r="E167" s="3"/>
      <c r="F167" s="8">
        <f t="shared" si="76"/>
        <v>0</v>
      </c>
      <c r="G167" s="3"/>
      <c r="H167" s="7">
        <v>1085</v>
      </c>
      <c r="I167" s="3"/>
      <c r="J167" s="8">
        <f t="shared" si="77"/>
        <v>1.7078679983314837E-3</v>
      </c>
      <c r="K167" s="3"/>
      <c r="L167" s="7">
        <f t="shared" si="78"/>
        <v>-1085</v>
      </c>
      <c r="M167" s="3"/>
      <c r="N167" s="8">
        <f t="shared" si="79"/>
        <v>-1</v>
      </c>
      <c r="O167" s="12"/>
      <c r="P167" s="7"/>
      <c r="Q167" s="3"/>
      <c r="R167" s="8">
        <f t="shared" si="80"/>
        <v>0</v>
      </c>
      <c r="S167" s="3"/>
      <c r="T167" s="7">
        <v>1085</v>
      </c>
      <c r="U167" s="3"/>
      <c r="V167" s="8">
        <f t="shared" si="81"/>
        <v>1.7078679983314837E-3</v>
      </c>
      <c r="W167" s="3"/>
      <c r="X167" s="7">
        <f t="shared" si="82"/>
        <v>-1085</v>
      </c>
      <c r="Y167" s="3"/>
      <c r="Z167" s="8">
        <f t="shared" si="83"/>
        <v>-1</v>
      </c>
    </row>
    <row r="168" spans="1:26" s="24" customFormat="1" hidden="1" outlineLevel="2" x14ac:dyDescent="0.25">
      <c r="A168" s="27"/>
      <c r="B168" s="12" t="str">
        <f>CONCATENATE("          ", "6253", " - ", "ROYALTY DUE ATHLETICS-LRG")</f>
        <v xml:space="preserve">          6253 - ROYALTY DUE ATHLETICS-LRG</v>
      </c>
      <c r="C168" s="12"/>
      <c r="D168" s="7">
        <v>5672.2</v>
      </c>
      <c r="E168" s="3"/>
      <c r="F168" s="8">
        <f t="shared" si="76"/>
        <v>1.3020553568874002E-2</v>
      </c>
      <c r="G168" s="3"/>
      <c r="H168" s="7">
        <v>4037</v>
      </c>
      <c r="I168" s="3"/>
      <c r="J168" s="8">
        <f t="shared" si="77"/>
        <v>6.3545282113034104E-3</v>
      </c>
      <c r="K168" s="3"/>
      <c r="L168" s="7">
        <f t="shared" si="78"/>
        <v>1635.1999999999998</v>
      </c>
      <c r="M168" s="3"/>
      <c r="N168" s="8">
        <f t="shared" si="79"/>
        <v>0.40505325736933362</v>
      </c>
      <c r="O168" s="12"/>
      <c r="P168" s="7">
        <v>5672.2</v>
      </c>
      <c r="Q168" s="3"/>
      <c r="R168" s="8">
        <f t="shared" si="80"/>
        <v>1.3020553568874002E-2</v>
      </c>
      <c r="S168" s="3"/>
      <c r="T168" s="7">
        <v>4037</v>
      </c>
      <c r="U168" s="3"/>
      <c r="V168" s="8">
        <f t="shared" si="81"/>
        <v>6.3545282113034104E-3</v>
      </c>
      <c r="W168" s="3"/>
      <c r="X168" s="7">
        <f t="shared" si="82"/>
        <v>1635.1999999999998</v>
      </c>
      <c r="Y168" s="3"/>
      <c r="Z168" s="8">
        <f t="shared" si="83"/>
        <v>0.40505325736933362</v>
      </c>
    </row>
    <row r="169" spans="1:26" s="24" customFormat="1" hidden="1" outlineLevel="2" x14ac:dyDescent="0.25">
      <c r="A169" s="27"/>
      <c r="B169" s="12" t="str">
        <f>CONCATENATE("          ", "6254", " - ", "ROYALTY &amp; COMMISSIONS")</f>
        <v xml:space="preserve">          6254 - ROYALTY &amp; COMMISSIONS</v>
      </c>
      <c r="C169" s="12"/>
      <c r="D169" s="7"/>
      <c r="E169" s="3"/>
      <c r="F169" s="8">
        <f t="shared" si="76"/>
        <v>0</v>
      </c>
      <c r="G169" s="3"/>
      <c r="H169" s="7">
        <v>1149</v>
      </c>
      <c r="I169" s="3"/>
      <c r="J169" s="8">
        <f t="shared" si="77"/>
        <v>1.8086085991547234E-3</v>
      </c>
      <c r="K169" s="3"/>
      <c r="L169" s="7">
        <f t="shared" si="78"/>
        <v>-1149</v>
      </c>
      <c r="M169" s="3"/>
      <c r="N169" s="8">
        <f t="shared" si="79"/>
        <v>-1</v>
      </c>
      <c r="O169" s="12"/>
      <c r="P169" s="7"/>
      <c r="Q169" s="3"/>
      <c r="R169" s="8">
        <f t="shared" si="80"/>
        <v>0</v>
      </c>
      <c r="S169" s="3"/>
      <c r="T169" s="7">
        <v>1149</v>
      </c>
      <c r="U169" s="3"/>
      <c r="V169" s="8">
        <f t="shared" si="81"/>
        <v>1.8086085991547234E-3</v>
      </c>
      <c r="W169" s="3"/>
      <c r="X169" s="7">
        <f t="shared" si="82"/>
        <v>-1149</v>
      </c>
      <c r="Y169" s="3"/>
      <c r="Z169" s="8">
        <f t="shared" si="83"/>
        <v>-1</v>
      </c>
    </row>
    <row r="170" spans="1:26" s="24" customFormat="1" hidden="1" outlineLevel="2" x14ac:dyDescent="0.25">
      <c r="A170" s="27"/>
      <c r="B170" s="12" t="str">
        <f>CONCATENATE("          ", "6259", " - ", "ROYALTY &amp; COMMISSIONS")</f>
        <v xml:space="preserve">          6259 - ROYALTY &amp; COMMISSIONS</v>
      </c>
      <c r="C170" s="12"/>
      <c r="D170" s="7">
        <v>5317.55</v>
      </c>
      <c r="E170" s="3"/>
      <c r="F170" s="8">
        <f t="shared" si="76"/>
        <v>1.2206453339121673E-2</v>
      </c>
      <c r="G170" s="3"/>
      <c r="H170" s="7">
        <v>150</v>
      </c>
      <c r="I170" s="3"/>
      <c r="J170" s="8">
        <f t="shared" si="77"/>
        <v>2.361107831794678E-4</v>
      </c>
      <c r="K170" s="3"/>
      <c r="L170" s="7">
        <f t="shared" si="78"/>
        <v>5167.55</v>
      </c>
      <c r="M170" s="3"/>
      <c r="N170" s="8">
        <f t="shared" si="79"/>
        <v>34.450333333333333</v>
      </c>
      <c r="O170" s="12"/>
      <c r="P170" s="7">
        <v>5317.55</v>
      </c>
      <c r="Q170" s="3"/>
      <c r="R170" s="8">
        <f t="shared" si="80"/>
        <v>1.2206453339121673E-2</v>
      </c>
      <c r="S170" s="3"/>
      <c r="T170" s="7">
        <v>150</v>
      </c>
      <c r="U170" s="3"/>
      <c r="V170" s="8">
        <f t="shared" si="81"/>
        <v>2.361107831794678E-4</v>
      </c>
      <c r="W170" s="3"/>
      <c r="X170" s="7">
        <f t="shared" si="82"/>
        <v>5167.55</v>
      </c>
      <c r="Y170" s="3"/>
      <c r="Z170" s="8">
        <f t="shared" si="83"/>
        <v>34.450333333333333</v>
      </c>
    </row>
    <row r="171" spans="1:26" s="29" customFormat="1" outlineLevel="1" collapsed="1" x14ac:dyDescent="0.25">
      <c r="A171" s="28"/>
      <c r="B171" s="14" t="str">
        <f>CONCATENATE("     ","Services                                          ")</f>
        <v xml:space="preserve">     Services                                          </v>
      </c>
      <c r="C171" s="14"/>
      <c r="D171" s="1">
        <f>SUM(OSRRefD22_18x_0)</f>
        <v>3883.7400000000002</v>
      </c>
      <c r="E171" s="1"/>
      <c r="F171" s="5">
        <f t="shared" ref="F171:F175" si="84">IF(D$12=0,0,D171/D$12)</f>
        <v>8.9151378155880815E-3</v>
      </c>
      <c r="G171" s="1"/>
      <c r="H171" s="1">
        <f>SUM(OSRRefH22_18x_0)</f>
        <v>4455</v>
      </c>
      <c r="I171" s="1"/>
      <c r="J171" s="5">
        <f t="shared" ref="J171:J175" si="85">IF(H$12=0,0,H171/H$12)</f>
        <v>7.0124902604301936E-3</v>
      </c>
      <c r="K171" s="1"/>
      <c r="L171" s="1">
        <f t="shared" ref="L171:L175" si="86">+D171-H171</f>
        <v>-571.25999999999976</v>
      </c>
      <c r="M171" s="1"/>
      <c r="N171" s="5">
        <f t="shared" ref="N171:N175" si="87">IF(H171=0,0,L171/H171)</f>
        <v>-0.12822895622895616</v>
      </c>
      <c r="O171" s="14"/>
      <c r="P171" s="1">
        <f>SUM(OSRRefP22_18x_0)</f>
        <v>3883.7400000000002</v>
      </c>
      <c r="Q171" s="1"/>
      <c r="R171" s="5">
        <f t="shared" ref="R171:R175" si="88">IF(P$12=0,0,P171/P$12)</f>
        <v>8.9151378155880815E-3</v>
      </c>
      <c r="S171" s="1"/>
      <c r="T171" s="1">
        <f>SUM(OSRRefT22_18x_0)</f>
        <v>4455</v>
      </c>
      <c r="U171" s="1"/>
      <c r="V171" s="5">
        <f t="shared" ref="V171:V175" si="89">IF(T$12=0,0,T171/T$12)</f>
        <v>7.0124902604301936E-3</v>
      </c>
      <c r="W171" s="1"/>
      <c r="X171" s="1">
        <f t="shared" ref="X171:X175" si="90">+P171-T171</f>
        <v>-571.25999999999976</v>
      </c>
      <c r="Y171" s="1"/>
      <c r="Z171" s="5">
        <f t="shared" ref="Z171:Z175" si="91">IF(T171=0,0,X171/T171)</f>
        <v>-0.12822895622895616</v>
      </c>
    </row>
    <row r="172" spans="1:26" s="24" customFormat="1" hidden="1" outlineLevel="2" x14ac:dyDescent="0.25">
      <c r="A172" s="27"/>
      <c r="B172" s="12" t="str">
        <f>CONCATENATE("          ", "6282", " - ", "JANITORIAL/EXTERMINATOR EXPENS")</f>
        <v xml:space="preserve">          6282 - JANITORIAL/EXTERMINATOR EXPENS</v>
      </c>
      <c r="C172" s="12"/>
      <c r="D172" s="7">
        <v>136.5</v>
      </c>
      <c r="E172" s="3"/>
      <c r="F172" s="8">
        <f t="shared" si="84"/>
        <v>3.1333619444859161E-4</v>
      </c>
      <c r="G172" s="3"/>
      <c r="H172" s="7">
        <v>4000</v>
      </c>
      <c r="I172" s="3"/>
      <c r="J172" s="8">
        <f t="shared" si="85"/>
        <v>6.2962875514524751E-3</v>
      </c>
      <c r="K172" s="3"/>
      <c r="L172" s="7">
        <f t="shared" si="86"/>
        <v>-3863.5</v>
      </c>
      <c r="M172" s="3"/>
      <c r="N172" s="8">
        <f t="shared" si="87"/>
        <v>-0.96587500000000004</v>
      </c>
      <c r="O172" s="12"/>
      <c r="P172" s="7">
        <v>136.5</v>
      </c>
      <c r="Q172" s="3"/>
      <c r="R172" s="8">
        <f t="shared" si="88"/>
        <v>3.1333619444859161E-4</v>
      </c>
      <c r="S172" s="3"/>
      <c r="T172" s="7">
        <v>4000</v>
      </c>
      <c r="U172" s="3"/>
      <c r="V172" s="8">
        <f t="shared" si="89"/>
        <v>6.2962875514524751E-3</v>
      </c>
      <c r="W172" s="3"/>
      <c r="X172" s="7">
        <f t="shared" si="90"/>
        <v>-3863.5</v>
      </c>
      <c r="Y172" s="3"/>
      <c r="Z172" s="8">
        <f t="shared" si="91"/>
        <v>-0.96587500000000004</v>
      </c>
    </row>
    <row r="173" spans="1:26" s="24" customFormat="1" hidden="1" outlineLevel="2" x14ac:dyDescent="0.25">
      <c r="A173" s="27"/>
      <c r="B173" s="12" t="str">
        <f>CONCATENATE("          ", "6283", " - ", "PLANT SERVICE")</f>
        <v xml:space="preserve">          6283 - PLANT SERVICE</v>
      </c>
      <c r="C173" s="12"/>
      <c r="D173" s="7">
        <v>130</v>
      </c>
      <c r="E173" s="3"/>
      <c r="F173" s="8">
        <f t="shared" si="84"/>
        <v>2.9841542328437295E-4</v>
      </c>
      <c r="G173" s="3"/>
      <c r="H173" s="7">
        <v>0</v>
      </c>
      <c r="I173" s="3"/>
      <c r="J173" s="8">
        <f t="shared" si="85"/>
        <v>0</v>
      </c>
      <c r="K173" s="3"/>
      <c r="L173" s="7">
        <f t="shared" si="86"/>
        <v>130</v>
      </c>
      <c r="M173" s="3"/>
      <c r="N173" s="8">
        <f t="shared" si="87"/>
        <v>0</v>
      </c>
      <c r="O173" s="12"/>
      <c r="P173" s="7">
        <v>130</v>
      </c>
      <c r="Q173" s="3"/>
      <c r="R173" s="8">
        <f t="shared" si="88"/>
        <v>2.9841542328437295E-4</v>
      </c>
      <c r="S173" s="3"/>
      <c r="T173" s="7">
        <v>0</v>
      </c>
      <c r="U173" s="3"/>
      <c r="V173" s="8">
        <f t="shared" si="89"/>
        <v>0</v>
      </c>
      <c r="W173" s="3"/>
      <c r="X173" s="7">
        <f t="shared" si="90"/>
        <v>130</v>
      </c>
      <c r="Y173" s="3"/>
      <c r="Z173" s="8">
        <f t="shared" si="91"/>
        <v>0</v>
      </c>
    </row>
    <row r="174" spans="1:26" s="24" customFormat="1" hidden="1" outlineLevel="2" x14ac:dyDescent="0.25">
      <c r="A174" s="27"/>
      <c r="B174" s="12" t="str">
        <f>CONCATENATE("          ", "6284", " - ", "TRASH REMOVAL EXPENSE")</f>
        <v xml:space="preserve">          6284 - TRASH REMOVAL EXPENSE</v>
      </c>
      <c r="C174" s="12"/>
      <c r="D174" s="7">
        <v>142.57</v>
      </c>
      <c r="E174" s="3"/>
      <c r="F174" s="8">
        <f t="shared" si="84"/>
        <v>3.2726989921271578E-4</v>
      </c>
      <c r="G174" s="3"/>
      <c r="H174" s="7">
        <v>55</v>
      </c>
      <c r="I174" s="3"/>
      <c r="J174" s="8">
        <f t="shared" si="85"/>
        <v>8.6573953832471529E-5</v>
      </c>
      <c r="K174" s="3"/>
      <c r="L174" s="7">
        <f t="shared" si="86"/>
        <v>87.57</v>
      </c>
      <c r="M174" s="3"/>
      <c r="N174" s="8">
        <f t="shared" si="87"/>
        <v>1.5921818181818181</v>
      </c>
      <c r="O174" s="12"/>
      <c r="P174" s="7">
        <v>142.57</v>
      </c>
      <c r="Q174" s="3"/>
      <c r="R174" s="8">
        <f t="shared" si="88"/>
        <v>3.2726989921271578E-4</v>
      </c>
      <c r="S174" s="3"/>
      <c r="T174" s="7">
        <v>55</v>
      </c>
      <c r="U174" s="3"/>
      <c r="V174" s="8">
        <f t="shared" si="89"/>
        <v>8.6573953832471529E-5</v>
      </c>
      <c r="W174" s="3"/>
      <c r="X174" s="7">
        <f t="shared" si="90"/>
        <v>87.57</v>
      </c>
      <c r="Y174" s="3"/>
      <c r="Z174" s="8">
        <f t="shared" si="91"/>
        <v>1.5921818181818181</v>
      </c>
    </row>
    <row r="175" spans="1:26" s="24" customFormat="1" hidden="1" outlineLevel="2" x14ac:dyDescent="0.25">
      <c r="A175" s="27"/>
      <c r="B175" s="12" t="str">
        <f>CONCATENATE("          ", "6285", " - ", "JANITORIAL SERVICES")</f>
        <v xml:space="preserve">          6285 - JANITORIAL SERVICES</v>
      </c>
      <c r="C175" s="12"/>
      <c r="D175" s="7">
        <v>3474.67</v>
      </c>
      <c r="E175" s="3"/>
      <c r="F175" s="8">
        <f t="shared" si="84"/>
        <v>7.9761162986424008E-3</v>
      </c>
      <c r="G175" s="3"/>
      <c r="H175" s="7">
        <v>400</v>
      </c>
      <c r="I175" s="3"/>
      <c r="J175" s="8">
        <f t="shared" si="85"/>
        <v>6.2962875514524746E-4</v>
      </c>
      <c r="K175" s="3"/>
      <c r="L175" s="7">
        <f t="shared" si="86"/>
        <v>3074.67</v>
      </c>
      <c r="M175" s="3"/>
      <c r="N175" s="8">
        <f t="shared" si="87"/>
        <v>7.6866750000000001</v>
      </c>
      <c r="O175" s="12"/>
      <c r="P175" s="7">
        <v>3474.67</v>
      </c>
      <c r="Q175" s="3"/>
      <c r="R175" s="8">
        <f t="shared" si="88"/>
        <v>7.9761162986424008E-3</v>
      </c>
      <c r="S175" s="3"/>
      <c r="T175" s="7">
        <v>400</v>
      </c>
      <c r="U175" s="3"/>
      <c r="V175" s="8">
        <f t="shared" si="89"/>
        <v>6.2962875514524746E-4</v>
      </c>
      <c r="W175" s="3"/>
      <c r="X175" s="7">
        <f t="shared" si="90"/>
        <v>3074.67</v>
      </c>
      <c r="Y175" s="3"/>
      <c r="Z175" s="8">
        <f t="shared" si="91"/>
        <v>7.6866750000000001</v>
      </c>
    </row>
    <row r="176" spans="1:26" s="29" customFormat="1" outlineLevel="1" collapsed="1" x14ac:dyDescent="0.25">
      <c r="A176" s="28"/>
      <c r="B176" s="14" t="str">
        <f>CONCATENATE("     ","Subscriptions &amp; Dues                              ")</f>
        <v xml:space="preserve">     Subscriptions &amp; Dues                              </v>
      </c>
      <c r="C176" s="14"/>
      <c r="D176" s="1">
        <f>SUM(OSRRefD22_19x_0)</f>
        <v>365</v>
      </c>
      <c r="E176" s="1"/>
      <c r="F176" s="5">
        <f t="shared" ref="F176:F178" si="92">IF(D$12=0,0,D176/D$12)</f>
        <v>8.3785868845227796E-4</v>
      </c>
      <c r="G176" s="1"/>
      <c r="H176" s="1">
        <f>SUM(OSRRefH22_19x_0)</f>
        <v>2495</v>
      </c>
      <c r="I176" s="1"/>
      <c r="J176" s="5">
        <f t="shared" ref="J176:J178" si="93">IF(H$12=0,0,H176/H$12)</f>
        <v>3.9273093602184813E-3</v>
      </c>
      <c r="K176" s="1"/>
      <c r="L176" s="1">
        <f t="shared" ref="L176:L178" si="94">+D176-H176</f>
        <v>-2130</v>
      </c>
      <c r="M176" s="1"/>
      <c r="N176" s="5">
        <f t="shared" ref="N176:N178" si="95">IF(H176=0,0,L176/H176)</f>
        <v>-0.85370741482965928</v>
      </c>
      <c r="O176" s="14"/>
      <c r="P176" s="1">
        <f>SUM(OSRRefP22_19x_0)</f>
        <v>365</v>
      </c>
      <c r="Q176" s="1"/>
      <c r="R176" s="5">
        <f t="shared" ref="R176:R178" si="96">IF(P$12=0,0,P176/P$12)</f>
        <v>8.3785868845227796E-4</v>
      </c>
      <c r="S176" s="1"/>
      <c r="T176" s="1">
        <f>SUM(OSRRefT22_19x_0)</f>
        <v>2495</v>
      </c>
      <c r="U176" s="1"/>
      <c r="V176" s="5">
        <f t="shared" ref="V176:V178" si="97">IF(T$12=0,0,T176/T$12)</f>
        <v>3.9273093602184813E-3</v>
      </c>
      <c r="W176" s="1"/>
      <c r="X176" s="1">
        <f t="shared" ref="X176:X178" si="98">+P176-T176</f>
        <v>-2130</v>
      </c>
      <c r="Y176" s="1"/>
      <c r="Z176" s="5">
        <f t="shared" ref="Z176:Z178" si="99">IF(T176=0,0,X176/T176)</f>
        <v>-0.85370741482965928</v>
      </c>
    </row>
    <row r="177" spans="1:26" s="24" customFormat="1" hidden="1" outlineLevel="2" x14ac:dyDescent="0.25">
      <c r="A177" s="27"/>
      <c r="B177" s="12" t="str">
        <f>CONCATENATE("          ", "6258", " - ", "MEMBERSHIP DUES")</f>
        <v xml:space="preserve">          6258 - MEMBERSHIP DUES</v>
      </c>
      <c r="C177" s="12"/>
      <c r="D177" s="7">
        <v>290</v>
      </c>
      <c r="E177" s="3"/>
      <c r="F177" s="8">
        <f t="shared" si="92"/>
        <v>6.656959442497551E-4</v>
      </c>
      <c r="G177" s="3"/>
      <c r="H177" s="7">
        <v>2495</v>
      </c>
      <c r="I177" s="3"/>
      <c r="J177" s="8">
        <f t="shared" si="93"/>
        <v>3.9273093602184813E-3</v>
      </c>
      <c r="K177" s="3"/>
      <c r="L177" s="7">
        <f t="shared" si="94"/>
        <v>-2205</v>
      </c>
      <c r="M177" s="3"/>
      <c r="N177" s="8">
        <f t="shared" si="95"/>
        <v>-0.88376753507014028</v>
      </c>
      <c r="O177" s="12"/>
      <c r="P177" s="7">
        <v>290</v>
      </c>
      <c r="Q177" s="3"/>
      <c r="R177" s="8">
        <f t="shared" si="96"/>
        <v>6.656959442497551E-4</v>
      </c>
      <c r="S177" s="3"/>
      <c r="T177" s="7">
        <v>2495</v>
      </c>
      <c r="U177" s="3"/>
      <c r="V177" s="8">
        <f t="shared" si="97"/>
        <v>3.9273093602184813E-3</v>
      </c>
      <c r="W177" s="3"/>
      <c r="X177" s="7">
        <f t="shared" si="98"/>
        <v>-2205</v>
      </c>
      <c r="Y177" s="3"/>
      <c r="Z177" s="8">
        <f t="shared" si="99"/>
        <v>-0.88376753507014028</v>
      </c>
    </row>
    <row r="178" spans="1:26" s="24" customFormat="1" hidden="1" outlineLevel="2" x14ac:dyDescent="0.25">
      <c r="A178" s="27"/>
      <c r="B178" s="12" t="str">
        <f>CONCATENATE("          ", "6275", " - ", "SUBSCRIPTIONS")</f>
        <v xml:space="preserve">          6275 - SUBSCRIPTIONS</v>
      </c>
      <c r="C178" s="12"/>
      <c r="D178" s="7">
        <v>75</v>
      </c>
      <c r="E178" s="3"/>
      <c r="F178" s="8">
        <f t="shared" si="92"/>
        <v>1.7216274420252286E-4</v>
      </c>
      <c r="G178" s="3"/>
      <c r="H178" s="7">
        <v>0</v>
      </c>
      <c r="I178" s="3"/>
      <c r="J178" s="8">
        <f t="shared" si="93"/>
        <v>0</v>
      </c>
      <c r="K178" s="3"/>
      <c r="L178" s="7">
        <f t="shared" si="94"/>
        <v>75</v>
      </c>
      <c r="M178" s="3"/>
      <c r="N178" s="8">
        <f t="shared" si="95"/>
        <v>0</v>
      </c>
      <c r="O178" s="12"/>
      <c r="P178" s="7">
        <v>75</v>
      </c>
      <c r="Q178" s="3"/>
      <c r="R178" s="8">
        <f t="shared" si="96"/>
        <v>1.7216274420252286E-4</v>
      </c>
      <c r="S178" s="3"/>
      <c r="T178" s="7">
        <v>0</v>
      </c>
      <c r="U178" s="3"/>
      <c r="V178" s="8">
        <f t="shared" si="97"/>
        <v>0</v>
      </c>
      <c r="W178" s="3"/>
      <c r="X178" s="7">
        <f t="shared" si="98"/>
        <v>75</v>
      </c>
      <c r="Y178" s="3"/>
      <c r="Z178" s="8">
        <f t="shared" si="99"/>
        <v>0</v>
      </c>
    </row>
    <row r="179" spans="1:26" s="29" customFormat="1" outlineLevel="1" collapsed="1" x14ac:dyDescent="0.25">
      <c r="A179" s="28"/>
      <c r="B179" s="14" t="str">
        <f>CONCATENATE("     ","Supplies                                          ")</f>
        <v xml:space="preserve">     Supplies                                          </v>
      </c>
      <c r="C179" s="14"/>
      <c r="D179" s="1">
        <f>SUM(OSRRefD22_20x_0)</f>
        <v>12188.04</v>
      </c>
      <c r="E179" s="1"/>
      <c r="F179" s="5">
        <f t="shared" ref="F179:F188" si="100">IF(D$12=0,0,D179/D$12)</f>
        <v>2.7977685504668226E-2</v>
      </c>
      <c r="G179" s="1"/>
      <c r="H179" s="1">
        <f>SUM(OSRRefH22_20x_0)</f>
        <v>6695</v>
      </c>
      <c r="I179" s="1"/>
      <c r="J179" s="5">
        <f t="shared" ref="J179:J188" si="101">IF(H$12=0,0,H179/H$12)</f>
        <v>1.053841128924358E-2</v>
      </c>
      <c r="K179" s="1"/>
      <c r="L179" s="1">
        <f t="shared" ref="L179:L188" si="102">+D179-H179</f>
        <v>5493.0400000000009</v>
      </c>
      <c r="M179" s="1"/>
      <c r="N179" s="5">
        <f t="shared" ref="N179:N188" si="103">IF(H179=0,0,L179/H179)</f>
        <v>0.82046900672143408</v>
      </c>
      <c r="O179" s="14"/>
      <c r="P179" s="1">
        <f>SUM(OSRRefP22_20x_0)</f>
        <v>12188.04</v>
      </c>
      <c r="Q179" s="1"/>
      <c r="R179" s="5">
        <f t="shared" ref="R179:R188" si="104">IF(P$12=0,0,P179/P$12)</f>
        <v>2.7977685504668226E-2</v>
      </c>
      <c r="S179" s="1"/>
      <c r="T179" s="1">
        <f>SUM(OSRRefT22_20x_0)</f>
        <v>6695</v>
      </c>
      <c r="U179" s="1"/>
      <c r="V179" s="5">
        <f t="shared" ref="V179:V188" si="105">IF(T$12=0,0,T179/T$12)</f>
        <v>1.053841128924358E-2</v>
      </c>
      <c r="W179" s="1"/>
      <c r="X179" s="1">
        <f t="shared" ref="X179:X188" si="106">+P179-T179</f>
        <v>5493.0400000000009</v>
      </c>
      <c r="Y179" s="1"/>
      <c r="Z179" s="5">
        <f t="shared" ref="Z179:Z188" si="107">IF(T179=0,0,X179/T179)</f>
        <v>0.82046900672143408</v>
      </c>
    </row>
    <row r="180" spans="1:26" s="24" customFormat="1" hidden="1" outlineLevel="2" x14ac:dyDescent="0.25">
      <c r="A180" s="27"/>
      <c r="B180" s="12" t="str">
        <f>CONCATENATE("          ", "6234", " - ", "EXPENDABLE SUPPLIES &amp; EQUIPMEN")</f>
        <v xml:space="preserve">          6234 - EXPENDABLE SUPPLIES &amp; EQUIPMEN</v>
      </c>
      <c r="C180" s="12"/>
      <c r="D180" s="7"/>
      <c r="E180" s="3"/>
      <c r="F180" s="8">
        <f t="shared" si="100"/>
        <v>0</v>
      </c>
      <c r="G180" s="3"/>
      <c r="H180" s="7">
        <v>150</v>
      </c>
      <c r="I180" s="3"/>
      <c r="J180" s="8">
        <f t="shared" si="101"/>
        <v>2.361107831794678E-4</v>
      </c>
      <c r="K180" s="3"/>
      <c r="L180" s="7">
        <f t="shared" si="102"/>
        <v>-150</v>
      </c>
      <c r="M180" s="3"/>
      <c r="N180" s="8">
        <f t="shared" si="103"/>
        <v>-1</v>
      </c>
      <c r="O180" s="12"/>
      <c r="P180" s="7"/>
      <c r="Q180" s="3"/>
      <c r="R180" s="8">
        <f t="shared" si="104"/>
        <v>0</v>
      </c>
      <c r="S180" s="3"/>
      <c r="T180" s="7">
        <v>150</v>
      </c>
      <c r="U180" s="3"/>
      <c r="V180" s="8">
        <f t="shared" si="105"/>
        <v>2.361107831794678E-4</v>
      </c>
      <c r="W180" s="3"/>
      <c r="X180" s="7">
        <f t="shared" si="106"/>
        <v>-150</v>
      </c>
      <c r="Y180" s="3"/>
      <c r="Z180" s="8">
        <f t="shared" si="107"/>
        <v>-1</v>
      </c>
    </row>
    <row r="181" spans="1:26" s="24" customFormat="1" hidden="1" outlineLevel="2" x14ac:dyDescent="0.25">
      <c r="A181" s="27"/>
      <c r="B181" s="12" t="str">
        <f>CONCATENATE("          ", "6235", " - ", "COVID-19 EXPENSES")</f>
        <v xml:space="preserve">          6235 - COVID-19 EXPENSES</v>
      </c>
      <c r="C181" s="12"/>
      <c r="D181" s="7">
        <v>6680.23</v>
      </c>
      <c r="E181" s="3"/>
      <c r="F181" s="8">
        <f t="shared" si="100"/>
        <v>1.5334489716053589E-2</v>
      </c>
      <c r="G181" s="3"/>
      <c r="H181" s="7">
        <v>300</v>
      </c>
      <c r="I181" s="3"/>
      <c r="J181" s="8">
        <f t="shared" si="101"/>
        <v>4.722215663589356E-4</v>
      </c>
      <c r="K181" s="3"/>
      <c r="L181" s="7">
        <f t="shared" si="102"/>
        <v>6380.23</v>
      </c>
      <c r="M181" s="3"/>
      <c r="N181" s="8">
        <f t="shared" si="103"/>
        <v>21.267433333333333</v>
      </c>
      <c r="O181" s="12"/>
      <c r="P181" s="7">
        <v>6680.23</v>
      </c>
      <c r="Q181" s="3"/>
      <c r="R181" s="8">
        <f t="shared" si="104"/>
        <v>1.5334489716053589E-2</v>
      </c>
      <c r="S181" s="3"/>
      <c r="T181" s="7">
        <v>300</v>
      </c>
      <c r="U181" s="3"/>
      <c r="V181" s="8">
        <f t="shared" si="105"/>
        <v>4.722215663589356E-4</v>
      </c>
      <c r="W181" s="3"/>
      <c r="X181" s="7">
        <f t="shared" si="106"/>
        <v>6380.23</v>
      </c>
      <c r="Y181" s="3"/>
      <c r="Z181" s="8">
        <f t="shared" si="107"/>
        <v>21.267433333333333</v>
      </c>
    </row>
    <row r="182" spans="1:26" s="24" customFormat="1" hidden="1" outlineLevel="2" x14ac:dyDescent="0.25">
      <c r="A182" s="27"/>
      <c r="B182" s="12" t="str">
        <f>CONCATENATE("          ", "6237", " - ", "JANITORIAL SUPPLIES")</f>
        <v xml:space="preserve">          6237 - JANITORIAL SUPPLIES</v>
      </c>
      <c r="C182" s="12"/>
      <c r="D182" s="7">
        <v>139.31</v>
      </c>
      <c r="E182" s="3"/>
      <c r="F182" s="8">
        <f t="shared" si="100"/>
        <v>3.1978655859804615E-4</v>
      </c>
      <c r="G182" s="3"/>
      <c r="H182" s="7">
        <v>260</v>
      </c>
      <c r="I182" s="3"/>
      <c r="J182" s="8">
        <f t="shared" si="101"/>
        <v>4.0925869084441088E-4</v>
      </c>
      <c r="K182" s="3"/>
      <c r="L182" s="7">
        <f t="shared" si="102"/>
        <v>-120.69</v>
      </c>
      <c r="M182" s="3"/>
      <c r="N182" s="8">
        <f t="shared" si="103"/>
        <v>-0.46419230769230768</v>
      </c>
      <c r="O182" s="12"/>
      <c r="P182" s="7">
        <v>139.31</v>
      </c>
      <c r="Q182" s="3"/>
      <c r="R182" s="8">
        <f t="shared" si="104"/>
        <v>3.1978655859804615E-4</v>
      </c>
      <c r="S182" s="3"/>
      <c r="T182" s="7">
        <v>260</v>
      </c>
      <c r="U182" s="3"/>
      <c r="V182" s="8">
        <f t="shared" si="105"/>
        <v>4.0925869084441088E-4</v>
      </c>
      <c r="W182" s="3"/>
      <c r="X182" s="7">
        <f t="shared" si="106"/>
        <v>-120.69</v>
      </c>
      <c r="Y182" s="3"/>
      <c r="Z182" s="8">
        <f t="shared" si="107"/>
        <v>-0.46419230769230768</v>
      </c>
    </row>
    <row r="183" spans="1:26" s="24" customFormat="1" hidden="1" outlineLevel="2" x14ac:dyDescent="0.25">
      <c r="A183" s="27"/>
      <c r="B183" s="12" t="str">
        <f>CONCATENATE("          ", "6241", " - ", "OFFICE EXPENSE")</f>
        <v xml:space="preserve">          6241 - OFFICE EXPENSE</v>
      </c>
      <c r="C183" s="12"/>
      <c r="D183" s="7">
        <v>430.41</v>
      </c>
      <c r="E183" s="3"/>
      <c r="F183" s="8">
        <f t="shared" si="100"/>
        <v>9.8800755642943828E-4</v>
      </c>
      <c r="G183" s="3"/>
      <c r="H183" s="7">
        <v>535</v>
      </c>
      <c r="I183" s="3"/>
      <c r="J183" s="8">
        <f t="shared" si="101"/>
        <v>8.421284600067685E-4</v>
      </c>
      <c r="K183" s="3"/>
      <c r="L183" s="7">
        <f t="shared" si="102"/>
        <v>-104.58999999999997</v>
      </c>
      <c r="M183" s="3"/>
      <c r="N183" s="8">
        <f t="shared" si="103"/>
        <v>-0.19549532710280368</v>
      </c>
      <c r="O183" s="12"/>
      <c r="P183" s="7">
        <v>430.41</v>
      </c>
      <c r="Q183" s="3"/>
      <c r="R183" s="8">
        <f t="shared" si="104"/>
        <v>9.8800755642943828E-4</v>
      </c>
      <c r="S183" s="3"/>
      <c r="T183" s="7">
        <v>535</v>
      </c>
      <c r="U183" s="3"/>
      <c r="V183" s="8">
        <f t="shared" si="105"/>
        <v>8.421284600067685E-4</v>
      </c>
      <c r="W183" s="3"/>
      <c r="X183" s="7">
        <f t="shared" si="106"/>
        <v>-104.58999999999997</v>
      </c>
      <c r="Y183" s="3"/>
      <c r="Z183" s="8">
        <f t="shared" si="107"/>
        <v>-0.19549532710280368</v>
      </c>
    </row>
    <row r="184" spans="1:26" s="24" customFormat="1" hidden="1" outlineLevel="2" x14ac:dyDescent="0.25">
      <c r="A184" s="27"/>
      <c r="B184" s="12" t="str">
        <f>CONCATENATE("          ", "6243", " - ", "PAPER SUPPLIES")</f>
        <v xml:space="preserve">          6243 - PAPER SUPPLIES</v>
      </c>
      <c r="C184" s="12"/>
      <c r="D184" s="7">
        <v>1080</v>
      </c>
      <c r="E184" s="3"/>
      <c r="F184" s="8">
        <f t="shared" si="100"/>
        <v>2.4791435165163293E-3</v>
      </c>
      <c r="G184" s="3"/>
      <c r="H184" s="7">
        <v>750</v>
      </c>
      <c r="I184" s="3"/>
      <c r="J184" s="8">
        <f t="shared" si="101"/>
        <v>1.1805539158973391E-3</v>
      </c>
      <c r="K184" s="3"/>
      <c r="L184" s="7">
        <f t="shared" si="102"/>
        <v>330</v>
      </c>
      <c r="M184" s="3"/>
      <c r="N184" s="8">
        <f t="shared" si="103"/>
        <v>0.44</v>
      </c>
      <c r="O184" s="12"/>
      <c r="P184" s="7">
        <v>1080</v>
      </c>
      <c r="Q184" s="3"/>
      <c r="R184" s="8">
        <f t="shared" si="104"/>
        <v>2.4791435165163293E-3</v>
      </c>
      <c r="S184" s="3"/>
      <c r="T184" s="7">
        <v>750</v>
      </c>
      <c r="U184" s="3"/>
      <c r="V184" s="8">
        <f t="shared" si="105"/>
        <v>1.1805539158973391E-3</v>
      </c>
      <c r="W184" s="3"/>
      <c r="X184" s="7">
        <f t="shared" si="106"/>
        <v>330</v>
      </c>
      <c r="Y184" s="3"/>
      <c r="Z184" s="8">
        <f t="shared" si="107"/>
        <v>0.44</v>
      </c>
    </row>
    <row r="185" spans="1:26" s="24" customFormat="1" hidden="1" outlineLevel="2" x14ac:dyDescent="0.25">
      <c r="A185" s="27"/>
      <c r="B185" s="12" t="str">
        <f>CONCATENATE("          ", "6244", " - ", "SAFETY SUPPLY EXPENSE")</f>
        <v xml:space="preserve">          6244 - SAFETY SUPPLY EXPENSE</v>
      </c>
      <c r="C185" s="12"/>
      <c r="D185" s="7"/>
      <c r="E185" s="3"/>
      <c r="F185" s="8">
        <f t="shared" si="100"/>
        <v>0</v>
      </c>
      <c r="G185" s="3"/>
      <c r="H185" s="7">
        <v>25</v>
      </c>
      <c r="I185" s="3"/>
      <c r="J185" s="8">
        <f t="shared" si="101"/>
        <v>3.9351797196577966E-5</v>
      </c>
      <c r="K185" s="3"/>
      <c r="L185" s="7">
        <f t="shared" si="102"/>
        <v>-25</v>
      </c>
      <c r="M185" s="3"/>
      <c r="N185" s="8">
        <f t="shared" si="103"/>
        <v>-1</v>
      </c>
      <c r="O185" s="12"/>
      <c r="P185" s="7"/>
      <c r="Q185" s="3"/>
      <c r="R185" s="8">
        <f t="shared" si="104"/>
        <v>0</v>
      </c>
      <c r="S185" s="3"/>
      <c r="T185" s="7">
        <v>25</v>
      </c>
      <c r="U185" s="3"/>
      <c r="V185" s="8">
        <f t="shared" si="105"/>
        <v>3.9351797196577966E-5</v>
      </c>
      <c r="W185" s="3"/>
      <c r="X185" s="7">
        <f t="shared" si="106"/>
        <v>-25</v>
      </c>
      <c r="Y185" s="3"/>
      <c r="Z185" s="8">
        <f t="shared" si="107"/>
        <v>-1</v>
      </c>
    </row>
    <row r="186" spans="1:26" s="24" customFormat="1" hidden="1" outlineLevel="2" x14ac:dyDescent="0.25">
      <c r="A186" s="27"/>
      <c r="B186" s="12" t="str">
        <f>CONCATENATE("          ", "6245", " - ", "PRINTING")</f>
        <v xml:space="preserve">          6245 - PRINTING</v>
      </c>
      <c r="C186" s="12"/>
      <c r="D186" s="7">
        <v>-1543.5</v>
      </c>
      <c r="E186" s="3"/>
      <c r="F186" s="8">
        <f t="shared" si="100"/>
        <v>-3.5431092756879204E-3</v>
      </c>
      <c r="G186" s="3"/>
      <c r="H186" s="7">
        <v>350</v>
      </c>
      <c r="I186" s="3"/>
      <c r="J186" s="8">
        <f t="shared" si="101"/>
        <v>5.509251607520915E-4</v>
      </c>
      <c r="K186" s="3"/>
      <c r="L186" s="7">
        <f t="shared" si="102"/>
        <v>-1893.5</v>
      </c>
      <c r="M186" s="3"/>
      <c r="N186" s="8">
        <f t="shared" si="103"/>
        <v>-5.41</v>
      </c>
      <c r="O186" s="12"/>
      <c r="P186" s="7">
        <v>-1543.5</v>
      </c>
      <c r="Q186" s="3"/>
      <c r="R186" s="8">
        <f t="shared" si="104"/>
        <v>-3.5431092756879204E-3</v>
      </c>
      <c r="S186" s="3"/>
      <c r="T186" s="7">
        <v>350</v>
      </c>
      <c r="U186" s="3"/>
      <c r="V186" s="8">
        <f t="shared" si="105"/>
        <v>5.509251607520915E-4</v>
      </c>
      <c r="W186" s="3"/>
      <c r="X186" s="7">
        <f t="shared" si="106"/>
        <v>-1893.5</v>
      </c>
      <c r="Y186" s="3"/>
      <c r="Z186" s="8">
        <f t="shared" si="107"/>
        <v>-5.41</v>
      </c>
    </row>
    <row r="187" spans="1:26" s="24" customFormat="1" hidden="1" outlineLevel="2" x14ac:dyDescent="0.25">
      <c r="A187" s="27"/>
      <c r="B187" s="12" t="str">
        <f>CONCATENATE("          ", "6247", " - ", "STORE SUPPLIES")</f>
        <v xml:space="preserve">          6247 - STORE SUPPLIES</v>
      </c>
      <c r="C187" s="12"/>
      <c r="D187" s="7">
        <v>5401.59</v>
      </c>
      <c r="E187" s="3"/>
      <c r="F187" s="8">
        <f t="shared" si="100"/>
        <v>1.239936743275874E-2</v>
      </c>
      <c r="G187" s="3"/>
      <c r="H187" s="7">
        <v>2825</v>
      </c>
      <c r="I187" s="3"/>
      <c r="J187" s="8">
        <f t="shared" si="101"/>
        <v>4.4467530832133107E-3</v>
      </c>
      <c r="K187" s="3"/>
      <c r="L187" s="7">
        <f t="shared" si="102"/>
        <v>2576.59</v>
      </c>
      <c r="M187" s="3"/>
      <c r="N187" s="8">
        <f t="shared" si="103"/>
        <v>0.91206725663716814</v>
      </c>
      <c r="O187" s="12"/>
      <c r="P187" s="7">
        <v>5401.59</v>
      </c>
      <c r="Q187" s="3"/>
      <c r="R187" s="8">
        <f t="shared" si="104"/>
        <v>1.239936743275874E-2</v>
      </c>
      <c r="S187" s="3"/>
      <c r="T187" s="7">
        <v>2825</v>
      </c>
      <c r="U187" s="3"/>
      <c r="V187" s="8">
        <f t="shared" si="105"/>
        <v>4.4467530832133107E-3</v>
      </c>
      <c r="W187" s="3"/>
      <c r="X187" s="7">
        <f t="shared" si="106"/>
        <v>2576.59</v>
      </c>
      <c r="Y187" s="3"/>
      <c r="Z187" s="8">
        <f t="shared" si="107"/>
        <v>0.91206725663716814</v>
      </c>
    </row>
    <row r="188" spans="1:26" s="24" customFormat="1" hidden="1" outlineLevel="2" x14ac:dyDescent="0.25">
      <c r="A188" s="27"/>
      <c r="B188" s="12" t="str">
        <f>CONCATENATE("          ", "6248", " - ", "UNIFORMS")</f>
        <v xml:space="preserve">          6248 - UNIFORMS</v>
      </c>
      <c r="C188" s="12"/>
      <c r="D188" s="7"/>
      <c r="E188" s="3"/>
      <c r="F188" s="8">
        <f t="shared" si="100"/>
        <v>0</v>
      </c>
      <c r="G188" s="3"/>
      <c r="H188" s="7">
        <v>1500</v>
      </c>
      <c r="I188" s="3"/>
      <c r="J188" s="8">
        <f t="shared" si="101"/>
        <v>2.3611078317946782E-3</v>
      </c>
      <c r="K188" s="3"/>
      <c r="L188" s="7">
        <f t="shared" si="102"/>
        <v>-1500</v>
      </c>
      <c r="M188" s="3"/>
      <c r="N188" s="8">
        <f t="shared" si="103"/>
        <v>-1</v>
      </c>
      <c r="O188" s="12"/>
      <c r="P188" s="7"/>
      <c r="Q188" s="3"/>
      <c r="R188" s="8">
        <f t="shared" si="104"/>
        <v>0</v>
      </c>
      <c r="S188" s="3"/>
      <c r="T188" s="7">
        <v>1500</v>
      </c>
      <c r="U188" s="3"/>
      <c r="V188" s="8">
        <f t="shared" si="105"/>
        <v>2.3611078317946782E-3</v>
      </c>
      <c r="W188" s="3"/>
      <c r="X188" s="7">
        <f t="shared" si="106"/>
        <v>-1500</v>
      </c>
      <c r="Y188" s="3"/>
      <c r="Z188" s="8">
        <f t="shared" si="107"/>
        <v>-1</v>
      </c>
    </row>
    <row r="189" spans="1:26" s="29" customFormat="1" outlineLevel="1" collapsed="1" x14ac:dyDescent="0.25">
      <c r="A189" s="28"/>
      <c r="B189" s="14" t="str">
        <f>CONCATENATE("     ","Telephone/Data Lines                              ")</f>
        <v xml:space="preserve">     Telephone/Data Lines                              </v>
      </c>
      <c r="C189" s="14"/>
      <c r="D189" s="1">
        <f>SUM(OSRRefD22_21x_0)</f>
        <v>2678.05</v>
      </c>
      <c r="E189" s="1"/>
      <c r="F189" s="5">
        <f t="shared" ref="F189:F191" si="108">IF(D$12=0,0,D189/D$12)</f>
        <v>6.147472494820885E-3</v>
      </c>
      <c r="G189" s="1"/>
      <c r="H189" s="1">
        <f>SUM(OSRRefH22_21x_0)</f>
        <v>2555</v>
      </c>
      <c r="I189" s="1"/>
      <c r="J189" s="5">
        <f t="shared" ref="J189:J191" si="109">IF(H$12=0,0,H189/H$12)</f>
        <v>4.0217536734902682E-3</v>
      </c>
      <c r="K189" s="1"/>
      <c r="L189" s="1">
        <f t="shared" ref="L189:L191" si="110">+D189-H189</f>
        <v>123.05000000000018</v>
      </c>
      <c r="M189" s="1"/>
      <c r="N189" s="5">
        <f t="shared" ref="N189:N191" si="111">IF(H189=0,0,L189/H189)</f>
        <v>4.8160469667319052E-2</v>
      </c>
      <c r="O189" s="14"/>
      <c r="P189" s="1">
        <f>SUM(OSRRefP22_21x_0)</f>
        <v>2678.05</v>
      </c>
      <c r="Q189" s="1"/>
      <c r="R189" s="5">
        <f t="shared" ref="R189:R191" si="112">IF(P$12=0,0,P189/P$12)</f>
        <v>6.147472494820885E-3</v>
      </c>
      <c r="S189" s="1"/>
      <c r="T189" s="1">
        <f>SUM(OSRRefT22_21x_0)</f>
        <v>2555</v>
      </c>
      <c r="U189" s="1"/>
      <c r="V189" s="5">
        <f t="shared" ref="V189:V191" si="113">IF(T$12=0,0,T189/T$12)</f>
        <v>4.0217536734902682E-3</v>
      </c>
      <c r="W189" s="1"/>
      <c r="X189" s="1">
        <f t="shared" ref="X189:X191" si="114">+P189-T189</f>
        <v>123.05000000000018</v>
      </c>
      <c r="Y189" s="1"/>
      <c r="Z189" s="5">
        <f t="shared" ref="Z189:Z191" si="115">IF(T189=0,0,X189/T189)</f>
        <v>4.8160469667319052E-2</v>
      </c>
    </row>
    <row r="190" spans="1:26" s="24" customFormat="1" hidden="1" outlineLevel="2" x14ac:dyDescent="0.25">
      <c r="A190" s="27"/>
      <c r="B190" s="12" t="str">
        <f>CONCATENATE("          ", "6303", " - ", "DATA PHONE LINES")</f>
        <v xml:space="preserve">          6303 - DATA PHONE LINES</v>
      </c>
      <c r="C190" s="12"/>
      <c r="D190" s="7">
        <v>295</v>
      </c>
      <c r="E190" s="3"/>
      <c r="F190" s="8">
        <f t="shared" si="108"/>
        <v>6.7717346052992321E-4</v>
      </c>
      <c r="G190" s="3"/>
      <c r="H190" s="7">
        <v>630</v>
      </c>
      <c r="I190" s="3"/>
      <c r="J190" s="8">
        <f t="shared" si="109"/>
        <v>9.9166528935376477E-4</v>
      </c>
      <c r="K190" s="3"/>
      <c r="L190" s="7">
        <f t="shared" si="110"/>
        <v>-335</v>
      </c>
      <c r="M190" s="3"/>
      <c r="N190" s="8">
        <f t="shared" si="111"/>
        <v>-0.53174603174603174</v>
      </c>
      <c r="O190" s="12"/>
      <c r="P190" s="7">
        <v>295</v>
      </c>
      <c r="Q190" s="3"/>
      <c r="R190" s="8">
        <f t="shared" si="112"/>
        <v>6.7717346052992321E-4</v>
      </c>
      <c r="S190" s="3"/>
      <c r="T190" s="7">
        <v>630</v>
      </c>
      <c r="U190" s="3"/>
      <c r="V190" s="8">
        <f t="shared" si="113"/>
        <v>9.9166528935376477E-4</v>
      </c>
      <c r="W190" s="3"/>
      <c r="X190" s="7">
        <f t="shared" si="114"/>
        <v>-335</v>
      </c>
      <c r="Y190" s="3"/>
      <c r="Z190" s="8">
        <f t="shared" si="115"/>
        <v>-0.53174603174603174</v>
      </c>
    </row>
    <row r="191" spans="1:26" s="24" customFormat="1" hidden="1" outlineLevel="2" x14ac:dyDescent="0.25">
      <c r="A191" s="27"/>
      <c r="B191" s="12" t="str">
        <f>CONCATENATE("          ", "6309", " - ", "TELEPHONE")</f>
        <v xml:space="preserve">          6309 - TELEPHONE</v>
      </c>
      <c r="C191" s="12"/>
      <c r="D191" s="7">
        <v>2383.0500000000002</v>
      </c>
      <c r="E191" s="3"/>
      <c r="F191" s="8">
        <f t="shared" si="108"/>
        <v>5.4702990342909621E-3</v>
      </c>
      <c r="G191" s="3"/>
      <c r="H191" s="7">
        <v>1925</v>
      </c>
      <c r="I191" s="3"/>
      <c r="J191" s="8">
        <f t="shared" si="109"/>
        <v>3.0300883841365036E-3</v>
      </c>
      <c r="K191" s="3"/>
      <c r="L191" s="7">
        <f t="shared" si="110"/>
        <v>458.05000000000018</v>
      </c>
      <c r="M191" s="3"/>
      <c r="N191" s="8">
        <f t="shared" si="111"/>
        <v>0.23794805194805205</v>
      </c>
      <c r="O191" s="12"/>
      <c r="P191" s="7">
        <v>2383.0500000000002</v>
      </c>
      <c r="Q191" s="3"/>
      <c r="R191" s="8">
        <f t="shared" si="112"/>
        <v>5.4702990342909621E-3</v>
      </c>
      <c r="S191" s="3"/>
      <c r="T191" s="7">
        <v>1925</v>
      </c>
      <c r="U191" s="3"/>
      <c r="V191" s="8">
        <f t="shared" si="113"/>
        <v>3.0300883841365036E-3</v>
      </c>
      <c r="W191" s="3"/>
      <c r="X191" s="7">
        <f t="shared" si="114"/>
        <v>458.05000000000018</v>
      </c>
      <c r="Y191" s="3"/>
      <c r="Z191" s="8">
        <f t="shared" si="115"/>
        <v>0.23794805194805205</v>
      </c>
    </row>
    <row r="192" spans="1:26" s="29" customFormat="1" outlineLevel="1" collapsed="1" x14ac:dyDescent="0.25">
      <c r="A192" s="28"/>
      <c r="B192" s="14" t="str">
        <f>CONCATENATE("     ","Training                                          ")</f>
        <v xml:space="preserve">     Training                                          </v>
      </c>
      <c r="C192" s="14"/>
      <c r="D192" s="1">
        <f>SUM(OSRRefD22_22x_0)</f>
        <v>131.63</v>
      </c>
      <c r="E192" s="1"/>
      <c r="F192" s="5">
        <f t="shared" ref="F192:F197" si="116">IF(D$12=0,0,D192/D$12)</f>
        <v>3.0215709359170779E-4</v>
      </c>
      <c r="G192" s="1"/>
      <c r="H192" s="1">
        <f>SUM(OSRRefH22_22x_0)</f>
        <v>0</v>
      </c>
      <c r="I192" s="1"/>
      <c r="J192" s="5">
        <f t="shared" ref="J192:J197" si="117">IF(H$12=0,0,H192/H$12)</f>
        <v>0</v>
      </c>
      <c r="K192" s="1"/>
      <c r="L192" s="1">
        <f t="shared" ref="L192:L197" si="118">+D192-H192</f>
        <v>131.63</v>
      </c>
      <c r="M192" s="1"/>
      <c r="N192" s="5">
        <f t="shared" ref="N192:N197" si="119">IF(H192=0,0,L192/H192)</f>
        <v>0</v>
      </c>
      <c r="O192" s="14"/>
      <c r="P192" s="1">
        <f>SUM(OSRRefP22_22x_0)</f>
        <v>131.63</v>
      </c>
      <c r="Q192" s="1"/>
      <c r="R192" s="5">
        <f t="shared" ref="R192:R197" si="120">IF(P$12=0,0,P192/P$12)</f>
        <v>3.0215709359170779E-4</v>
      </c>
      <c r="S192" s="1"/>
      <c r="T192" s="1">
        <f>SUM(OSRRefT22_22x_0)</f>
        <v>0</v>
      </c>
      <c r="U192" s="1"/>
      <c r="V192" s="5">
        <f t="shared" ref="V192:V197" si="121">IF(T$12=0,0,T192/T$12)</f>
        <v>0</v>
      </c>
      <c r="W192" s="1"/>
      <c r="X192" s="1">
        <f t="shared" ref="X192:X197" si="122">+P192-T192</f>
        <v>131.63</v>
      </c>
      <c r="Y192" s="1"/>
      <c r="Z192" s="5">
        <f t="shared" ref="Z192:Z197" si="123">IF(T192=0,0,X192/T192)</f>
        <v>0</v>
      </c>
    </row>
    <row r="193" spans="1:26" s="24" customFormat="1" hidden="1" outlineLevel="2" x14ac:dyDescent="0.25">
      <c r="A193" s="27"/>
      <c r="B193" s="12" t="str">
        <f>CONCATENATE("          ", "6376", " - ", "TRAINING")</f>
        <v xml:space="preserve">          6376 - TRAINING</v>
      </c>
      <c r="C193" s="12"/>
      <c r="D193" s="7">
        <v>131.63</v>
      </c>
      <c r="E193" s="3"/>
      <c r="F193" s="8">
        <f t="shared" si="116"/>
        <v>3.0215709359170779E-4</v>
      </c>
      <c r="G193" s="3"/>
      <c r="H193" s="7">
        <v>0</v>
      </c>
      <c r="I193" s="3"/>
      <c r="J193" s="8">
        <f t="shared" si="117"/>
        <v>0</v>
      </c>
      <c r="K193" s="3"/>
      <c r="L193" s="7">
        <f t="shared" si="118"/>
        <v>131.63</v>
      </c>
      <c r="M193" s="3"/>
      <c r="N193" s="8">
        <f t="shared" si="119"/>
        <v>0</v>
      </c>
      <c r="O193" s="12"/>
      <c r="P193" s="7">
        <v>131.63</v>
      </c>
      <c r="Q193" s="3"/>
      <c r="R193" s="8">
        <f t="shared" si="120"/>
        <v>3.0215709359170779E-4</v>
      </c>
      <c r="S193" s="3"/>
      <c r="T193" s="7">
        <v>0</v>
      </c>
      <c r="U193" s="3"/>
      <c r="V193" s="8">
        <f t="shared" si="121"/>
        <v>0</v>
      </c>
      <c r="W193" s="3"/>
      <c r="X193" s="7">
        <f t="shared" si="122"/>
        <v>131.63</v>
      </c>
      <c r="Y193" s="3"/>
      <c r="Z193" s="8">
        <f t="shared" si="123"/>
        <v>0</v>
      </c>
    </row>
    <row r="194" spans="1:26" s="29" customFormat="1" outlineLevel="1" collapsed="1" x14ac:dyDescent="0.25">
      <c r="A194" s="28"/>
      <c r="B194" s="14" t="str">
        <f>CONCATENATE("     ","Travel                                            ")</f>
        <v xml:space="preserve">     Travel                                            </v>
      </c>
      <c r="C194" s="14"/>
      <c r="D194" s="1">
        <f>SUM(OSRRefD22_23x_0)</f>
        <v>275.20999999999998</v>
      </c>
      <c r="E194" s="1"/>
      <c r="F194" s="5">
        <f t="shared" si="116"/>
        <v>6.317454510930175E-4</v>
      </c>
      <c r="G194" s="1"/>
      <c r="H194" s="1">
        <f>SUM(OSRRefH22_23x_0)</f>
        <v>50</v>
      </c>
      <c r="I194" s="1"/>
      <c r="J194" s="5">
        <f t="shared" si="117"/>
        <v>7.8703594393155933E-5</v>
      </c>
      <c r="K194" s="1"/>
      <c r="L194" s="1">
        <f t="shared" si="118"/>
        <v>225.20999999999998</v>
      </c>
      <c r="M194" s="1"/>
      <c r="N194" s="5">
        <f t="shared" si="119"/>
        <v>4.5042</v>
      </c>
      <c r="O194" s="14"/>
      <c r="P194" s="1">
        <f>SUM(OSRRefP22_23x_0)</f>
        <v>275.20999999999998</v>
      </c>
      <c r="Q194" s="1"/>
      <c r="R194" s="5">
        <f t="shared" si="120"/>
        <v>6.317454510930175E-4</v>
      </c>
      <c r="S194" s="1"/>
      <c r="T194" s="1">
        <f>SUM(OSRRefT22_23x_0)</f>
        <v>50</v>
      </c>
      <c r="U194" s="1"/>
      <c r="V194" s="5">
        <f t="shared" si="121"/>
        <v>7.8703594393155933E-5</v>
      </c>
      <c r="W194" s="1"/>
      <c r="X194" s="1">
        <f t="shared" si="122"/>
        <v>225.20999999999998</v>
      </c>
      <c r="Y194" s="1"/>
      <c r="Z194" s="5">
        <f t="shared" si="123"/>
        <v>4.5042</v>
      </c>
    </row>
    <row r="195" spans="1:26" s="24" customFormat="1" hidden="1" outlineLevel="2" x14ac:dyDescent="0.25">
      <c r="A195" s="27"/>
      <c r="B195" s="12" t="str">
        <f>CONCATENATE("          ", "6292", " - ", "TRAVEL/CONFERENCE")</f>
        <v xml:space="preserve">          6292 - TRAVEL/CONFERENCE</v>
      </c>
      <c r="C195" s="12"/>
      <c r="D195" s="7">
        <v>0.16</v>
      </c>
      <c r="E195" s="3"/>
      <c r="F195" s="8">
        <f t="shared" si="116"/>
        <v>3.6728052096538211E-7</v>
      </c>
      <c r="G195" s="3"/>
      <c r="H195" s="7"/>
      <c r="I195" s="3"/>
      <c r="J195" s="8">
        <f t="shared" si="117"/>
        <v>0</v>
      </c>
      <c r="K195" s="3"/>
      <c r="L195" s="7">
        <f t="shared" si="118"/>
        <v>0.16</v>
      </c>
      <c r="M195" s="3"/>
      <c r="N195" s="8">
        <f t="shared" si="119"/>
        <v>0</v>
      </c>
      <c r="O195" s="12"/>
      <c r="P195" s="7">
        <v>0.16</v>
      </c>
      <c r="Q195" s="3"/>
      <c r="R195" s="8">
        <f t="shared" si="120"/>
        <v>3.6728052096538211E-7</v>
      </c>
      <c r="S195" s="3"/>
      <c r="T195" s="7"/>
      <c r="U195" s="3"/>
      <c r="V195" s="8">
        <f t="shared" si="121"/>
        <v>0</v>
      </c>
      <c r="W195" s="3"/>
      <c r="X195" s="7">
        <f t="shared" si="122"/>
        <v>0.16</v>
      </c>
      <c r="Y195" s="3"/>
      <c r="Z195" s="8">
        <f t="shared" si="123"/>
        <v>0</v>
      </c>
    </row>
    <row r="196" spans="1:26" s="24" customFormat="1" hidden="1" outlineLevel="2" x14ac:dyDescent="0.25">
      <c r="A196" s="27"/>
      <c r="B196" s="12" t="str">
        <f>CONCATENATE("          ", "6294", " - ", "TRAVEL OPERATIONAL")</f>
        <v xml:space="preserve">          6294 - TRAVEL OPERATIONAL</v>
      </c>
      <c r="C196" s="12"/>
      <c r="D196" s="7">
        <v>215.16</v>
      </c>
      <c r="E196" s="3"/>
      <c r="F196" s="8">
        <f t="shared" si="116"/>
        <v>4.9390048056819757E-4</v>
      </c>
      <c r="G196" s="3"/>
      <c r="H196" s="7">
        <v>25</v>
      </c>
      <c r="I196" s="3"/>
      <c r="J196" s="8">
        <f t="shared" si="117"/>
        <v>3.9351797196577966E-5</v>
      </c>
      <c r="K196" s="3"/>
      <c r="L196" s="7">
        <f t="shared" si="118"/>
        <v>190.16</v>
      </c>
      <c r="M196" s="3"/>
      <c r="N196" s="8">
        <f t="shared" si="119"/>
        <v>7.6063999999999998</v>
      </c>
      <c r="O196" s="12"/>
      <c r="P196" s="7">
        <v>215.16</v>
      </c>
      <c r="Q196" s="3"/>
      <c r="R196" s="8">
        <f t="shared" si="120"/>
        <v>4.9390048056819757E-4</v>
      </c>
      <c r="S196" s="3"/>
      <c r="T196" s="7">
        <v>25</v>
      </c>
      <c r="U196" s="3"/>
      <c r="V196" s="8">
        <f t="shared" si="121"/>
        <v>3.9351797196577966E-5</v>
      </c>
      <c r="W196" s="3"/>
      <c r="X196" s="7">
        <f t="shared" si="122"/>
        <v>190.16</v>
      </c>
      <c r="Y196" s="3"/>
      <c r="Z196" s="8">
        <f t="shared" si="123"/>
        <v>7.6063999999999998</v>
      </c>
    </row>
    <row r="197" spans="1:26" s="24" customFormat="1" hidden="1" outlineLevel="2" x14ac:dyDescent="0.25">
      <c r="A197" s="27"/>
      <c r="B197" s="12" t="str">
        <f>CONCATENATE("          ", "6298", " - ", "VEHICLE MILEAGE")</f>
        <v xml:space="preserve">          6298 - VEHICLE MILEAGE</v>
      </c>
      <c r="C197" s="12"/>
      <c r="D197" s="7">
        <v>59.89</v>
      </c>
      <c r="E197" s="3"/>
      <c r="F197" s="8">
        <f t="shared" si="116"/>
        <v>1.3747769000385459E-4</v>
      </c>
      <c r="G197" s="3"/>
      <c r="H197" s="7">
        <v>25</v>
      </c>
      <c r="I197" s="3"/>
      <c r="J197" s="8">
        <f t="shared" si="117"/>
        <v>3.9351797196577966E-5</v>
      </c>
      <c r="K197" s="3"/>
      <c r="L197" s="7">
        <f t="shared" si="118"/>
        <v>34.89</v>
      </c>
      <c r="M197" s="3"/>
      <c r="N197" s="8">
        <f t="shared" si="119"/>
        <v>1.3956</v>
      </c>
      <c r="O197" s="12"/>
      <c r="P197" s="7">
        <v>59.89</v>
      </c>
      <c r="Q197" s="3"/>
      <c r="R197" s="8">
        <f t="shared" si="120"/>
        <v>1.3747769000385459E-4</v>
      </c>
      <c r="S197" s="3"/>
      <c r="T197" s="7">
        <v>25</v>
      </c>
      <c r="U197" s="3"/>
      <c r="V197" s="8">
        <f t="shared" si="121"/>
        <v>3.9351797196577966E-5</v>
      </c>
      <c r="W197" s="3"/>
      <c r="X197" s="7">
        <f t="shared" si="122"/>
        <v>34.89</v>
      </c>
      <c r="Y197" s="3"/>
      <c r="Z197" s="8">
        <f t="shared" si="123"/>
        <v>1.3956</v>
      </c>
    </row>
    <row r="198" spans="1:26" s="29" customFormat="1" outlineLevel="1" collapsed="1" x14ac:dyDescent="0.25">
      <c r="A198" s="28"/>
      <c r="B198" s="14" t="str">
        <f>CONCATENATE("     ","Utilities                                         ")</f>
        <v xml:space="preserve">     Utilities                                         </v>
      </c>
      <c r="C198" s="14"/>
      <c r="D198" s="1">
        <f>SUM(OSRRefD22_24x_0)</f>
        <v>6161.46</v>
      </c>
      <c r="E198" s="1"/>
      <c r="F198" s="5">
        <f t="shared" ref="F198:F199" si="124">IF(D$12=0,0,D198/D$12)</f>
        <v>1.414365149192102E-2</v>
      </c>
      <c r="G198" s="1"/>
      <c r="H198" s="1">
        <f>SUM(OSRRefH22_24x_0)</f>
        <v>6105</v>
      </c>
      <c r="I198" s="1"/>
      <c r="J198" s="5">
        <f t="shared" ref="J198:J199" si="125">IF(H$12=0,0,H198/H$12)</f>
        <v>9.6097088754043391E-3</v>
      </c>
      <c r="K198" s="1"/>
      <c r="L198" s="1">
        <f t="shared" ref="L198:L199" si="126">+D198-H198</f>
        <v>56.460000000000036</v>
      </c>
      <c r="M198" s="1"/>
      <c r="N198" s="5">
        <f t="shared" ref="N198:N199" si="127">IF(H198=0,0,L198/H198)</f>
        <v>9.2481572481572533E-3</v>
      </c>
      <c r="O198" s="14"/>
      <c r="P198" s="1">
        <f>SUM(OSRRefP22_24x_0)</f>
        <v>6161.46</v>
      </c>
      <c r="Q198" s="1"/>
      <c r="R198" s="5">
        <f t="shared" ref="R198:R199" si="128">IF(P$12=0,0,P198/P$12)</f>
        <v>1.414365149192102E-2</v>
      </c>
      <c r="S198" s="1"/>
      <c r="T198" s="1">
        <f>SUM(OSRRefT22_24x_0)</f>
        <v>6105</v>
      </c>
      <c r="U198" s="1"/>
      <c r="V198" s="5">
        <f t="shared" ref="V198:V199" si="129">IF(T$12=0,0,T198/T$12)</f>
        <v>9.6097088754043391E-3</v>
      </c>
      <c r="W198" s="1"/>
      <c r="X198" s="1">
        <f t="shared" ref="X198:X199" si="130">+P198-T198</f>
        <v>56.460000000000036</v>
      </c>
      <c r="Y198" s="1"/>
      <c r="Z198" s="5">
        <f t="shared" ref="Z198:Z199" si="131">IF(T198=0,0,X198/T198)</f>
        <v>9.2481572481572533E-3</v>
      </c>
    </row>
    <row r="199" spans="1:26" s="24" customFormat="1" hidden="1" outlineLevel="2" x14ac:dyDescent="0.25">
      <c r="A199" s="27"/>
      <c r="B199" s="12" t="str">
        <f>CONCATENATE("          ", "6274", " - ", "UTILITIES")</f>
        <v xml:space="preserve">          6274 - UTILITIES</v>
      </c>
      <c r="C199" s="12"/>
      <c r="D199" s="7">
        <v>6161.46</v>
      </c>
      <c r="E199" s="3"/>
      <c r="F199" s="8">
        <f t="shared" si="124"/>
        <v>1.414365149192102E-2</v>
      </c>
      <c r="G199" s="3"/>
      <c r="H199" s="7">
        <v>6105</v>
      </c>
      <c r="I199" s="3"/>
      <c r="J199" s="8">
        <f t="shared" si="125"/>
        <v>9.6097088754043391E-3</v>
      </c>
      <c r="K199" s="3"/>
      <c r="L199" s="7">
        <f t="shared" si="126"/>
        <v>56.460000000000036</v>
      </c>
      <c r="M199" s="3"/>
      <c r="N199" s="8">
        <f t="shared" si="127"/>
        <v>9.2481572481572533E-3</v>
      </c>
      <c r="O199" s="12"/>
      <c r="P199" s="7">
        <v>6161.46</v>
      </c>
      <c r="Q199" s="3"/>
      <c r="R199" s="8">
        <f t="shared" si="128"/>
        <v>1.414365149192102E-2</v>
      </c>
      <c r="S199" s="3"/>
      <c r="T199" s="7">
        <v>6105</v>
      </c>
      <c r="U199" s="3"/>
      <c r="V199" s="8">
        <f t="shared" si="129"/>
        <v>9.6097088754043391E-3</v>
      </c>
      <c r="W199" s="3"/>
      <c r="X199" s="7">
        <f t="shared" si="130"/>
        <v>56.460000000000036</v>
      </c>
      <c r="Y199" s="3"/>
      <c r="Z199" s="8">
        <f t="shared" si="131"/>
        <v>9.2481572481572533E-3</v>
      </c>
    </row>
    <row r="200" spans="1:26" s="54" customFormat="1" x14ac:dyDescent="0.25">
      <c r="A200" s="36"/>
      <c r="B200" s="36"/>
      <c r="C200" s="36"/>
      <c r="D200" s="1"/>
      <c r="E200" s="1"/>
      <c r="F200" s="5"/>
      <c r="G200" s="1"/>
      <c r="H200" s="1"/>
      <c r="I200" s="1"/>
      <c r="J200" s="5"/>
      <c r="K200" s="1"/>
      <c r="L200" s="1"/>
      <c r="M200" s="1"/>
      <c r="N200" s="5"/>
      <c r="O200" s="36"/>
      <c r="P200" s="1"/>
      <c r="Q200" s="1"/>
      <c r="R200" s="5"/>
      <c r="S200" s="1"/>
      <c r="T200" s="1"/>
      <c r="U200" s="1"/>
      <c r="V200" s="5"/>
      <c r="W200" s="1"/>
      <c r="X200" s="1"/>
      <c r="Y200" s="1"/>
      <c r="Z200" s="5"/>
    </row>
    <row r="201" spans="1:26" s="22" customFormat="1" collapsed="1" x14ac:dyDescent="0.25">
      <c r="A201" s="10"/>
      <c r="B201" s="26" t="s">
        <v>0</v>
      </c>
      <c r="C201" s="10"/>
      <c r="D201" s="4">
        <f>SUM(OSRRefD25x_0)</f>
        <v>197497.19</v>
      </c>
      <c r="E201" s="4"/>
      <c r="F201" s="11">
        <f t="shared" ref="F201:F206" si="132">IF(D$12=0,0,D201/D$12)</f>
        <v>0.45335544270249406</v>
      </c>
      <c r="G201" s="4"/>
      <c r="H201" s="4">
        <f>SUM(OSRRefH25x_0)</f>
        <v>35076</v>
      </c>
      <c r="I201" s="4"/>
      <c r="J201" s="11">
        <f t="shared" ref="J201:J206" si="133">IF(H$12=0,0,H201/H$12)</f>
        <v>5.5212145538686752E-2</v>
      </c>
      <c r="K201" s="4"/>
      <c r="L201" s="4">
        <f t="shared" ref="L201:L206" si="134">+D201-H201</f>
        <v>162421.19</v>
      </c>
      <c r="M201" s="4"/>
      <c r="N201" s="11">
        <f t="shared" ref="N201:N206" si="135">IF(H201=0,0,L201/H201)</f>
        <v>4.6305505188733038</v>
      </c>
      <c r="O201" s="10"/>
      <c r="P201" s="4">
        <f>SUM(OSRRefP25x_0)</f>
        <v>197497.19</v>
      </c>
      <c r="Q201" s="4"/>
      <c r="R201" s="11">
        <f t="shared" ref="R201:R206" si="136">IF(P$12=0,0,P201/P$12)</f>
        <v>0.45335544270249406</v>
      </c>
      <c r="S201" s="4"/>
      <c r="T201" s="4">
        <f>SUM(OSRRefT25x_0)</f>
        <v>35076</v>
      </c>
      <c r="U201" s="4"/>
      <c r="V201" s="11">
        <f t="shared" ref="V201:V206" si="137">IF(T$12=0,0,T201/T$12)</f>
        <v>5.5212145538686752E-2</v>
      </c>
      <c r="W201" s="4"/>
      <c r="X201" s="4">
        <f t="shared" ref="X201:X206" si="138">+P201-T201</f>
        <v>162421.19</v>
      </c>
      <c r="Y201" s="4"/>
      <c r="Z201" s="11">
        <f t="shared" ref="Z201:Z206" si="139">IF(T201=0,0,X201/T201)</f>
        <v>4.6305505188733038</v>
      </c>
    </row>
    <row r="202" spans="1:26" s="24" customFormat="1" hidden="1" outlineLevel="1" x14ac:dyDescent="0.25">
      <c r="A202" s="51"/>
      <c r="B202" s="12" t="str">
        <f>CONCATENATE("          ", "4187", " - ", "NON-TAXABLE SALES-COMPUTER REP")</f>
        <v xml:space="preserve">          4187 - NON-TAXABLE SALES-COMPUTER REP</v>
      </c>
      <c r="C202" s="12"/>
      <c r="D202" s="3">
        <f>--19.99</f>
        <v>19.989999999999998</v>
      </c>
      <c r="E202" s="3"/>
      <c r="F202" s="23">
        <f t="shared" si="132"/>
        <v>4.5887110088112423E-5</v>
      </c>
      <c r="G202" s="3"/>
      <c r="H202" s="3"/>
      <c r="I202" s="3"/>
      <c r="J202" s="23">
        <f t="shared" si="133"/>
        <v>0</v>
      </c>
      <c r="K202" s="3"/>
      <c r="L202" s="3">
        <f t="shared" si="134"/>
        <v>19.989999999999998</v>
      </c>
      <c r="M202" s="3"/>
      <c r="N202" s="23">
        <f t="shared" si="135"/>
        <v>0</v>
      </c>
      <c r="O202" s="12"/>
      <c r="P202" s="3">
        <f>--19.99</f>
        <v>19.989999999999998</v>
      </c>
      <c r="Q202" s="3"/>
      <c r="R202" s="23">
        <f t="shared" si="136"/>
        <v>4.5887110088112423E-5</v>
      </c>
      <c r="S202" s="3"/>
      <c r="T202" s="3"/>
      <c r="U202" s="3"/>
      <c r="V202" s="23">
        <f t="shared" si="137"/>
        <v>0</v>
      </c>
      <c r="W202" s="3"/>
      <c r="X202" s="3">
        <f t="shared" si="138"/>
        <v>19.989999999999998</v>
      </c>
      <c r="Y202" s="3"/>
      <c r="Z202" s="23">
        <f t="shared" si="139"/>
        <v>0</v>
      </c>
    </row>
    <row r="203" spans="1:26" s="24" customFormat="1" hidden="1" outlineLevel="1" x14ac:dyDescent="0.25">
      <c r="A203" s="51"/>
      <c r="B203" s="12" t="str">
        <f>CONCATENATE("          ", "9150", " - ", "MISC. INCOME")</f>
        <v xml:space="preserve">          9150 - MISC. INCOME</v>
      </c>
      <c r="C203" s="12"/>
      <c r="D203" s="3">
        <f>--35338.91</f>
        <v>35338.910000000003</v>
      </c>
      <c r="E203" s="3"/>
      <c r="F203" s="23">
        <f t="shared" si="132"/>
        <v>8.1120582969679708E-2</v>
      </c>
      <c r="G203" s="3"/>
      <c r="H203" s="3">
        <v>19701</v>
      </c>
      <c r="I203" s="3"/>
      <c r="J203" s="23">
        <f t="shared" si="133"/>
        <v>3.1010790262791302E-2</v>
      </c>
      <c r="K203" s="3"/>
      <c r="L203" s="3">
        <f t="shared" si="134"/>
        <v>15637.910000000003</v>
      </c>
      <c r="M203" s="3"/>
      <c r="N203" s="23">
        <f t="shared" si="135"/>
        <v>0.79376224557129094</v>
      </c>
      <c r="O203" s="12"/>
      <c r="P203" s="3">
        <f>--35338.91</f>
        <v>35338.910000000003</v>
      </c>
      <c r="Q203" s="3"/>
      <c r="R203" s="23">
        <f t="shared" si="136"/>
        <v>8.1120582969679708E-2</v>
      </c>
      <c r="S203" s="3"/>
      <c r="T203" s="3">
        <v>19701</v>
      </c>
      <c r="U203" s="3"/>
      <c r="V203" s="23">
        <f t="shared" si="137"/>
        <v>3.1010790262791302E-2</v>
      </c>
      <c r="W203" s="3"/>
      <c r="X203" s="3">
        <f t="shared" si="138"/>
        <v>15637.910000000003</v>
      </c>
      <c r="Y203" s="3"/>
      <c r="Z203" s="23">
        <f t="shared" si="139"/>
        <v>0.79376224557129094</v>
      </c>
    </row>
    <row r="204" spans="1:26" s="24" customFormat="1" hidden="1" outlineLevel="1" x14ac:dyDescent="0.25">
      <c r="A204" s="51"/>
      <c r="B204" s="12" t="str">
        <f>CONCATENATE("          ", "9151", " - ", "MISC. INCOME")</f>
        <v xml:space="preserve">          9151 - MISC. INCOME</v>
      </c>
      <c r="C204" s="12"/>
      <c r="D204" s="3">
        <f>0</f>
        <v>0</v>
      </c>
      <c r="E204" s="3"/>
      <c r="F204" s="23">
        <f t="shared" si="132"/>
        <v>0</v>
      </c>
      <c r="G204" s="3"/>
      <c r="H204" s="3">
        <v>15375</v>
      </c>
      <c r="I204" s="3"/>
      <c r="J204" s="23">
        <f t="shared" si="133"/>
        <v>2.420135527589545E-2</v>
      </c>
      <c r="K204" s="3"/>
      <c r="L204" s="3">
        <f t="shared" si="134"/>
        <v>-15375</v>
      </c>
      <c r="M204" s="3"/>
      <c r="N204" s="23">
        <f t="shared" si="135"/>
        <v>-1</v>
      </c>
      <c r="O204" s="12"/>
      <c r="P204" s="3">
        <f>0</f>
        <v>0</v>
      </c>
      <c r="Q204" s="3"/>
      <c r="R204" s="23">
        <f t="shared" si="136"/>
        <v>0</v>
      </c>
      <c r="S204" s="3"/>
      <c r="T204" s="3">
        <v>15375</v>
      </c>
      <c r="U204" s="3"/>
      <c r="V204" s="23">
        <f t="shared" si="137"/>
        <v>2.420135527589545E-2</v>
      </c>
      <c r="W204" s="3"/>
      <c r="X204" s="3">
        <f t="shared" si="138"/>
        <v>-15375</v>
      </c>
      <c r="Y204" s="3"/>
      <c r="Z204" s="23">
        <f t="shared" si="139"/>
        <v>-1</v>
      </c>
    </row>
    <row r="205" spans="1:26" s="24" customFormat="1" hidden="1" outlineLevel="1" x14ac:dyDescent="0.25">
      <c r="A205" s="51"/>
      <c r="B205" s="12" t="str">
        <f>CONCATENATE("          ", "9152", " - ", "MISC. INCOME")</f>
        <v xml:space="preserve">          9152 - MISC. INCOME</v>
      </c>
      <c r="C205" s="12"/>
      <c r="D205" s="3">
        <f>--1474.39</f>
        <v>1474.39</v>
      </c>
      <c r="E205" s="3"/>
      <c r="F205" s="23">
        <f t="shared" si="132"/>
        <v>3.3844670456634361E-3</v>
      </c>
      <c r="G205" s="3"/>
      <c r="H205" s="3"/>
      <c r="I205" s="3"/>
      <c r="J205" s="23">
        <f t="shared" si="133"/>
        <v>0</v>
      </c>
      <c r="K205" s="3"/>
      <c r="L205" s="3">
        <f t="shared" si="134"/>
        <v>1474.39</v>
      </c>
      <c r="M205" s="3"/>
      <c r="N205" s="23">
        <f t="shared" si="135"/>
        <v>0</v>
      </c>
      <c r="O205" s="12"/>
      <c r="P205" s="3">
        <f>--1474.39</f>
        <v>1474.39</v>
      </c>
      <c r="Q205" s="3"/>
      <c r="R205" s="23">
        <f t="shared" si="136"/>
        <v>3.3844670456634361E-3</v>
      </c>
      <c r="S205" s="3"/>
      <c r="T205" s="3"/>
      <c r="U205" s="3"/>
      <c r="V205" s="23">
        <f t="shared" si="137"/>
        <v>0</v>
      </c>
      <c r="W205" s="3"/>
      <c r="X205" s="3">
        <f t="shared" si="138"/>
        <v>1474.39</v>
      </c>
      <c r="Y205" s="3"/>
      <c r="Z205" s="23">
        <f t="shared" si="139"/>
        <v>0</v>
      </c>
    </row>
    <row r="206" spans="1:26" s="24" customFormat="1" hidden="1" outlineLevel="1" x14ac:dyDescent="0.25">
      <c r="A206" s="51"/>
      <c r="B206" s="12" t="str">
        <f>CONCATENATE("          ", "9163", " - ", "MISC. INCOME")</f>
        <v xml:space="preserve">          9163 - MISC. INCOME</v>
      </c>
      <c r="C206" s="12"/>
      <c r="D206" s="3">
        <f>--160663.9</f>
        <v>160663.9</v>
      </c>
      <c r="E206" s="3"/>
      <c r="F206" s="23">
        <f t="shared" si="132"/>
        <v>0.36880450557706285</v>
      </c>
      <c r="G206" s="3"/>
      <c r="H206" s="3"/>
      <c r="I206" s="3"/>
      <c r="J206" s="23">
        <f t="shared" si="133"/>
        <v>0</v>
      </c>
      <c r="K206" s="3"/>
      <c r="L206" s="3">
        <f t="shared" si="134"/>
        <v>160663.9</v>
      </c>
      <c r="M206" s="3"/>
      <c r="N206" s="23">
        <f t="shared" si="135"/>
        <v>0</v>
      </c>
      <c r="O206" s="12"/>
      <c r="P206" s="3">
        <f>--160663.9</f>
        <v>160663.9</v>
      </c>
      <c r="Q206" s="3"/>
      <c r="R206" s="23">
        <f t="shared" si="136"/>
        <v>0.36880450557706285</v>
      </c>
      <c r="S206" s="3"/>
      <c r="T206" s="3"/>
      <c r="U206" s="3"/>
      <c r="V206" s="23">
        <f t="shared" si="137"/>
        <v>0</v>
      </c>
      <c r="W206" s="3"/>
      <c r="X206" s="3">
        <f t="shared" si="138"/>
        <v>160663.9</v>
      </c>
      <c r="Y206" s="3"/>
      <c r="Z206" s="23">
        <f t="shared" si="139"/>
        <v>0</v>
      </c>
    </row>
    <row r="207" spans="1:26" x14ac:dyDescent="0.25">
      <c r="A207" s="9"/>
      <c r="B207" s="10"/>
      <c r="C207" s="10"/>
      <c r="D207" s="2"/>
      <c r="E207" s="2"/>
      <c r="F207" s="6"/>
      <c r="G207" s="2"/>
      <c r="H207" s="2"/>
      <c r="I207" s="2"/>
      <c r="J207" s="6"/>
      <c r="K207" s="2"/>
      <c r="L207" s="2"/>
      <c r="M207" s="2"/>
      <c r="N207" s="6"/>
      <c r="O207" s="10"/>
      <c r="P207" s="2"/>
      <c r="Q207" s="2"/>
      <c r="R207" s="6"/>
      <c r="S207" s="2"/>
      <c r="T207" s="2"/>
      <c r="U207" s="2"/>
      <c r="V207" s="6"/>
      <c r="W207" s="2"/>
      <c r="X207" s="2"/>
      <c r="Y207" s="2"/>
      <c r="Z207" s="6"/>
    </row>
    <row r="208" spans="1:26" s="22" customFormat="1" x14ac:dyDescent="0.25">
      <c r="A208" s="10"/>
      <c r="B208" s="25" t="s">
        <v>3</v>
      </c>
      <c r="C208" s="25"/>
      <c r="D208" s="21">
        <f>+D104-D106+D201</f>
        <v>-22600.22000000003</v>
      </c>
      <c r="E208" s="13"/>
      <c r="F208" s="20">
        <f>IF(D$12=0,0,D208/D$12)</f>
        <v>-5.1878878597076621E-2</v>
      </c>
      <c r="G208" s="13"/>
      <c r="H208" s="21">
        <f>+H104-H106+H201</f>
        <v>-151292.27000370197</v>
      </c>
      <c r="I208" s="13"/>
      <c r="J208" s="20">
        <f>IF(H$12=0,0,H208/H$12)</f>
        <v>-0.23814490906382385</v>
      </c>
      <c r="K208" s="15"/>
      <c r="L208" s="21">
        <f>+D208-H208</f>
        <v>128692.05000370194</v>
      </c>
      <c r="M208" s="15"/>
      <c r="N208" s="20">
        <f>IF(H208=0,0,L208/H208)</f>
        <v>-0.85061880557779301</v>
      </c>
      <c r="O208" s="26"/>
      <c r="P208" s="21">
        <f>+P104-P106+P201</f>
        <v>-22600.22000000003</v>
      </c>
      <c r="Q208" s="13"/>
      <c r="R208" s="20">
        <f>IF(P$12=0,0,P208/P$12)</f>
        <v>-5.1878878597076621E-2</v>
      </c>
      <c r="S208" s="13"/>
      <c r="T208" s="21">
        <f>+T104-T106+T201</f>
        <v>-151292.27000370197</v>
      </c>
      <c r="U208" s="13"/>
      <c r="V208" s="20">
        <f>IF(T$12=0,0,T208/T$12)</f>
        <v>-0.23814490906382385</v>
      </c>
      <c r="W208" s="15"/>
      <c r="X208" s="21">
        <f>+P208-T208</f>
        <v>128692.05000370194</v>
      </c>
      <c r="Y208" s="15"/>
      <c r="Z208" s="20">
        <f>IF(T208=0,0,X208/T208)</f>
        <v>-0.85061880557779301</v>
      </c>
    </row>
    <row r="209" spans="1:26" x14ac:dyDescent="0.25">
      <c r="A209" s="9"/>
      <c r="B209" s="10"/>
      <c r="C209" s="9"/>
      <c r="D209" s="2"/>
      <c r="E209" s="2"/>
      <c r="F209" s="6"/>
      <c r="G209" s="2"/>
      <c r="H209" s="2"/>
      <c r="I209" s="2"/>
      <c r="J209" s="6"/>
      <c r="K209" s="2"/>
      <c r="L209" s="2"/>
      <c r="M209" s="2"/>
      <c r="N209" s="6"/>
      <c r="P209" s="2"/>
      <c r="Q209" s="2"/>
      <c r="R209" s="6"/>
      <c r="S209" s="2"/>
      <c r="T209" s="2"/>
      <c r="U209" s="2"/>
      <c r="V209" s="6"/>
      <c r="W209" s="2"/>
      <c r="X209" s="2"/>
      <c r="Y209" s="2"/>
      <c r="Z209" s="6"/>
    </row>
    <row r="210" spans="1:26" s="22" customFormat="1" x14ac:dyDescent="0.25">
      <c r="A210" s="52"/>
      <c r="B210" s="10" t="s">
        <v>14</v>
      </c>
      <c r="C210" s="10"/>
      <c r="D210" s="4">
        <v>214852.73</v>
      </c>
      <c r="E210" s="4"/>
      <c r="F210" s="11">
        <f>IF(D$12=0,0,D210/D$12)</f>
        <v>0.49319514128271613</v>
      </c>
      <c r="G210" s="4"/>
      <c r="H210" s="4">
        <v>311185</v>
      </c>
      <c r="I210" s="4"/>
      <c r="J210" s="11">
        <f>IF(H$12=0,0,H210/H$12)</f>
        <v>0.48982756042468462</v>
      </c>
      <c r="K210" s="4"/>
      <c r="L210" s="4">
        <f>+D210-H210</f>
        <v>-96332.26999999999</v>
      </c>
      <c r="M210" s="4"/>
      <c r="N210" s="11">
        <f>IF(H210=0,0,L210/H210)</f>
        <v>-0.3095659173803364</v>
      </c>
      <c r="O210" s="10"/>
      <c r="P210" s="4">
        <v>214852.73</v>
      </c>
      <c r="Q210" s="4"/>
      <c r="R210" s="11">
        <f>IF(P$12=0,0,P210/P$12)</f>
        <v>0.49319514128271613</v>
      </c>
      <c r="S210" s="4"/>
      <c r="T210" s="4">
        <v>311185</v>
      </c>
      <c r="U210" s="4"/>
      <c r="V210" s="11">
        <f>IF(T$12=0,0,T210/T$12)</f>
        <v>0.48982756042468462</v>
      </c>
      <c r="W210" s="4"/>
      <c r="X210" s="4">
        <f>+P210-T210</f>
        <v>-96332.26999999999</v>
      </c>
      <c r="Y210" s="4"/>
      <c r="Z210" s="11">
        <f>IF(T210=0,0,X210/T210)</f>
        <v>-0.3095659173803364</v>
      </c>
    </row>
    <row r="211" spans="1:26" x14ac:dyDescent="0.25">
      <c r="A211" s="9"/>
      <c r="B211" s="10"/>
      <c r="C211" s="10"/>
      <c r="D211" s="2"/>
      <c r="E211" s="2"/>
      <c r="F211" s="6"/>
      <c r="G211" s="2"/>
      <c r="H211" s="2"/>
      <c r="I211" s="2"/>
      <c r="J211" s="6"/>
      <c r="K211" s="2"/>
      <c r="L211" s="2"/>
      <c r="M211" s="2"/>
      <c r="N211" s="6"/>
      <c r="O211" s="10"/>
      <c r="P211" s="2"/>
      <c r="Q211" s="2"/>
      <c r="R211" s="6"/>
      <c r="S211" s="2"/>
      <c r="T211" s="2"/>
      <c r="U211" s="2"/>
      <c r="V211" s="6"/>
      <c r="W211" s="2"/>
      <c r="X211" s="2"/>
      <c r="Y211" s="2"/>
      <c r="Z211" s="6"/>
    </row>
    <row r="212" spans="1:26" s="22" customFormat="1" ht="15.75" thickBot="1" x14ac:dyDescent="0.3">
      <c r="A212" s="10"/>
      <c r="B212" s="25" t="s">
        <v>4</v>
      </c>
      <c r="C212" s="25"/>
      <c r="D212" s="34">
        <f>+D208-D210</f>
        <v>-237452.95000000004</v>
      </c>
      <c r="E212" s="13"/>
      <c r="F212" s="30">
        <f>IF(D$12=0,0,D212/D$12)</f>
        <v>-0.54507401987979276</v>
      </c>
      <c r="G212" s="13"/>
      <c r="H212" s="34">
        <f>+H208-H210</f>
        <v>-462477.27000370197</v>
      </c>
      <c r="I212" s="13"/>
      <c r="J212" s="30">
        <f>IF(H$12=0,0,H212/H$12)</f>
        <v>-0.72797246948850847</v>
      </c>
      <c r="K212" s="15"/>
      <c r="L212" s="34">
        <f>D212-H212</f>
        <v>225024.32000370193</v>
      </c>
      <c r="M212" s="15"/>
      <c r="N212" s="30">
        <f>IF(H212=0,0,L212/H212)</f>
        <v>-0.48656298287243543</v>
      </c>
      <c r="O212" s="26"/>
      <c r="P212" s="34">
        <f>+P208-P210</f>
        <v>-237452.95000000004</v>
      </c>
      <c r="Q212" s="13"/>
      <c r="R212" s="30">
        <f>IF(P$12=0,0,P212/P$12)</f>
        <v>-0.54507401987979276</v>
      </c>
      <c r="S212" s="13"/>
      <c r="T212" s="34">
        <f>+T208-T210</f>
        <v>-462477.27000370197</v>
      </c>
      <c r="U212" s="13"/>
      <c r="V212" s="30">
        <f>IF(T$12=0,0,T212/T$12)</f>
        <v>-0.72797246948850847</v>
      </c>
      <c r="W212" s="15"/>
      <c r="X212" s="34">
        <f>P212-T212</f>
        <v>225024.32000370193</v>
      </c>
      <c r="Y212" s="15"/>
      <c r="Z212" s="30">
        <f>IF(T212=0,0,X212/T212)</f>
        <v>-0.48656298287243543</v>
      </c>
    </row>
    <row r="213" spans="1:26" ht="15.75" thickTop="1" x14ac:dyDescent="0.25">
      <c r="A213" s="9"/>
      <c r="B213" s="9"/>
      <c r="C213" s="9"/>
      <c r="D213" s="2"/>
      <c r="E213" s="2"/>
      <c r="F213" s="6"/>
      <c r="G213" s="2"/>
      <c r="H213" s="2"/>
      <c r="I213" s="2"/>
      <c r="J213" s="6"/>
      <c r="K213" s="2"/>
      <c r="L213" s="2"/>
      <c r="M213" s="2"/>
      <c r="N213" s="6"/>
      <c r="P213" s="2"/>
      <c r="Q213" s="2"/>
      <c r="R213" s="6"/>
      <c r="S213" s="2"/>
      <c r="T213" s="2"/>
      <c r="U213" s="2"/>
      <c r="V213" s="6"/>
      <c r="W213" s="2"/>
      <c r="X213" s="2"/>
      <c r="Y213" s="2"/>
      <c r="Z213" s="6"/>
    </row>
    <row r="214" spans="1:26" x14ac:dyDescent="0.25">
      <c r="A214" s="9"/>
      <c r="B214" s="9"/>
      <c r="C214" s="9"/>
      <c r="D214" s="2"/>
      <c r="E214" s="2"/>
      <c r="F214" s="6"/>
      <c r="G214" s="2"/>
      <c r="H214" s="2"/>
      <c r="I214" s="2"/>
      <c r="J214" s="6"/>
      <c r="K214" s="2"/>
      <c r="L214" s="2"/>
      <c r="M214" s="2"/>
      <c r="N214" s="6"/>
      <c r="P214" s="2"/>
      <c r="Q214" s="2"/>
      <c r="R214" s="6"/>
      <c r="S214" s="2"/>
      <c r="T214" s="2"/>
      <c r="U214" s="2"/>
      <c r="V214" s="6"/>
      <c r="W214" s="2"/>
      <c r="X214" s="2"/>
      <c r="Y214" s="2"/>
      <c r="Z214" s="6"/>
    </row>
    <row r="215" spans="1:26" s="22" customFormat="1" ht="15.75" thickBot="1" x14ac:dyDescent="0.3">
      <c r="A215" s="10"/>
      <c r="B215" s="25" t="s">
        <v>5</v>
      </c>
      <c r="C215" s="25"/>
      <c r="D215" s="32">
        <f>SUM(D212:D214)</f>
        <v>-237452.95000000004</v>
      </c>
      <c r="E215" s="13"/>
      <c r="F215" s="33">
        <f>IF(D$12=0,0,D215/D$12)</f>
        <v>-0.54507401987979276</v>
      </c>
      <c r="G215" s="13"/>
      <c r="H215" s="32">
        <f>SUM(H212:H214)</f>
        <v>-462477.27000370197</v>
      </c>
      <c r="I215" s="13"/>
      <c r="J215" s="33">
        <f>IF(H$12=0,0,H215/H$12)</f>
        <v>-0.72797246948850847</v>
      </c>
      <c r="K215" s="15"/>
      <c r="L215" s="32">
        <f>+D215-H215</f>
        <v>225024.32000370193</v>
      </c>
      <c r="M215" s="15"/>
      <c r="N215" s="33">
        <f>IF(H215=0,0,L215/H215)</f>
        <v>-0.48656298287243543</v>
      </c>
      <c r="O215" s="26"/>
      <c r="P215" s="32">
        <f>SUM(P212:P214)</f>
        <v>-237452.95000000004</v>
      </c>
      <c r="Q215" s="13"/>
      <c r="R215" s="33">
        <f>IF(P$12=0,0,P215/P$12)</f>
        <v>-0.54507401987979276</v>
      </c>
      <c r="S215" s="13"/>
      <c r="T215" s="32">
        <f>SUM(T212:T214)</f>
        <v>-462477.27000370197</v>
      </c>
      <c r="U215" s="13"/>
      <c r="V215" s="33">
        <f>IF(T$12=0,0,T215/T$12)</f>
        <v>-0.72797246948850847</v>
      </c>
      <c r="W215" s="15"/>
      <c r="X215" s="32">
        <f>+P215-T215</f>
        <v>225024.32000370193</v>
      </c>
      <c r="Y215" s="15"/>
      <c r="Z215" s="33">
        <f>IF(T215=0,0,X215/T215)</f>
        <v>-0.48656298287243543</v>
      </c>
    </row>
    <row r="216" spans="1:26" ht="15.75" thickTop="1" x14ac:dyDescent="0.25">
      <c r="A216" s="9"/>
      <c r="C216" s="9"/>
      <c r="D216" s="17"/>
      <c r="E216" s="17"/>
      <c r="G216" s="17"/>
      <c r="H216" s="17"/>
      <c r="I216" s="17"/>
      <c r="J216" s="43"/>
      <c r="K216" s="17"/>
      <c r="L216" s="17"/>
      <c r="M216" s="17"/>
      <c r="P216" s="17"/>
      <c r="Q216" s="17"/>
      <c r="R216" s="43"/>
      <c r="S216" s="17"/>
      <c r="T216" s="17"/>
      <c r="U216" s="17"/>
      <c r="V216" s="43"/>
      <c r="W216" s="17"/>
      <c r="X216" s="17"/>
    </row>
    <row r="217" spans="1:26" x14ac:dyDescent="0.25">
      <c r="A217" s="9"/>
      <c r="B217" s="58">
        <v>44104.685438310182</v>
      </c>
      <c r="D217" s="17"/>
      <c r="E217" s="17"/>
      <c r="G217" s="17"/>
      <c r="H217" s="17"/>
      <c r="I217" s="17"/>
      <c r="J217" s="43"/>
      <c r="K217" s="17"/>
      <c r="L217" s="17"/>
      <c r="M217" s="17"/>
      <c r="P217" s="17"/>
      <c r="Q217" s="17"/>
      <c r="R217" s="43"/>
      <c r="S217" s="17"/>
      <c r="T217" s="17"/>
      <c r="U217" s="17"/>
      <c r="V217" s="43"/>
      <c r="W217" s="17"/>
      <c r="X217" s="17"/>
    </row>
    <row r="218" spans="1:26" x14ac:dyDescent="0.25">
      <c r="A218" s="9"/>
      <c r="B218" s="56" t="s">
        <v>314</v>
      </c>
      <c r="D218" s="17"/>
      <c r="E218" s="17"/>
      <c r="G218" s="17"/>
      <c r="H218" s="17"/>
      <c r="I218" s="17"/>
      <c r="J218" s="43"/>
      <c r="K218" s="17"/>
      <c r="L218" s="17"/>
      <c r="M218" s="17"/>
      <c r="P218" s="17"/>
      <c r="Q218" s="17"/>
      <c r="R218" s="43"/>
      <c r="S218" s="17"/>
      <c r="T218" s="17"/>
      <c r="U218" s="17"/>
      <c r="V218" s="43"/>
      <c r="W218" s="17"/>
      <c r="X218" s="17"/>
    </row>
    <row r="219" spans="1:26" x14ac:dyDescent="0.25">
      <c r="A219" s="9"/>
      <c r="B219" s="62"/>
      <c r="D219" s="17"/>
      <c r="E219" s="17"/>
      <c r="G219" s="17"/>
      <c r="H219" s="17"/>
      <c r="I219" s="17"/>
      <c r="J219" s="43"/>
      <c r="K219" s="17"/>
      <c r="L219" s="17"/>
      <c r="M219" s="17"/>
      <c r="P219" s="17"/>
      <c r="Q219" s="17"/>
      <c r="R219" s="43"/>
      <c r="S219" s="17"/>
      <c r="T219" s="17"/>
      <c r="U219" s="17"/>
      <c r="V219" s="43"/>
      <c r="W219" s="17"/>
      <c r="X219" s="17"/>
    </row>
    <row r="220" spans="1:26" x14ac:dyDescent="0.25">
      <c r="D220" s="17"/>
      <c r="E220" s="17"/>
      <c r="G220" s="17"/>
      <c r="H220" s="17"/>
      <c r="I220" s="17"/>
      <c r="J220" s="43"/>
      <c r="K220" s="17"/>
      <c r="L220" s="17"/>
      <c r="M220" s="17"/>
      <c r="P220" s="17"/>
      <c r="Q220" s="17"/>
      <c r="R220" s="43"/>
      <c r="S220" s="17"/>
      <c r="T220" s="17"/>
      <c r="U220" s="17"/>
      <c r="V220" s="43"/>
      <c r="W220" s="17"/>
      <c r="X220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","301", " - ", "Bookstore Operations")</f>
        <v>Department 301 - Bookstore Operations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165416.69999999998</v>
      </c>
      <c r="E18" s="19"/>
      <c r="F18" s="31">
        <f t="shared" ref="F18:F28" si="0">IF(D$12=0,0,D18/D$12)</f>
        <v>0</v>
      </c>
      <c r="G18" s="19"/>
      <c r="H18" s="19">
        <f>SUM(OSRRefH22x_0)</f>
        <v>177143.57987542308</v>
      </c>
      <c r="I18" s="19"/>
      <c r="J18" s="31">
        <f t="shared" ref="J18:J28" si="1">IF(H$12=0,0,H18/H$12)</f>
        <v>0</v>
      </c>
      <c r="K18" s="4"/>
      <c r="L18" s="19">
        <f t="shared" ref="L18:L28" si="2">+D18-H18</f>
        <v>-11726.879875423096</v>
      </c>
      <c r="M18" s="4"/>
      <c r="N18" s="31">
        <f t="shared" ref="N18:N28" si="3">IF(H18=0,0,L18/H18)</f>
        <v>-6.6199858237425649E-2</v>
      </c>
      <c r="O18" s="10"/>
      <c r="P18" s="19">
        <f>SUM(OSRRefP22x_0)</f>
        <v>165416.69999999998</v>
      </c>
      <c r="Q18" s="19"/>
      <c r="R18" s="31">
        <f t="shared" ref="R18:R28" si="4">IF(P$12=0,0,P18/P$12)</f>
        <v>0</v>
      </c>
      <c r="S18" s="19"/>
      <c r="T18" s="19">
        <f>SUM(OSRRefT22x_0)</f>
        <v>177143.57987542308</v>
      </c>
      <c r="U18" s="19"/>
      <c r="V18" s="31">
        <f t="shared" ref="V18:V28" si="5">IF(T$12=0,0,T18/T$12)</f>
        <v>0</v>
      </c>
      <c r="W18" s="4"/>
      <c r="X18" s="19">
        <f t="shared" ref="X18:X28" si="6">+P18-T18</f>
        <v>-11726.879875423096</v>
      </c>
      <c r="Y18" s="4"/>
      <c r="Z18" s="31">
        <f t="shared" ref="Z18:Z28" si="7">IF(T18=0,0,X18/T18)</f>
        <v>-6.6199858237425649E-2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8516.33</v>
      </c>
      <c r="E19" s="1"/>
      <c r="F19" s="5">
        <f t="shared" si="0"/>
        <v>0</v>
      </c>
      <c r="G19" s="1"/>
      <c r="H19" s="1">
        <f>SUM(OSRRefH22_0x_0)</f>
        <v>11347.647952346146</v>
      </c>
      <c r="I19" s="1"/>
      <c r="J19" s="5">
        <f t="shared" si="1"/>
        <v>0</v>
      </c>
      <c r="K19" s="1"/>
      <c r="L19" s="1">
        <f t="shared" si="2"/>
        <v>-2831.3179523461458</v>
      </c>
      <c r="M19" s="1"/>
      <c r="N19" s="5">
        <f t="shared" si="3"/>
        <v>-0.24950703125758902</v>
      </c>
      <c r="O19" s="14"/>
      <c r="P19" s="1">
        <f>SUM(OSRRefP22_0x_0)</f>
        <v>8516.33</v>
      </c>
      <c r="Q19" s="1"/>
      <c r="R19" s="5">
        <f t="shared" si="4"/>
        <v>0</v>
      </c>
      <c r="S19" s="1"/>
      <c r="T19" s="1">
        <f>SUM(OSRRefT22_0x_0)</f>
        <v>11347.647952346146</v>
      </c>
      <c r="U19" s="1"/>
      <c r="V19" s="5">
        <f t="shared" si="5"/>
        <v>0</v>
      </c>
      <c r="W19" s="1"/>
      <c r="X19" s="1">
        <f t="shared" si="6"/>
        <v>-2831.3179523461458</v>
      </c>
      <c r="Y19" s="1"/>
      <c r="Z19" s="5">
        <f t="shared" si="7"/>
        <v>-0.24950703125758902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2247.02</v>
      </c>
      <c r="E20" s="3"/>
      <c r="F20" s="8">
        <f t="shared" si="0"/>
        <v>0</v>
      </c>
      <c r="G20" s="3"/>
      <c r="H20" s="7">
        <v>3834.2109861923104</v>
      </c>
      <c r="I20" s="3"/>
      <c r="J20" s="8">
        <f t="shared" si="1"/>
        <v>0</v>
      </c>
      <c r="K20" s="3"/>
      <c r="L20" s="7">
        <f t="shared" si="2"/>
        <v>-1587.1909861923104</v>
      </c>
      <c r="M20" s="3"/>
      <c r="N20" s="8">
        <f t="shared" si="3"/>
        <v>-0.41395504626846913</v>
      </c>
      <c r="O20" s="12"/>
      <c r="P20" s="7">
        <v>2247.02</v>
      </c>
      <c r="Q20" s="3"/>
      <c r="R20" s="8">
        <f t="shared" si="4"/>
        <v>0</v>
      </c>
      <c r="S20" s="3"/>
      <c r="T20" s="7">
        <v>3834.2109861923104</v>
      </c>
      <c r="U20" s="3"/>
      <c r="V20" s="8">
        <f t="shared" si="5"/>
        <v>0</v>
      </c>
      <c r="W20" s="3"/>
      <c r="X20" s="7">
        <f t="shared" si="6"/>
        <v>-1587.1909861923104</v>
      </c>
      <c r="Y20" s="3"/>
      <c r="Z20" s="8">
        <f t="shared" si="7"/>
        <v>-0.41395504626846913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747.02</v>
      </c>
      <c r="E21" s="3"/>
      <c r="F21" s="8">
        <f t="shared" si="0"/>
        <v>0</v>
      </c>
      <c r="G21" s="3"/>
      <c r="H21" s="7">
        <v>1019.7108923076898</v>
      </c>
      <c r="I21" s="3"/>
      <c r="J21" s="8">
        <f t="shared" si="1"/>
        <v>0</v>
      </c>
      <c r="K21" s="3"/>
      <c r="L21" s="7">
        <f t="shared" si="2"/>
        <v>-272.69089230768986</v>
      </c>
      <c r="M21" s="3"/>
      <c r="N21" s="8">
        <f t="shared" si="3"/>
        <v>-0.26741980924668546</v>
      </c>
      <c r="O21" s="12"/>
      <c r="P21" s="7">
        <v>747.02</v>
      </c>
      <c r="Q21" s="3"/>
      <c r="R21" s="8">
        <f t="shared" si="4"/>
        <v>0</v>
      </c>
      <c r="S21" s="3"/>
      <c r="T21" s="7">
        <v>1019.7108923076898</v>
      </c>
      <c r="U21" s="3"/>
      <c r="V21" s="8">
        <f t="shared" si="5"/>
        <v>0</v>
      </c>
      <c r="W21" s="3"/>
      <c r="X21" s="7">
        <f t="shared" si="6"/>
        <v>-272.69089230768986</v>
      </c>
      <c r="Y21" s="3"/>
      <c r="Z21" s="8">
        <f t="shared" si="7"/>
        <v>-0.26741980924668546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1657.39</v>
      </c>
      <c r="E22" s="3"/>
      <c r="F22" s="8">
        <f t="shared" si="0"/>
        <v>0</v>
      </c>
      <c r="G22" s="3"/>
      <c r="H22" s="7">
        <v>3675.5769230769201</v>
      </c>
      <c r="I22" s="3"/>
      <c r="J22" s="8">
        <f t="shared" si="1"/>
        <v>0</v>
      </c>
      <c r="K22" s="3"/>
      <c r="L22" s="7">
        <f t="shared" si="2"/>
        <v>-2018.18692307692</v>
      </c>
      <c r="M22" s="3"/>
      <c r="N22" s="8">
        <f t="shared" si="3"/>
        <v>-0.54908031182964434</v>
      </c>
      <c r="O22" s="12"/>
      <c r="P22" s="7">
        <v>1657.39</v>
      </c>
      <c r="Q22" s="3"/>
      <c r="R22" s="8">
        <f t="shared" si="4"/>
        <v>0</v>
      </c>
      <c r="S22" s="3"/>
      <c r="T22" s="7">
        <v>3675.5769230769201</v>
      </c>
      <c r="U22" s="3"/>
      <c r="V22" s="8">
        <f t="shared" si="5"/>
        <v>0</v>
      </c>
      <c r="W22" s="3"/>
      <c r="X22" s="7">
        <f t="shared" si="6"/>
        <v>-2018.18692307692</v>
      </c>
      <c r="Y22" s="3"/>
      <c r="Z22" s="8">
        <f t="shared" si="7"/>
        <v>-0.54908031182964434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105</v>
      </c>
      <c r="E23" s="3"/>
      <c r="F23" s="8">
        <f t="shared" si="0"/>
        <v>0</v>
      </c>
      <c r="G23" s="3"/>
      <c r="H23" s="7">
        <v>143.31072</v>
      </c>
      <c r="I23" s="3"/>
      <c r="J23" s="8">
        <f t="shared" si="1"/>
        <v>0</v>
      </c>
      <c r="K23" s="3"/>
      <c r="L23" s="7">
        <f t="shared" si="2"/>
        <v>-38.310720000000003</v>
      </c>
      <c r="M23" s="3"/>
      <c r="N23" s="8">
        <f t="shared" si="3"/>
        <v>-0.26732626840476414</v>
      </c>
      <c r="O23" s="12"/>
      <c r="P23" s="7">
        <v>105</v>
      </c>
      <c r="Q23" s="3"/>
      <c r="R23" s="8">
        <f t="shared" si="4"/>
        <v>0</v>
      </c>
      <c r="S23" s="3"/>
      <c r="T23" s="7">
        <v>143.31072</v>
      </c>
      <c r="U23" s="3"/>
      <c r="V23" s="8">
        <f t="shared" si="5"/>
        <v>0</v>
      </c>
      <c r="W23" s="3"/>
      <c r="X23" s="7">
        <f t="shared" si="6"/>
        <v>-38.310720000000003</v>
      </c>
      <c r="Y23" s="3"/>
      <c r="Z23" s="8">
        <f t="shared" si="7"/>
        <v>-0.26732626840476414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1359.34</v>
      </c>
      <c r="E24" s="3"/>
      <c r="F24" s="8">
        <f t="shared" si="0"/>
        <v>0</v>
      </c>
      <c r="G24" s="3"/>
      <c r="H24" s="7">
        <v>914.67516153846202</v>
      </c>
      <c r="I24" s="3"/>
      <c r="J24" s="8">
        <f t="shared" si="1"/>
        <v>0</v>
      </c>
      <c r="K24" s="3"/>
      <c r="L24" s="7">
        <f t="shared" si="2"/>
        <v>444.6648384615379</v>
      </c>
      <c r="M24" s="3"/>
      <c r="N24" s="8">
        <f t="shared" si="3"/>
        <v>0.4861450897099055</v>
      </c>
      <c r="O24" s="12"/>
      <c r="P24" s="7">
        <v>1359.34</v>
      </c>
      <c r="Q24" s="3"/>
      <c r="R24" s="8">
        <f t="shared" si="4"/>
        <v>0</v>
      </c>
      <c r="S24" s="3"/>
      <c r="T24" s="7">
        <v>914.67516153846202</v>
      </c>
      <c r="U24" s="3"/>
      <c r="V24" s="8">
        <f t="shared" si="5"/>
        <v>0</v>
      </c>
      <c r="W24" s="3"/>
      <c r="X24" s="7">
        <f t="shared" si="6"/>
        <v>444.6648384615379</v>
      </c>
      <c r="Y24" s="3"/>
      <c r="Z24" s="8">
        <f t="shared" si="7"/>
        <v>0.4861450897099055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>
        <v>401.9</v>
      </c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401.9</v>
      </c>
      <c r="M25" s="3"/>
      <c r="N25" s="8">
        <f t="shared" si="3"/>
        <v>0</v>
      </c>
      <c r="O25" s="12"/>
      <c r="P25" s="7">
        <v>401.9</v>
      </c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401.9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"6118", " - ", "VACATION")</f>
        <v xml:space="preserve">          6118 - VACATION</v>
      </c>
      <c r="C26" s="12"/>
      <c r="D26" s="7">
        <v>1161.98</v>
      </c>
      <c r="E26" s="3"/>
      <c r="F26" s="8">
        <f t="shared" si="0"/>
        <v>0</v>
      </c>
      <c r="G26" s="3"/>
      <c r="H26" s="7">
        <v>681.787884615385</v>
      </c>
      <c r="I26" s="3"/>
      <c r="J26" s="8">
        <f t="shared" si="1"/>
        <v>0</v>
      </c>
      <c r="K26" s="3"/>
      <c r="L26" s="7">
        <f t="shared" si="2"/>
        <v>480.19211538461502</v>
      </c>
      <c r="M26" s="3"/>
      <c r="N26" s="8">
        <f t="shared" si="3"/>
        <v>0.70431306601393251</v>
      </c>
      <c r="O26" s="12"/>
      <c r="P26" s="7">
        <v>1161.98</v>
      </c>
      <c r="Q26" s="3"/>
      <c r="R26" s="8">
        <f t="shared" si="4"/>
        <v>0</v>
      </c>
      <c r="S26" s="3"/>
      <c r="T26" s="7">
        <v>681.787884615385</v>
      </c>
      <c r="U26" s="3"/>
      <c r="V26" s="8">
        <f t="shared" si="5"/>
        <v>0</v>
      </c>
      <c r="W26" s="3"/>
      <c r="X26" s="7">
        <f t="shared" si="6"/>
        <v>480.19211538461502</v>
      </c>
      <c r="Y26" s="3"/>
      <c r="Z26" s="8">
        <f t="shared" si="7"/>
        <v>0.70431306601393251</v>
      </c>
    </row>
    <row r="27" spans="1:26" s="24" customFormat="1" hidden="1" outlineLevel="2" x14ac:dyDescent="0.25">
      <c r="A27" s="27"/>
      <c r="B27" s="12" t="str">
        <f>CONCATENATE("          ", "6119", " - ", "SICK LEAVE")</f>
        <v xml:space="preserve">          6119 - SICK LEAVE</v>
      </c>
      <c r="C27" s="12"/>
      <c r="D27" s="7">
        <v>758.33</v>
      </c>
      <c r="E27" s="3"/>
      <c r="F27" s="8">
        <f t="shared" si="0"/>
        <v>0</v>
      </c>
      <c r="G27" s="3"/>
      <c r="H27" s="7">
        <v>1078.37538461538</v>
      </c>
      <c r="I27" s="3"/>
      <c r="J27" s="8">
        <f t="shared" si="1"/>
        <v>0</v>
      </c>
      <c r="K27" s="3"/>
      <c r="L27" s="7">
        <f t="shared" si="2"/>
        <v>-320.04538461537993</v>
      </c>
      <c r="M27" s="3"/>
      <c r="N27" s="8">
        <f t="shared" si="3"/>
        <v>-0.29678476454609476</v>
      </c>
      <c r="O27" s="12"/>
      <c r="P27" s="7">
        <v>758.33</v>
      </c>
      <c r="Q27" s="3"/>
      <c r="R27" s="8">
        <f t="shared" si="4"/>
        <v>0</v>
      </c>
      <c r="S27" s="3"/>
      <c r="T27" s="7">
        <v>1078.37538461538</v>
      </c>
      <c r="U27" s="3"/>
      <c r="V27" s="8">
        <f t="shared" si="5"/>
        <v>0</v>
      </c>
      <c r="W27" s="3"/>
      <c r="X27" s="7">
        <f t="shared" si="6"/>
        <v>-320.04538461537993</v>
      </c>
      <c r="Y27" s="3"/>
      <c r="Z27" s="8">
        <f t="shared" si="7"/>
        <v>-0.29678476454609476</v>
      </c>
    </row>
    <row r="28" spans="1:26" s="24" customFormat="1" hidden="1" outlineLevel="2" x14ac:dyDescent="0.25">
      <c r="A28" s="27"/>
      <c r="B28" s="12" t="str">
        <f>CONCATENATE("          ", "6156", " - ", "EMPLOYEE MEALS")</f>
        <v xml:space="preserve">          6156 - EMPLOYEE MEALS</v>
      </c>
      <c r="C28" s="12"/>
      <c r="D28" s="7">
        <v>78.349999999999994</v>
      </c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78.349999999999994</v>
      </c>
      <c r="M28" s="3"/>
      <c r="N28" s="8">
        <f t="shared" si="3"/>
        <v>0</v>
      </c>
      <c r="O28" s="12"/>
      <c r="P28" s="7">
        <v>78.349999999999994</v>
      </c>
      <c r="Q28" s="3"/>
      <c r="R28" s="8">
        <f t="shared" si="4"/>
        <v>0</v>
      </c>
      <c r="S28" s="3"/>
      <c r="T28" s="7"/>
      <c r="U28" s="3"/>
      <c r="V28" s="8">
        <f t="shared" si="5"/>
        <v>0</v>
      </c>
      <c r="W28" s="3"/>
      <c r="X28" s="7">
        <f t="shared" si="6"/>
        <v>78.349999999999994</v>
      </c>
      <c r="Y28" s="3"/>
      <c r="Z28" s="8">
        <f t="shared" si="7"/>
        <v>0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43822.61</v>
      </c>
      <c r="E29" s="1"/>
      <c r="F29" s="5">
        <f t="shared" ref="F29:F39" si="8">IF(D$12=0,0,D29/D$12)</f>
        <v>0</v>
      </c>
      <c r="G29" s="1"/>
      <c r="H29" s="1">
        <f>SUM(OSRRefH22_1x_0)</f>
        <v>53805.931923076932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-9983.3219230769319</v>
      </c>
      <c r="M29" s="1"/>
      <c r="N29" s="5">
        <f t="shared" ref="N29:N39" si="11">IF(H29=0,0,L29/H29)</f>
        <v>-0.18554314675470132</v>
      </c>
      <c r="O29" s="14"/>
      <c r="P29" s="1">
        <f>SUM(OSRRefP22_1x_0)</f>
        <v>43822.61</v>
      </c>
      <c r="Q29" s="1"/>
      <c r="R29" s="5">
        <f t="shared" ref="R29:R39" si="12">IF(P$12=0,0,P29/P$12)</f>
        <v>0</v>
      </c>
      <c r="S29" s="1"/>
      <c r="T29" s="1">
        <f>SUM(OSRRefT22_1x_0)</f>
        <v>53805.931923076932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-9983.3219230769319</v>
      </c>
      <c r="Y29" s="1"/>
      <c r="Z29" s="5">
        <f t="shared" ref="Z29:Z39" si="15">IF(T29=0,0,X29/T29)</f>
        <v>-0.18554314675470132</v>
      </c>
    </row>
    <row r="30" spans="1:26" s="24" customFormat="1" hidden="1" outlineLevel="2" x14ac:dyDescent="0.25">
      <c r="A30" s="27"/>
      <c r="B30" s="12" t="str">
        <f>CONCATENATE("          ", "6001", " - ", "ADMINISTRATIVE SALARIES")</f>
        <v xml:space="preserve">          6001 - ADMINISTRATIVE SALARIES</v>
      </c>
      <c r="C30" s="12"/>
      <c r="D30" s="7">
        <v>4837.17</v>
      </c>
      <c r="E30" s="3"/>
      <c r="F30" s="8">
        <f t="shared" si="8"/>
        <v>0</v>
      </c>
      <c r="G30" s="3"/>
      <c r="H30" s="7">
        <v>4759.6153846153902</v>
      </c>
      <c r="I30" s="3"/>
      <c r="J30" s="8">
        <f t="shared" si="9"/>
        <v>0</v>
      </c>
      <c r="K30" s="3"/>
      <c r="L30" s="7">
        <f t="shared" si="10"/>
        <v>77.55461538460986</v>
      </c>
      <c r="M30" s="3"/>
      <c r="N30" s="8">
        <f t="shared" si="11"/>
        <v>1.6294303030301851E-2</v>
      </c>
      <c r="O30" s="12"/>
      <c r="P30" s="7">
        <v>4837.17</v>
      </c>
      <c r="Q30" s="3"/>
      <c r="R30" s="8">
        <f t="shared" si="12"/>
        <v>0</v>
      </c>
      <c r="S30" s="3"/>
      <c r="T30" s="7">
        <v>4759.6153846153902</v>
      </c>
      <c r="U30" s="3"/>
      <c r="V30" s="8">
        <f t="shared" si="13"/>
        <v>0</v>
      </c>
      <c r="W30" s="3"/>
      <c r="X30" s="7">
        <f t="shared" si="14"/>
        <v>77.55461538460986</v>
      </c>
      <c r="Y30" s="3"/>
      <c r="Z30" s="8">
        <f t="shared" si="15"/>
        <v>1.6294303030301851E-2</v>
      </c>
    </row>
    <row r="31" spans="1:26" s="24" customFormat="1" hidden="1" outlineLevel="2" x14ac:dyDescent="0.25">
      <c r="A31" s="27"/>
      <c r="B31" s="12" t="str">
        <f>CONCATENATE("          ", "6002", " - ", "STAFF SALARIES")</f>
        <v xml:space="preserve">          6002 - STAFF SALARIES</v>
      </c>
      <c r="C31" s="12"/>
      <c r="D31" s="7">
        <v>8856.2999999999993</v>
      </c>
      <c r="E31" s="3"/>
      <c r="F31" s="8">
        <f t="shared" si="8"/>
        <v>0</v>
      </c>
      <c r="G31" s="3"/>
      <c r="H31" s="7">
        <v>4812.5665384615395</v>
      </c>
      <c r="I31" s="3"/>
      <c r="J31" s="8">
        <f t="shared" si="9"/>
        <v>0</v>
      </c>
      <c r="K31" s="3"/>
      <c r="L31" s="7">
        <f t="shared" si="10"/>
        <v>4043.7334615384598</v>
      </c>
      <c r="M31" s="3"/>
      <c r="N31" s="8">
        <f t="shared" si="11"/>
        <v>0.8402446863272135</v>
      </c>
      <c r="O31" s="12"/>
      <c r="P31" s="7">
        <v>8856.2999999999993</v>
      </c>
      <c r="Q31" s="3"/>
      <c r="R31" s="8">
        <f t="shared" si="12"/>
        <v>0</v>
      </c>
      <c r="S31" s="3"/>
      <c r="T31" s="7">
        <v>4812.5665384615395</v>
      </c>
      <c r="U31" s="3"/>
      <c r="V31" s="8">
        <f t="shared" si="13"/>
        <v>0</v>
      </c>
      <c r="W31" s="3"/>
      <c r="X31" s="7">
        <f t="shared" si="14"/>
        <v>4043.7334615384598</v>
      </c>
      <c r="Y31" s="3"/>
      <c r="Z31" s="8">
        <f t="shared" si="15"/>
        <v>0.8402446863272135</v>
      </c>
    </row>
    <row r="32" spans="1:26" s="24" customFormat="1" hidden="1" outlineLevel="2" x14ac:dyDescent="0.25">
      <c r="A32" s="27"/>
      <c r="B32" s="12" t="str">
        <f>CONCATENATE("          ", "6003", " - ", "STAFF HOURLY-9 MONTH")</f>
        <v xml:space="preserve">          6003 - STAFF HOURLY-9 MONTH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"6004", " - ", "STAFF HOURLY")</f>
        <v xml:space="preserve">          6004 - STAFF HOURLY</v>
      </c>
      <c r="C33" s="12"/>
      <c r="D33" s="7">
        <v>3465.6</v>
      </c>
      <c r="E33" s="3"/>
      <c r="F33" s="8">
        <f t="shared" si="8"/>
        <v>0</v>
      </c>
      <c r="G33" s="3"/>
      <c r="H33" s="7">
        <v>15100</v>
      </c>
      <c r="I33" s="3"/>
      <c r="J33" s="8">
        <f t="shared" si="9"/>
        <v>0</v>
      </c>
      <c r="K33" s="3"/>
      <c r="L33" s="7">
        <f t="shared" si="10"/>
        <v>-11634.4</v>
      </c>
      <c r="M33" s="3"/>
      <c r="N33" s="8">
        <f t="shared" si="11"/>
        <v>-0.77049006622516558</v>
      </c>
      <c r="O33" s="12"/>
      <c r="P33" s="7">
        <v>3465.6</v>
      </c>
      <c r="Q33" s="3"/>
      <c r="R33" s="8">
        <f t="shared" si="12"/>
        <v>0</v>
      </c>
      <c r="S33" s="3"/>
      <c r="T33" s="7">
        <v>15100</v>
      </c>
      <c r="U33" s="3"/>
      <c r="V33" s="8">
        <f t="shared" si="13"/>
        <v>0</v>
      </c>
      <c r="W33" s="3"/>
      <c r="X33" s="7">
        <f t="shared" si="14"/>
        <v>-11634.4</v>
      </c>
      <c r="Y33" s="3"/>
      <c r="Z33" s="8">
        <f t="shared" si="15"/>
        <v>-0.77049006622516558</v>
      </c>
    </row>
    <row r="34" spans="1:26" s="24" customFormat="1" hidden="1" outlineLevel="2" x14ac:dyDescent="0.25">
      <c r="A34" s="27"/>
      <c r="B34" s="12" t="str">
        <f>CONCATENATE("          ", "6005", " - ", "TEMPORARY WAGES-HOURLY")</f>
        <v xml:space="preserve">          6005 - TEMPORARY WAGES-HOURLY</v>
      </c>
      <c r="C34" s="12"/>
      <c r="D34" s="7">
        <v>8462.1</v>
      </c>
      <c r="E34" s="3"/>
      <c r="F34" s="8">
        <f t="shared" si="8"/>
        <v>0</v>
      </c>
      <c r="G34" s="3"/>
      <c r="H34" s="7">
        <v>0</v>
      </c>
      <c r="I34" s="3"/>
      <c r="J34" s="8">
        <f t="shared" si="9"/>
        <v>0</v>
      </c>
      <c r="K34" s="3"/>
      <c r="L34" s="7">
        <f t="shared" si="10"/>
        <v>8462.1</v>
      </c>
      <c r="M34" s="3"/>
      <c r="N34" s="8">
        <f t="shared" si="11"/>
        <v>0</v>
      </c>
      <c r="O34" s="12"/>
      <c r="P34" s="7">
        <v>8462.1</v>
      </c>
      <c r="Q34" s="3"/>
      <c r="R34" s="8">
        <f t="shared" si="12"/>
        <v>0</v>
      </c>
      <c r="S34" s="3"/>
      <c r="T34" s="7">
        <v>0</v>
      </c>
      <c r="U34" s="3"/>
      <c r="V34" s="8">
        <f t="shared" si="13"/>
        <v>0</v>
      </c>
      <c r="W34" s="3"/>
      <c r="X34" s="7">
        <f t="shared" si="14"/>
        <v>8462.1</v>
      </c>
      <c r="Y34" s="3"/>
      <c r="Z34" s="8">
        <f t="shared" si="15"/>
        <v>0</v>
      </c>
    </row>
    <row r="35" spans="1:26" s="24" customFormat="1" hidden="1" outlineLevel="2" x14ac:dyDescent="0.25">
      <c r="A35" s="27"/>
      <c r="B35" s="12" t="str">
        <f>CONCATENATE("          ", "6006", " - ", "TEMPORARY PART TIME")</f>
        <v xml:space="preserve">          6006 - TEMPORARY PART TIME</v>
      </c>
      <c r="C35" s="12"/>
      <c r="D35" s="7">
        <v>1545.92</v>
      </c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1545.92</v>
      </c>
      <c r="M35" s="3"/>
      <c r="N35" s="8">
        <f t="shared" si="11"/>
        <v>0</v>
      </c>
      <c r="O35" s="12"/>
      <c r="P35" s="7">
        <v>1545.92</v>
      </c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1545.92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"6007", " - ", "STUDENT HOURLY")</f>
        <v xml:space="preserve">          6007 - STUDENT HOURLY</v>
      </c>
      <c r="C36" s="12"/>
      <c r="D36" s="7">
        <v>16655.52</v>
      </c>
      <c r="E36" s="3"/>
      <c r="F36" s="8">
        <f t="shared" si="8"/>
        <v>0</v>
      </c>
      <c r="G36" s="3"/>
      <c r="H36" s="7">
        <v>24115</v>
      </c>
      <c r="I36" s="3"/>
      <c r="J36" s="8">
        <f t="shared" si="9"/>
        <v>0</v>
      </c>
      <c r="K36" s="3"/>
      <c r="L36" s="7">
        <f t="shared" si="10"/>
        <v>-7459.48</v>
      </c>
      <c r="M36" s="3"/>
      <c r="N36" s="8">
        <f t="shared" si="11"/>
        <v>-0.30932946298984032</v>
      </c>
      <c r="O36" s="12"/>
      <c r="P36" s="7">
        <v>16655.52</v>
      </c>
      <c r="Q36" s="3"/>
      <c r="R36" s="8">
        <f t="shared" si="12"/>
        <v>0</v>
      </c>
      <c r="S36" s="3"/>
      <c r="T36" s="7">
        <v>24115</v>
      </c>
      <c r="U36" s="3"/>
      <c r="V36" s="8">
        <f t="shared" si="13"/>
        <v>0</v>
      </c>
      <c r="W36" s="3"/>
      <c r="X36" s="7">
        <f t="shared" si="14"/>
        <v>-7459.48</v>
      </c>
      <c r="Y36" s="3"/>
      <c r="Z36" s="8">
        <f t="shared" si="15"/>
        <v>-0.30932946298984032</v>
      </c>
    </row>
    <row r="37" spans="1:26" s="24" customFormat="1" hidden="1" outlineLevel="2" x14ac:dyDescent="0.25">
      <c r="A37" s="27"/>
      <c r="B37" s="12" t="str">
        <f>CONCATENATE("          ", "6008", " - ", "STUDENT HOURLY-FICA EXEMPT")</f>
        <v xml:space="preserve">          6008 - STUDENT HOURLY-FICA EXEMPT</v>
      </c>
      <c r="C37" s="12"/>
      <c r="D37" s="7"/>
      <c r="E37" s="3"/>
      <c r="F37" s="8">
        <f t="shared" si="8"/>
        <v>0</v>
      </c>
      <c r="G37" s="3"/>
      <c r="H37" s="7">
        <v>5018.75</v>
      </c>
      <c r="I37" s="3"/>
      <c r="J37" s="8">
        <f t="shared" si="9"/>
        <v>0</v>
      </c>
      <c r="K37" s="3"/>
      <c r="L37" s="7">
        <f t="shared" si="10"/>
        <v>-5018.75</v>
      </c>
      <c r="M37" s="3"/>
      <c r="N37" s="8">
        <f t="shared" si="11"/>
        <v>-1</v>
      </c>
      <c r="O37" s="12"/>
      <c r="P37" s="7"/>
      <c r="Q37" s="3"/>
      <c r="R37" s="8">
        <f t="shared" si="12"/>
        <v>0</v>
      </c>
      <c r="S37" s="3"/>
      <c r="T37" s="7">
        <v>5018.75</v>
      </c>
      <c r="U37" s="3"/>
      <c r="V37" s="8">
        <f t="shared" si="13"/>
        <v>0</v>
      </c>
      <c r="W37" s="3"/>
      <c r="X37" s="7">
        <f t="shared" si="14"/>
        <v>-5018.75</v>
      </c>
      <c r="Y37" s="3"/>
      <c r="Z37" s="8">
        <f t="shared" si="15"/>
        <v>-1</v>
      </c>
    </row>
    <row r="38" spans="1:26" s="24" customFormat="1" hidden="1" outlineLevel="2" x14ac:dyDescent="0.25">
      <c r="A38" s="27"/>
      <c r="B38" s="12" t="str">
        <f>CONCATENATE("          ", "6009", " - ", "TEMPORARY-SEASONAL")</f>
        <v xml:space="preserve">          6009 - TEMPORARY-SEASONAL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4" customFormat="1" hidden="1" outlineLevel="2" x14ac:dyDescent="0.25">
      <c r="A39" s="27"/>
      <c r="B39" s="12" t="str">
        <f>CONCATENATE("          ", "6010", " - ", "GRATUITY")</f>
        <v xml:space="preserve">          6010 - GRATUITY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29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SUM(OSRRefD22_2x_0)</f>
        <v>5.88</v>
      </c>
      <c r="E40" s="1"/>
      <c r="F40" s="5">
        <f t="shared" ref="F40:F42" si="16">IF(D$12=0,0,D40/D$12)</f>
        <v>0</v>
      </c>
      <c r="G40" s="1"/>
      <c r="H40" s="1">
        <f>SUM(OSRRefH22_2x_0)</f>
        <v>100</v>
      </c>
      <c r="I40" s="1"/>
      <c r="J40" s="5">
        <f t="shared" ref="J40:J42" si="17">IF(H$12=0,0,H40/H$12)</f>
        <v>0</v>
      </c>
      <c r="K40" s="1"/>
      <c r="L40" s="1">
        <f t="shared" ref="L40:L42" si="18">+D40-H40</f>
        <v>-94.12</v>
      </c>
      <c r="M40" s="1"/>
      <c r="N40" s="5">
        <f t="shared" ref="N40:N42" si="19">IF(H40=0,0,L40/H40)</f>
        <v>-0.94120000000000004</v>
      </c>
      <c r="O40" s="14"/>
      <c r="P40" s="1">
        <f>SUM(OSRRefP22_2x_0)</f>
        <v>5.88</v>
      </c>
      <c r="Q40" s="1"/>
      <c r="R40" s="5">
        <f t="shared" ref="R40:R42" si="20">IF(P$12=0,0,P40/P$12)</f>
        <v>0</v>
      </c>
      <c r="S40" s="1"/>
      <c r="T40" s="1">
        <f>SUM(OSRRefT22_2x_0)</f>
        <v>100</v>
      </c>
      <c r="U40" s="1"/>
      <c r="V40" s="5">
        <f t="shared" ref="V40:V42" si="21">IF(T$12=0,0,T40/T$12)</f>
        <v>0</v>
      </c>
      <c r="W40" s="1"/>
      <c r="X40" s="1">
        <f t="shared" ref="X40:X42" si="22">+P40-T40</f>
        <v>-94.12</v>
      </c>
      <c r="Y40" s="1"/>
      <c r="Z40" s="5">
        <f t="shared" ref="Z40:Z42" si="23">IF(T40=0,0,X40/T40)</f>
        <v>-0.94120000000000004</v>
      </c>
    </row>
    <row r="41" spans="1:26" s="24" customFormat="1" hidden="1" outlineLevel="2" x14ac:dyDescent="0.25">
      <c r="A41" s="27"/>
      <c r="B41" s="12" t="str">
        <f>CONCATENATE("          ", "6272", " - ", "CASH (OVER/SHORT)")</f>
        <v xml:space="preserve">          6272 - CASH (OVER/SHORT)</v>
      </c>
      <c r="C41" s="12"/>
      <c r="D41" s="7">
        <v>5.88</v>
      </c>
      <c r="E41" s="3"/>
      <c r="F41" s="8">
        <f t="shared" si="16"/>
        <v>0</v>
      </c>
      <c r="G41" s="3"/>
      <c r="H41" s="7">
        <v>50</v>
      </c>
      <c r="I41" s="3"/>
      <c r="J41" s="8">
        <f t="shared" si="17"/>
        <v>0</v>
      </c>
      <c r="K41" s="3"/>
      <c r="L41" s="7">
        <f t="shared" si="18"/>
        <v>-44.12</v>
      </c>
      <c r="M41" s="3"/>
      <c r="N41" s="8">
        <f t="shared" si="19"/>
        <v>-0.88239999999999996</v>
      </c>
      <c r="O41" s="12"/>
      <c r="P41" s="7">
        <v>5.88</v>
      </c>
      <c r="Q41" s="3"/>
      <c r="R41" s="8">
        <f t="shared" si="20"/>
        <v>0</v>
      </c>
      <c r="S41" s="3"/>
      <c r="T41" s="7">
        <v>50</v>
      </c>
      <c r="U41" s="3"/>
      <c r="V41" s="8">
        <f t="shared" si="21"/>
        <v>0</v>
      </c>
      <c r="W41" s="3"/>
      <c r="X41" s="7">
        <f t="shared" si="22"/>
        <v>-44.12</v>
      </c>
      <c r="Y41" s="3"/>
      <c r="Z41" s="8">
        <f t="shared" si="23"/>
        <v>-0.88239999999999996</v>
      </c>
    </row>
    <row r="42" spans="1:26" s="24" customFormat="1" hidden="1" outlineLevel="2" x14ac:dyDescent="0.25">
      <c r="A42" s="27"/>
      <c r="B42" s="12" t="str">
        <f>CONCATENATE("          ", "6342", " - ", "BAD DEBT")</f>
        <v xml:space="preserve">          6342 - BAD DEBT</v>
      </c>
      <c r="C42" s="12"/>
      <c r="D42" s="7"/>
      <c r="E42" s="3"/>
      <c r="F42" s="8">
        <f t="shared" si="16"/>
        <v>0</v>
      </c>
      <c r="G42" s="3"/>
      <c r="H42" s="7">
        <v>50</v>
      </c>
      <c r="I42" s="3"/>
      <c r="J42" s="8">
        <f t="shared" si="17"/>
        <v>0</v>
      </c>
      <c r="K42" s="3"/>
      <c r="L42" s="7">
        <f t="shared" si="18"/>
        <v>-50</v>
      </c>
      <c r="M42" s="3"/>
      <c r="N42" s="8">
        <f t="shared" si="19"/>
        <v>-1</v>
      </c>
      <c r="O42" s="12"/>
      <c r="P42" s="7"/>
      <c r="Q42" s="3"/>
      <c r="R42" s="8">
        <f t="shared" si="20"/>
        <v>0</v>
      </c>
      <c r="S42" s="3"/>
      <c r="T42" s="7">
        <v>50</v>
      </c>
      <c r="U42" s="3"/>
      <c r="V42" s="8">
        <f t="shared" si="21"/>
        <v>0</v>
      </c>
      <c r="W42" s="3"/>
      <c r="X42" s="7">
        <f t="shared" si="22"/>
        <v>-50</v>
      </c>
      <c r="Y42" s="3"/>
      <c r="Z42" s="8">
        <f t="shared" si="23"/>
        <v>-1</v>
      </c>
    </row>
    <row r="43" spans="1:26" s="29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2810.32</v>
      </c>
      <c r="E43" s="1"/>
      <c r="F43" s="5">
        <f t="shared" ref="F43:F47" si="24">IF(D$12=0,0,D43/D$12)</f>
        <v>0</v>
      </c>
      <c r="G43" s="1"/>
      <c r="H43" s="1">
        <f>SUM(OSRRefH22_3x_0)</f>
        <v>4000</v>
      </c>
      <c r="I43" s="1"/>
      <c r="J43" s="5">
        <f t="shared" ref="J43:J47" si="25">IF(H$12=0,0,H43/H$12)</f>
        <v>0</v>
      </c>
      <c r="K43" s="1"/>
      <c r="L43" s="1">
        <f t="shared" ref="L43:L47" si="26">+D43-H43</f>
        <v>-1189.6799999999998</v>
      </c>
      <c r="M43" s="1"/>
      <c r="N43" s="5">
        <f t="shared" ref="N43:N47" si="27">IF(H43=0,0,L43/H43)</f>
        <v>-0.29741999999999996</v>
      </c>
      <c r="O43" s="14"/>
      <c r="P43" s="1">
        <f>SUM(OSRRefP22_3x_0)</f>
        <v>2810.32</v>
      </c>
      <c r="Q43" s="1"/>
      <c r="R43" s="5">
        <f t="shared" ref="R43:R47" si="28">IF(P$12=0,0,P43/P$12)</f>
        <v>0</v>
      </c>
      <c r="S43" s="1"/>
      <c r="T43" s="1">
        <f>SUM(OSRRefT22_3x_0)</f>
        <v>4000</v>
      </c>
      <c r="U43" s="1"/>
      <c r="V43" s="5">
        <f t="shared" ref="V43:V47" si="29">IF(T$12=0,0,T43/T$12)</f>
        <v>0</v>
      </c>
      <c r="W43" s="1"/>
      <c r="X43" s="1">
        <f t="shared" ref="X43:X47" si="30">+P43-T43</f>
        <v>-1189.6799999999998</v>
      </c>
      <c r="Y43" s="1"/>
      <c r="Z43" s="5">
        <f t="shared" ref="Z43:Z47" si="31">IF(T43=0,0,X43/T43)</f>
        <v>-0.29741999999999996</v>
      </c>
    </row>
    <row r="44" spans="1:26" s="24" customFormat="1" hidden="1" outlineLevel="2" x14ac:dyDescent="0.25">
      <c r="A44" s="27"/>
      <c r="B44" s="12" t="str">
        <f>CONCATENATE("          ", "6381", " - ", "BANK/CREDIT CARD FEES")</f>
        <v xml:space="preserve">          6381 - BANK/CREDIT CARD FEES</v>
      </c>
      <c r="C44" s="12"/>
      <c r="D44" s="7">
        <v>2810.32</v>
      </c>
      <c r="E44" s="3"/>
      <c r="F44" s="8">
        <f t="shared" si="24"/>
        <v>0</v>
      </c>
      <c r="G44" s="3"/>
      <c r="H44" s="7">
        <v>4000</v>
      </c>
      <c r="I44" s="3"/>
      <c r="J44" s="8">
        <f t="shared" si="25"/>
        <v>0</v>
      </c>
      <c r="K44" s="3"/>
      <c r="L44" s="7">
        <f t="shared" si="26"/>
        <v>-1189.6799999999998</v>
      </c>
      <c r="M44" s="3"/>
      <c r="N44" s="8">
        <f t="shared" si="27"/>
        <v>-0.29741999999999996</v>
      </c>
      <c r="O44" s="12"/>
      <c r="P44" s="7">
        <v>2810.32</v>
      </c>
      <c r="Q44" s="3"/>
      <c r="R44" s="8">
        <f t="shared" si="28"/>
        <v>0</v>
      </c>
      <c r="S44" s="3"/>
      <c r="T44" s="7">
        <v>4000</v>
      </c>
      <c r="U44" s="3"/>
      <c r="V44" s="8">
        <f t="shared" si="29"/>
        <v>0</v>
      </c>
      <c r="W44" s="3"/>
      <c r="X44" s="7">
        <f t="shared" si="30"/>
        <v>-1189.6799999999998</v>
      </c>
      <c r="Y44" s="3"/>
      <c r="Z44" s="8">
        <f t="shared" si="31"/>
        <v>-0.29741999999999996</v>
      </c>
    </row>
    <row r="45" spans="1:26" s="29" customFormat="1" outlineLevel="1" collapsed="1" x14ac:dyDescent="0.25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30176.98</v>
      </c>
      <c r="E45" s="1"/>
      <c r="F45" s="5">
        <f t="shared" si="24"/>
        <v>0</v>
      </c>
      <c r="G45" s="1"/>
      <c r="H45" s="1">
        <f>SUM(OSRRefH22_4x_0)</f>
        <v>30460</v>
      </c>
      <c r="I45" s="1"/>
      <c r="J45" s="5">
        <f t="shared" si="25"/>
        <v>0</v>
      </c>
      <c r="K45" s="1"/>
      <c r="L45" s="1">
        <f t="shared" si="26"/>
        <v>-283.02000000000044</v>
      </c>
      <c r="M45" s="1"/>
      <c r="N45" s="5">
        <f t="shared" si="27"/>
        <v>-9.2915298752462381E-3</v>
      </c>
      <c r="O45" s="14"/>
      <c r="P45" s="1">
        <f>SUM(OSRRefP22_4x_0)</f>
        <v>30176.98</v>
      </c>
      <c r="Q45" s="1"/>
      <c r="R45" s="5">
        <f t="shared" si="28"/>
        <v>0</v>
      </c>
      <c r="S45" s="1"/>
      <c r="T45" s="1">
        <f>SUM(OSRRefT22_4x_0)</f>
        <v>30460</v>
      </c>
      <c r="U45" s="1"/>
      <c r="V45" s="5">
        <f t="shared" si="29"/>
        <v>0</v>
      </c>
      <c r="W45" s="1"/>
      <c r="X45" s="1">
        <f t="shared" si="30"/>
        <v>-283.02000000000044</v>
      </c>
      <c r="Y45" s="1"/>
      <c r="Z45" s="5">
        <f t="shared" si="31"/>
        <v>-9.2915298752462381E-3</v>
      </c>
    </row>
    <row r="46" spans="1:26" s="24" customFormat="1" hidden="1" outlineLevel="2" x14ac:dyDescent="0.25">
      <c r="A46" s="27"/>
      <c r="B46" s="12" t="str">
        <f>CONCATENATE("          ", "6321", " - ", "BUILDING DEPRECIATION")</f>
        <v xml:space="preserve">          6321 - BUILDING DEPRECIATION</v>
      </c>
      <c r="C46" s="12"/>
      <c r="D46" s="7">
        <v>16396.52</v>
      </c>
      <c r="E46" s="3"/>
      <c r="F46" s="8">
        <f t="shared" si="24"/>
        <v>0</v>
      </c>
      <c r="G46" s="3"/>
      <c r="H46" s="7"/>
      <c r="I46" s="3"/>
      <c r="J46" s="8">
        <f t="shared" si="25"/>
        <v>0</v>
      </c>
      <c r="K46" s="3"/>
      <c r="L46" s="7">
        <f t="shared" si="26"/>
        <v>16396.52</v>
      </c>
      <c r="M46" s="3"/>
      <c r="N46" s="8">
        <f t="shared" si="27"/>
        <v>0</v>
      </c>
      <c r="O46" s="12"/>
      <c r="P46" s="7">
        <v>16396.52</v>
      </c>
      <c r="Q46" s="3"/>
      <c r="R46" s="8">
        <f t="shared" si="28"/>
        <v>0</v>
      </c>
      <c r="S46" s="3"/>
      <c r="T46" s="7"/>
      <c r="U46" s="3"/>
      <c r="V46" s="8">
        <f t="shared" si="29"/>
        <v>0</v>
      </c>
      <c r="W46" s="3"/>
      <c r="X46" s="7">
        <f t="shared" si="30"/>
        <v>16396.52</v>
      </c>
      <c r="Y46" s="3"/>
      <c r="Z46" s="8">
        <f t="shared" si="31"/>
        <v>0</v>
      </c>
    </row>
    <row r="47" spans="1:26" s="24" customFormat="1" hidden="1" outlineLevel="2" x14ac:dyDescent="0.25">
      <c r="A47" s="27"/>
      <c r="B47" s="12" t="str">
        <f>CONCATENATE("          ", "6322", " - ", "EQUIPMENT DEPRECIATION EXPENSE")</f>
        <v xml:space="preserve">          6322 - EQUIPMENT DEPRECIATION EXPENSE</v>
      </c>
      <c r="C47" s="12"/>
      <c r="D47" s="7">
        <v>13780.46</v>
      </c>
      <c r="E47" s="3"/>
      <c r="F47" s="8">
        <f t="shared" si="24"/>
        <v>0</v>
      </c>
      <c r="G47" s="3"/>
      <c r="H47" s="7">
        <v>30460</v>
      </c>
      <c r="I47" s="3"/>
      <c r="J47" s="8">
        <f t="shared" si="25"/>
        <v>0</v>
      </c>
      <c r="K47" s="3"/>
      <c r="L47" s="7">
        <f t="shared" si="26"/>
        <v>-16679.54</v>
      </c>
      <c r="M47" s="3"/>
      <c r="N47" s="8">
        <f t="shared" si="27"/>
        <v>-0.54758831254103746</v>
      </c>
      <c r="O47" s="12"/>
      <c r="P47" s="7">
        <v>13780.46</v>
      </c>
      <c r="Q47" s="3"/>
      <c r="R47" s="8">
        <f t="shared" si="28"/>
        <v>0</v>
      </c>
      <c r="S47" s="3"/>
      <c r="T47" s="7">
        <v>30460</v>
      </c>
      <c r="U47" s="3"/>
      <c r="V47" s="8">
        <f t="shared" si="29"/>
        <v>0</v>
      </c>
      <c r="W47" s="3"/>
      <c r="X47" s="7">
        <f t="shared" si="30"/>
        <v>-16679.54</v>
      </c>
      <c r="Y47" s="3"/>
      <c r="Z47" s="8">
        <f t="shared" si="31"/>
        <v>-0.54758831254103746</v>
      </c>
    </row>
    <row r="48" spans="1:26" s="29" customFormat="1" outlineLevel="1" collapsed="1" x14ac:dyDescent="0.25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SUM(OSRRefD22_5x_0)</f>
        <v>0</v>
      </c>
      <c r="E48" s="1"/>
      <c r="F48" s="5">
        <f t="shared" ref="F48:F67" si="32">IF(D$12=0,0,D48/D$12)</f>
        <v>0</v>
      </c>
      <c r="G48" s="1"/>
      <c r="H48" s="1">
        <f>SUM(OSRRefH22_5x_0)</f>
        <v>1000</v>
      </c>
      <c r="I48" s="1"/>
      <c r="J48" s="5">
        <f t="shared" ref="J48:J67" si="33">IF(H$12=0,0,H48/H$12)</f>
        <v>0</v>
      </c>
      <c r="K48" s="1"/>
      <c r="L48" s="1">
        <f t="shared" ref="L48:L67" si="34">+D48-H48</f>
        <v>-1000</v>
      </c>
      <c r="M48" s="1"/>
      <c r="N48" s="5">
        <f t="shared" ref="N48:N67" si="35">IF(H48=0,0,L48/H48)</f>
        <v>-1</v>
      </c>
      <c r="O48" s="14"/>
      <c r="P48" s="1">
        <f>SUM(OSRRefP22_5x_0)</f>
        <v>0</v>
      </c>
      <c r="Q48" s="1"/>
      <c r="R48" s="5">
        <f t="shared" ref="R48:R67" si="36">IF(P$12=0,0,P48/P$12)</f>
        <v>0</v>
      </c>
      <c r="S48" s="1"/>
      <c r="T48" s="1">
        <f>SUM(OSRRefT22_5x_0)</f>
        <v>1000</v>
      </c>
      <c r="U48" s="1"/>
      <c r="V48" s="5">
        <f t="shared" ref="V48:V67" si="37">IF(T$12=0,0,T48/T$12)</f>
        <v>0</v>
      </c>
      <c r="W48" s="1"/>
      <c r="X48" s="1">
        <f t="shared" ref="X48:X67" si="38">+P48-T48</f>
        <v>-1000</v>
      </c>
      <c r="Y48" s="1"/>
      <c r="Z48" s="5">
        <f t="shared" ref="Z48:Z67" si="39">IF(T48=0,0,X48/T48)</f>
        <v>-1</v>
      </c>
    </row>
    <row r="49" spans="1:26" s="24" customFormat="1" hidden="1" outlineLevel="2" x14ac:dyDescent="0.25">
      <c r="A49" s="27"/>
      <c r="B49" s="12" t="str">
        <f>CONCATENATE("          ", "6399", " - ", "DONATION-ON CAMPUS")</f>
        <v xml:space="preserve">          6399 - DONATION-ON CAMPUS</v>
      </c>
      <c r="C49" s="12"/>
      <c r="D49" s="7"/>
      <c r="E49" s="3"/>
      <c r="F49" s="8">
        <f t="shared" si="32"/>
        <v>0</v>
      </c>
      <c r="G49" s="3"/>
      <c r="H49" s="7">
        <v>1000</v>
      </c>
      <c r="I49" s="3"/>
      <c r="J49" s="8">
        <f t="shared" si="33"/>
        <v>0</v>
      </c>
      <c r="K49" s="3"/>
      <c r="L49" s="7">
        <f t="shared" si="34"/>
        <v>-1000</v>
      </c>
      <c r="M49" s="3"/>
      <c r="N49" s="8">
        <f t="shared" si="35"/>
        <v>-1</v>
      </c>
      <c r="O49" s="12"/>
      <c r="P49" s="7"/>
      <c r="Q49" s="3"/>
      <c r="R49" s="8">
        <f t="shared" si="36"/>
        <v>0</v>
      </c>
      <c r="S49" s="3"/>
      <c r="T49" s="7">
        <v>1000</v>
      </c>
      <c r="U49" s="3"/>
      <c r="V49" s="8">
        <f t="shared" si="37"/>
        <v>0</v>
      </c>
      <c r="W49" s="3"/>
      <c r="X49" s="7">
        <f t="shared" si="38"/>
        <v>-1000</v>
      </c>
      <c r="Y49" s="3"/>
      <c r="Z49" s="8">
        <f t="shared" si="39"/>
        <v>-1</v>
      </c>
    </row>
    <row r="50" spans="1:26" s="29" customFormat="1" outlineLevel="1" collapsed="1" x14ac:dyDescent="0.25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0</v>
      </c>
      <c r="E50" s="1"/>
      <c r="F50" s="5">
        <f t="shared" si="32"/>
        <v>0</v>
      </c>
      <c r="G50" s="1"/>
      <c r="H50" s="1">
        <f>SUM(OSRRefH22_6x_0)</f>
        <v>150</v>
      </c>
      <c r="I50" s="1"/>
      <c r="J50" s="5">
        <f t="shared" si="33"/>
        <v>0</v>
      </c>
      <c r="K50" s="1"/>
      <c r="L50" s="1">
        <f t="shared" si="34"/>
        <v>-150</v>
      </c>
      <c r="M50" s="1"/>
      <c r="N50" s="5">
        <f t="shared" si="35"/>
        <v>-1</v>
      </c>
      <c r="O50" s="14"/>
      <c r="P50" s="1">
        <f>SUM(OSRRefP22_6x_0)</f>
        <v>0</v>
      </c>
      <c r="Q50" s="1"/>
      <c r="R50" s="5">
        <f t="shared" si="36"/>
        <v>0</v>
      </c>
      <c r="S50" s="1"/>
      <c r="T50" s="1">
        <f>SUM(OSRRefT22_6x_0)</f>
        <v>150</v>
      </c>
      <c r="U50" s="1"/>
      <c r="V50" s="5">
        <f t="shared" si="37"/>
        <v>0</v>
      </c>
      <c r="W50" s="1"/>
      <c r="X50" s="1">
        <f t="shared" si="38"/>
        <v>-150</v>
      </c>
      <c r="Y50" s="1"/>
      <c r="Z50" s="5">
        <f t="shared" si="39"/>
        <v>-1</v>
      </c>
    </row>
    <row r="51" spans="1:26" s="24" customFormat="1" hidden="1" outlineLevel="2" x14ac:dyDescent="0.25">
      <c r="A51" s="27"/>
      <c r="B51" s="12" t="str">
        <f>CONCATENATE("          ", "6277", " - ", "EMPLOYEE APPRECIATION")</f>
        <v xml:space="preserve">          6277 - EMPLOYEE APPRECIATION</v>
      </c>
      <c r="C51" s="12"/>
      <c r="D51" s="7"/>
      <c r="E51" s="3"/>
      <c r="F51" s="8">
        <f t="shared" si="32"/>
        <v>0</v>
      </c>
      <c r="G51" s="3"/>
      <c r="H51" s="7">
        <v>150</v>
      </c>
      <c r="I51" s="3"/>
      <c r="J51" s="8">
        <f t="shared" si="33"/>
        <v>0</v>
      </c>
      <c r="K51" s="3"/>
      <c r="L51" s="7">
        <f t="shared" si="34"/>
        <v>-150</v>
      </c>
      <c r="M51" s="3"/>
      <c r="N51" s="8">
        <f t="shared" si="35"/>
        <v>-1</v>
      </c>
      <c r="O51" s="12"/>
      <c r="P51" s="7"/>
      <c r="Q51" s="3"/>
      <c r="R51" s="8">
        <f t="shared" si="36"/>
        <v>0</v>
      </c>
      <c r="S51" s="3"/>
      <c r="T51" s="7">
        <v>150</v>
      </c>
      <c r="U51" s="3"/>
      <c r="V51" s="8">
        <f t="shared" si="37"/>
        <v>0</v>
      </c>
      <c r="W51" s="3"/>
      <c r="X51" s="7">
        <f t="shared" si="38"/>
        <v>-150</v>
      </c>
      <c r="Y51" s="3"/>
      <c r="Z51" s="8">
        <f t="shared" si="39"/>
        <v>-1</v>
      </c>
    </row>
    <row r="52" spans="1:26" s="29" customFormat="1" outlineLevel="1" collapsed="1" x14ac:dyDescent="0.25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SUM(OSRRefD22_7x_0)</f>
        <v>91.26</v>
      </c>
      <c r="E52" s="1"/>
      <c r="F52" s="5">
        <f t="shared" si="32"/>
        <v>0</v>
      </c>
      <c r="G52" s="1"/>
      <c r="H52" s="1">
        <f>SUM(OSRRefH22_7x_0)</f>
        <v>1700</v>
      </c>
      <c r="I52" s="1"/>
      <c r="J52" s="5">
        <f t="shared" si="33"/>
        <v>0</v>
      </c>
      <c r="K52" s="1"/>
      <c r="L52" s="1">
        <f t="shared" si="34"/>
        <v>-1608.74</v>
      </c>
      <c r="M52" s="1"/>
      <c r="N52" s="5">
        <f t="shared" si="35"/>
        <v>-0.94631764705882349</v>
      </c>
      <c r="O52" s="14"/>
      <c r="P52" s="1">
        <f>SUM(OSRRefP22_7x_0)</f>
        <v>91.26</v>
      </c>
      <c r="Q52" s="1"/>
      <c r="R52" s="5">
        <f t="shared" si="36"/>
        <v>0</v>
      </c>
      <c r="S52" s="1"/>
      <c r="T52" s="1">
        <f>SUM(OSRRefT22_7x_0)</f>
        <v>1700</v>
      </c>
      <c r="U52" s="1"/>
      <c r="V52" s="5">
        <f t="shared" si="37"/>
        <v>0</v>
      </c>
      <c r="W52" s="1"/>
      <c r="X52" s="1">
        <f t="shared" si="38"/>
        <v>-1608.74</v>
      </c>
      <c r="Y52" s="1"/>
      <c r="Z52" s="5">
        <f t="shared" si="39"/>
        <v>-0.94631764705882349</v>
      </c>
    </row>
    <row r="53" spans="1:26" s="24" customFormat="1" hidden="1" outlineLevel="2" x14ac:dyDescent="0.25">
      <c r="A53" s="27"/>
      <c r="B53" s="12" t="str">
        <f>CONCATENATE("          ", "6351", " - ", "EQUIPMENT RENTAL")</f>
        <v xml:space="preserve">          6351 - EQUIPMENT RENTAL</v>
      </c>
      <c r="C53" s="12"/>
      <c r="D53" s="7">
        <v>91.26</v>
      </c>
      <c r="E53" s="3"/>
      <c r="F53" s="8">
        <f t="shared" si="32"/>
        <v>0</v>
      </c>
      <c r="G53" s="3"/>
      <c r="H53" s="7">
        <v>1700</v>
      </c>
      <c r="I53" s="3"/>
      <c r="J53" s="8">
        <f t="shared" si="33"/>
        <v>0</v>
      </c>
      <c r="K53" s="3"/>
      <c r="L53" s="7">
        <f t="shared" si="34"/>
        <v>-1608.74</v>
      </c>
      <c r="M53" s="3"/>
      <c r="N53" s="8">
        <f t="shared" si="35"/>
        <v>-0.94631764705882349</v>
      </c>
      <c r="O53" s="12"/>
      <c r="P53" s="7">
        <v>91.26</v>
      </c>
      <c r="Q53" s="3"/>
      <c r="R53" s="8">
        <f t="shared" si="36"/>
        <v>0</v>
      </c>
      <c r="S53" s="3"/>
      <c r="T53" s="7">
        <v>1700</v>
      </c>
      <c r="U53" s="3"/>
      <c r="V53" s="8">
        <f t="shared" si="37"/>
        <v>0</v>
      </c>
      <c r="W53" s="3"/>
      <c r="X53" s="7">
        <f t="shared" si="38"/>
        <v>-1608.74</v>
      </c>
      <c r="Y53" s="3"/>
      <c r="Z53" s="8">
        <f t="shared" si="39"/>
        <v>-0.94631764705882349</v>
      </c>
    </row>
    <row r="54" spans="1:26" s="29" customFormat="1" outlineLevel="1" collapsed="1" x14ac:dyDescent="0.25">
      <c r="A54" s="28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SUM(OSRRefD22_8x_0)</f>
        <v>0</v>
      </c>
      <c r="E54" s="1"/>
      <c r="F54" s="5">
        <f t="shared" si="32"/>
        <v>0</v>
      </c>
      <c r="G54" s="1"/>
      <c r="H54" s="1">
        <f>SUM(OSRRefH22_8x_0)</f>
        <v>10</v>
      </c>
      <c r="I54" s="1"/>
      <c r="J54" s="5">
        <f t="shared" si="33"/>
        <v>0</v>
      </c>
      <c r="K54" s="1"/>
      <c r="L54" s="1">
        <f t="shared" si="34"/>
        <v>-10</v>
      </c>
      <c r="M54" s="1"/>
      <c r="N54" s="5">
        <f t="shared" si="35"/>
        <v>-1</v>
      </c>
      <c r="O54" s="14"/>
      <c r="P54" s="1">
        <f>SUM(OSRRefP22_8x_0)</f>
        <v>0</v>
      </c>
      <c r="Q54" s="1"/>
      <c r="R54" s="5">
        <f t="shared" si="36"/>
        <v>0</v>
      </c>
      <c r="S54" s="1"/>
      <c r="T54" s="1">
        <f>SUM(OSRRefT22_8x_0)</f>
        <v>10</v>
      </c>
      <c r="U54" s="1"/>
      <c r="V54" s="5">
        <f t="shared" si="37"/>
        <v>0</v>
      </c>
      <c r="W54" s="1"/>
      <c r="X54" s="1">
        <f t="shared" si="38"/>
        <v>-10</v>
      </c>
      <c r="Y54" s="1"/>
      <c r="Z54" s="5">
        <f t="shared" si="39"/>
        <v>-1</v>
      </c>
    </row>
    <row r="55" spans="1:26" s="24" customFormat="1" hidden="1" outlineLevel="2" x14ac:dyDescent="0.25">
      <c r="A55" s="27"/>
      <c r="B55" s="12" t="str">
        <f>CONCATENATE("          ", "6307", " - ", "POSTAGE")</f>
        <v xml:space="preserve">          6307 - POSTAGE</v>
      </c>
      <c r="C55" s="12"/>
      <c r="D55" s="7"/>
      <c r="E55" s="3"/>
      <c r="F55" s="8">
        <f t="shared" si="32"/>
        <v>0</v>
      </c>
      <c r="G55" s="3"/>
      <c r="H55" s="7">
        <v>10</v>
      </c>
      <c r="I55" s="3"/>
      <c r="J55" s="8">
        <f t="shared" si="33"/>
        <v>0</v>
      </c>
      <c r="K55" s="3"/>
      <c r="L55" s="7">
        <f t="shared" si="34"/>
        <v>-10</v>
      </c>
      <c r="M55" s="3"/>
      <c r="N55" s="8">
        <f t="shared" si="35"/>
        <v>-1</v>
      </c>
      <c r="O55" s="12"/>
      <c r="P55" s="7"/>
      <c r="Q55" s="3"/>
      <c r="R55" s="8">
        <f t="shared" si="36"/>
        <v>0</v>
      </c>
      <c r="S55" s="3"/>
      <c r="T55" s="7">
        <v>10</v>
      </c>
      <c r="U55" s="3"/>
      <c r="V55" s="8">
        <f t="shared" si="37"/>
        <v>0</v>
      </c>
      <c r="W55" s="3"/>
      <c r="X55" s="7">
        <f t="shared" si="38"/>
        <v>-10</v>
      </c>
      <c r="Y55" s="3"/>
      <c r="Z55" s="8">
        <f t="shared" si="39"/>
        <v>-1</v>
      </c>
    </row>
    <row r="56" spans="1:26" s="29" customFormat="1" outlineLevel="1" collapsed="1" x14ac:dyDescent="0.25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SUM(OSRRefD22_9x_0)</f>
        <v>754.55</v>
      </c>
      <c r="E56" s="1"/>
      <c r="F56" s="5">
        <f t="shared" si="32"/>
        <v>0</v>
      </c>
      <c r="G56" s="1"/>
      <c r="H56" s="1">
        <f>SUM(OSRRefH22_9x_0)</f>
        <v>500</v>
      </c>
      <c r="I56" s="1"/>
      <c r="J56" s="5">
        <f t="shared" si="33"/>
        <v>0</v>
      </c>
      <c r="K56" s="1"/>
      <c r="L56" s="1">
        <f t="shared" si="34"/>
        <v>254.54999999999995</v>
      </c>
      <c r="M56" s="1"/>
      <c r="N56" s="5">
        <f t="shared" si="35"/>
        <v>0.50909999999999989</v>
      </c>
      <c r="O56" s="14"/>
      <c r="P56" s="1">
        <f>SUM(OSRRefP22_9x_0)</f>
        <v>754.55</v>
      </c>
      <c r="Q56" s="1"/>
      <c r="R56" s="5">
        <f t="shared" si="36"/>
        <v>0</v>
      </c>
      <c r="S56" s="1"/>
      <c r="T56" s="1">
        <f>SUM(OSRRefT22_9x_0)</f>
        <v>500</v>
      </c>
      <c r="U56" s="1"/>
      <c r="V56" s="5">
        <f t="shared" si="37"/>
        <v>0</v>
      </c>
      <c r="W56" s="1"/>
      <c r="X56" s="1">
        <f t="shared" si="38"/>
        <v>254.54999999999995</v>
      </c>
      <c r="Y56" s="1"/>
      <c r="Z56" s="5">
        <f t="shared" si="39"/>
        <v>0.50909999999999989</v>
      </c>
    </row>
    <row r="57" spans="1:26" s="24" customFormat="1" hidden="1" outlineLevel="2" x14ac:dyDescent="0.25">
      <c r="A57" s="27"/>
      <c r="B57" s="12" t="str">
        <f>CONCATENATE("          ", "6279", " - ", "GENERAL EXPENSE")</f>
        <v xml:space="preserve">          6279 - GENERAL EXPENSE</v>
      </c>
      <c r="C57" s="12"/>
      <c r="D57" s="7">
        <v>754.55</v>
      </c>
      <c r="E57" s="3"/>
      <c r="F57" s="8">
        <f t="shared" si="32"/>
        <v>0</v>
      </c>
      <c r="G57" s="3"/>
      <c r="H57" s="7">
        <v>500</v>
      </c>
      <c r="I57" s="3"/>
      <c r="J57" s="8">
        <f t="shared" si="33"/>
        <v>0</v>
      </c>
      <c r="K57" s="3"/>
      <c r="L57" s="7">
        <f t="shared" si="34"/>
        <v>254.54999999999995</v>
      </c>
      <c r="M57" s="3"/>
      <c r="N57" s="8">
        <f t="shared" si="35"/>
        <v>0.50909999999999989</v>
      </c>
      <c r="O57" s="12"/>
      <c r="P57" s="7">
        <v>754.55</v>
      </c>
      <c r="Q57" s="3"/>
      <c r="R57" s="8">
        <f t="shared" si="36"/>
        <v>0</v>
      </c>
      <c r="S57" s="3"/>
      <c r="T57" s="7">
        <v>500</v>
      </c>
      <c r="U57" s="3"/>
      <c r="V57" s="8">
        <f t="shared" si="37"/>
        <v>0</v>
      </c>
      <c r="W57" s="3"/>
      <c r="X57" s="7">
        <f t="shared" si="38"/>
        <v>254.54999999999995</v>
      </c>
      <c r="Y57" s="3"/>
      <c r="Z57" s="8">
        <f t="shared" si="39"/>
        <v>0.50909999999999989</v>
      </c>
    </row>
    <row r="58" spans="1:26" s="29" customFormat="1" outlineLevel="1" collapsed="1" x14ac:dyDescent="0.25">
      <c r="A58" s="28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SUM(OSRRefD22_10x_0)</f>
        <v>3883.56</v>
      </c>
      <c r="E58" s="1"/>
      <c r="F58" s="5">
        <f t="shared" si="32"/>
        <v>0</v>
      </c>
      <c r="G58" s="1"/>
      <c r="H58" s="1">
        <f>SUM(OSRRefH22_10x_0)</f>
        <v>4270</v>
      </c>
      <c r="I58" s="1"/>
      <c r="J58" s="5">
        <f t="shared" si="33"/>
        <v>0</v>
      </c>
      <c r="K58" s="1"/>
      <c r="L58" s="1">
        <f t="shared" si="34"/>
        <v>-386.44000000000005</v>
      </c>
      <c r="M58" s="1"/>
      <c r="N58" s="5">
        <f t="shared" si="35"/>
        <v>-9.0501170960187366E-2</v>
      </c>
      <c r="O58" s="14"/>
      <c r="P58" s="1">
        <f>SUM(OSRRefP22_10x_0)</f>
        <v>3883.56</v>
      </c>
      <c r="Q58" s="1"/>
      <c r="R58" s="5">
        <f t="shared" si="36"/>
        <v>0</v>
      </c>
      <c r="S58" s="1"/>
      <c r="T58" s="1">
        <f>SUM(OSRRefT22_10x_0)</f>
        <v>4270</v>
      </c>
      <c r="U58" s="1"/>
      <c r="V58" s="5">
        <f t="shared" si="37"/>
        <v>0</v>
      </c>
      <c r="W58" s="1"/>
      <c r="X58" s="1">
        <f t="shared" si="38"/>
        <v>-386.44000000000005</v>
      </c>
      <c r="Y58" s="1"/>
      <c r="Z58" s="5">
        <f t="shared" si="39"/>
        <v>-9.0501170960187366E-2</v>
      </c>
    </row>
    <row r="59" spans="1:26" s="24" customFormat="1" hidden="1" outlineLevel="2" x14ac:dyDescent="0.25">
      <c r="A59" s="27"/>
      <c r="B59" s="12" t="str">
        <f>CONCATENATE("          ", "6314", " - ", "LIABILITY INSURANCE")</f>
        <v xml:space="preserve">          6314 - LIABILITY INSURANCE</v>
      </c>
      <c r="C59" s="12"/>
      <c r="D59" s="7">
        <v>3883.56</v>
      </c>
      <c r="E59" s="3"/>
      <c r="F59" s="8">
        <f t="shared" si="32"/>
        <v>0</v>
      </c>
      <c r="G59" s="3"/>
      <c r="H59" s="7">
        <v>4270</v>
      </c>
      <c r="I59" s="3"/>
      <c r="J59" s="8">
        <f t="shared" si="33"/>
        <v>0</v>
      </c>
      <c r="K59" s="3"/>
      <c r="L59" s="7">
        <f t="shared" si="34"/>
        <v>-386.44000000000005</v>
      </c>
      <c r="M59" s="3"/>
      <c r="N59" s="8">
        <f t="shared" si="35"/>
        <v>-9.0501170960187366E-2</v>
      </c>
      <c r="O59" s="12"/>
      <c r="P59" s="7">
        <v>3883.56</v>
      </c>
      <c r="Q59" s="3"/>
      <c r="R59" s="8">
        <f t="shared" si="36"/>
        <v>0</v>
      </c>
      <c r="S59" s="3"/>
      <c r="T59" s="7">
        <v>4270</v>
      </c>
      <c r="U59" s="3"/>
      <c r="V59" s="8">
        <f t="shared" si="37"/>
        <v>0</v>
      </c>
      <c r="W59" s="3"/>
      <c r="X59" s="7">
        <f t="shared" si="38"/>
        <v>-386.44000000000005</v>
      </c>
      <c r="Y59" s="3"/>
      <c r="Z59" s="8">
        <f t="shared" si="39"/>
        <v>-9.0501170960187366E-2</v>
      </c>
    </row>
    <row r="60" spans="1:26" s="29" customFormat="1" outlineLevel="1" collapsed="1" x14ac:dyDescent="0.25">
      <c r="A60" s="28"/>
      <c r="B60" s="14" t="str">
        <f>CONCATENATE("     ","Inventory Adjustment                              ")</f>
        <v xml:space="preserve">     Inventory Adjustment                              </v>
      </c>
      <c r="C60" s="14"/>
      <c r="D60" s="1">
        <f>SUM(OSRRefD22_11x_0)</f>
        <v>0</v>
      </c>
      <c r="E60" s="1"/>
      <c r="F60" s="5">
        <f t="shared" si="32"/>
        <v>0</v>
      </c>
      <c r="G60" s="1"/>
      <c r="H60" s="1">
        <f>SUM(OSRRefH22_11x_0)</f>
        <v>1000</v>
      </c>
      <c r="I60" s="1"/>
      <c r="J60" s="5">
        <f t="shared" si="33"/>
        <v>0</v>
      </c>
      <c r="K60" s="1"/>
      <c r="L60" s="1">
        <f t="shared" si="34"/>
        <v>-1000</v>
      </c>
      <c r="M60" s="1"/>
      <c r="N60" s="5">
        <f t="shared" si="35"/>
        <v>-1</v>
      </c>
      <c r="O60" s="14"/>
      <c r="P60" s="1">
        <f>SUM(OSRRefP22_11x_0)</f>
        <v>0</v>
      </c>
      <c r="Q60" s="1"/>
      <c r="R60" s="5">
        <f t="shared" si="36"/>
        <v>0</v>
      </c>
      <c r="S60" s="1"/>
      <c r="T60" s="1">
        <f>SUM(OSRRefT22_11x_0)</f>
        <v>1000</v>
      </c>
      <c r="U60" s="1"/>
      <c r="V60" s="5">
        <f t="shared" si="37"/>
        <v>0</v>
      </c>
      <c r="W60" s="1"/>
      <c r="X60" s="1">
        <f t="shared" si="38"/>
        <v>-1000</v>
      </c>
      <c r="Y60" s="1"/>
      <c r="Z60" s="5">
        <f t="shared" si="39"/>
        <v>-1</v>
      </c>
    </row>
    <row r="61" spans="1:26" s="24" customFormat="1" hidden="1" outlineLevel="2" x14ac:dyDescent="0.25">
      <c r="A61" s="27"/>
      <c r="B61" s="12" t="str">
        <f>CONCATENATE("          ", "6408", " - ", "INVENTORY ADJUSTMENT")</f>
        <v xml:space="preserve">          6408 - INVENTORY ADJUSTMENT</v>
      </c>
      <c r="C61" s="12"/>
      <c r="D61" s="7"/>
      <c r="E61" s="3"/>
      <c r="F61" s="8">
        <f t="shared" si="32"/>
        <v>0</v>
      </c>
      <c r="G61" s="3"/>
      <c r="H61" s="7">
        <v>1000</v>
      </c>
      <c r="I61" s="3"/>
      <c r="J61" s="8">
        <f t="shared" si="33"/>
        <v>0</v>
      </c>
      <c r="K61" s="3"/>
      <c r="L61" s="7">
        <f t="shared" si="34"/>
        <v>-1000</v>
      </c>
      <c r="M61" s="3"/>
      <c r="N61" s="8">
        <f t="shared" si="35"/>
        <v>-1</v>
      </c>
      <c r="O61" s="12"/>
      <c r="P61" s="7"/>
      <c r="Q61" s="3"/>
      <c r="R61" s="8">
        <f t="shared" si="36"/>
        <v>0</v>
      </c>
      <c r="S61" s="3"/>
      <c r="T61" s="7">
        <v>1000</v>
      </c>
      <c r="U61" s="3"/>
      <c r="V61" s="8">
        <f t="shared" si="37"/>
        <v>0</v>
      </c>
      <c r="W61" s="3"/>
      <c r="X61" s="7">
        <f t="shared" si="38"/>
        <v>-1000</v>
      </c>
      <c r="Y61" s="3"/>
      <c r="Z61" s="8">
        <f t="shared" si="39"/>
        <v>-1</v>
      </c>
    </row>
    <row r="62" spans="1:26" s="29" customFormat="1" outlineLevel="1" collapsed="1" x14ac:dyDescent="0.25">
      <c r="A62" s="28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SUM(OSRRefD22_12x_0)</f>
        <v>-800</v>
      </c>
      <c r="E62" s="1"/>
      <c r="F62" s="5">
        <f t="shared" si="32"/>
        <v>0</v>
      </c>
      <c r="G62" s="1"/>
      <c r="H62" s="1">
        <f>SUM(OSRRefH22_12x_0)</f>
        <v>-800</v>
      </c>
      <c r="I62" s="1"/>
      <c r="J62" s="5">
        <f t="shared" si="33"/>
        <v>0</v>
      </c>
      <c r="K62" s="1"/>
      <c r="L62" s="1">
        <f t="shared" si="34"/>
        <v>0</v>
      </c>
      <c r="M62" s="1"/>
      <c r="N62" s="5">
        <f t="shared" si="35"/>
        <v>0</v>
      </c>
      <c r="O62" s="14"/>
      <c r="P62" s="1">
        <f>SUM(OSRRefP22_12x_0)</f>
        <v>-800</v>
      </c>
      <c r="Q62" s="1"/>
      <c r="R62" s="5">
        <f t="shared" si="36"/>
        <v>0</v>
      </c>
      <c r="S62" s="1"/>
      <c r="T62" s="1">
        <f>SUM(OSRRefT22_12x_0)</f>
        <v>-800</v>
      </c>
      <c r="U62" s="1"/>
      <c r="V62" s="5">
        <f t="shared" si="37"/>
        <v>0</v>
      </c>
      <c r="W62" s="1"/>
      <c r="X62" s="1">
        <f t="shared" si="38"/>
        <v>0</v>
      </c>
      <c r="Y62" s="1"/>
      <c r="Z62" s="5">
        <f t="shared" si="39"/>
        <v>0</v>
      </c>
    </row>
    <row r="63" spans="1:26" s="24" customFormat="1" hidden="1" outlineLevel="2" x14ac:dyDescent="0.25">
      <c r="A63" s="27"/>
      <c r="B63" s="12" t="str">
        <f>CONCATENATE("          ", "6273", " - ", "RENT")</f>
        <v xml:space="preserve">          6273 - RENT</v>
      </c>
      <c r="C63" s="12"/>
      <c r="D63" s="7">
        <v>-800</v>
      </c>
      <c r="E63" s="3"/>
      <c r="F63" s="8">
        <f t="shared" si="32"/>
        <v>0</v>
      </c>
      <c r="G63" s="3"/>
      <c r="H63" s="7">
        <v>-800</v>
      </c>
      <c r="I63" s="3"/>
      <c r="J63" s="8">
        <f t="shared" si="33"/>
        <v>0</v>
      </c>
      <c r="K63" s="3"/>
      <c r="L63" s="7">
        <f t="shared" si="34"/>
        <v>0</v>
      </c>
      <c r="M63" s="3"/>
      <c r="N63" s="8">
        <f t="shared" si="35"/>
        <v>0</v>
      </c>
      <c r="O63" s="12"/>
      <c r="P63" s="7">
        <v>-800</v>
      </c>
      <c r="Q63" s="3"/>
      <c r="R63" s="8">
        <f t="shared" si="36"/>
        <v>0</v>
      </c>
      <c r="S63" s="3"/>
      <c r="T63" s="7">
        <v>-800</v>
      </c>
      <c r="U63" s="3"/>
      <c r="V63" s="8">
        <f t="shared" si="37"/>
        <v>0</v>
      </c>
      <c r="W63" s="3"/>
      <c r="X63" s="7">
        <f t="shared" si="38"/>
        <v>0</v>
      </c>
      <c r="Y63" s="3"/>
      <c r="Z63" s="8">
        <f t="shared" si="39"/>
        <v>0</v>
      </c>
    </row>
    <row r="64" spans="1:26" s="29" customFormat="1" outlineLevel="1" collapsed="1" x14ac:dyDescent="0.25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59946.810000000012</v>
      </c>
      <c r="E64" s="1"/>
      <c r="F64" s="5">
        <f t="shared" si="32"/>
        <v>0</v>
      </c>
      <c r="G64" s="1"/>
      <c r="H64" s="1">
        <f>SUM(OSRRefH22_13x_0)</f>
        <v>54000</v>
      </c>
      <c r="I64" s="1"/>
      <c r="J64" s="5">
        <f t="shared" si="33"/>
        <v>0</v>
      </c>
      <c r="K64" s="1"/>
      <c r="L64" s="1">
        <f t="shared" si="34"/>
        <v>5946.8100000000122</v>
      </c>
      <c r="M64" s="1"/>
      <c r="N64" s="5">
        <f t="shared" si="35"/>
        <v>0.11012611111111134</v>
      </c>
      <c r="O64" s="14"/>
      <c r="P64" s="1">
        <f>SUM(OSRRefP22_13x_0)</f>
        <v>59946.810000000012</v>
      </c>
      <c r="Q64" s="1"/>
      <c r="R64" s="5">
        <f t="shared" si="36"/>
        <v>0</v>
      </c>
      <c r="S64" s="1"/>
      <c r="T64" s="1">
        <f>SUM(OSRRefT22_13x_0)</f>
        <v>54000</v>
      </c>
      <c r="U64" s="1"/>
      <c r="V64" s="5">
        <f t="shared" si="37"/>
        <v>0</v>
      </c>
      <c r="W64" s="1"/>
      <c r="X64" s="1">
        <f t="shared" si="38"/>
        <v>5946.8100000000122</v>
      </c>
      <c r="Y64" s="1"/>
      <c r="Z64" s="5">
        <f t="shared" si="39"/>
        <v>0.11012611111111134</v>
      </c>
    </row>
    <row r="65" spans="1:26" s="24" customFormat="1" hidden="1" outlineLevel="2" x14ac:dyDescent="0.25">
      <c r="A65" s="27"/>
      <c r="B65" s="12" t="str">
        <f>CONCATENATE("          ", "6371", " - ", "COMPUTER SOFTWARE MAINTENANCE")</f>
        <v xml:space="preserve">          6371 - COMPUTER SOFTWARE MAINTENANCE</v>
      </c>
      <c r="C65" s="12"/>
      <c r="D65" s="7">
        <v>58428.780000000006</v>
      </c>
      <c r="E65" s="3"/>
      <c r="F65" s="8">
        <f t="shared" si="32"/>
        <v>0</v>
      </c>
      <c r="G65" s="3"/>
      <c r="H65" s="7">
        <v>45000</v>
      </c>
      <c r="I65" s="3"/>
      <c r="J65" s="8">
        <f t="shared" si="33"/>
        <v>0</v>
      </c>
      <c r="K65" s="3"/>
      <c r="L65" s="7">
        <f t="shared" si="34"/>
        <v>13428.780000000006</v>
      </c>
      <c r="M65" s="3"/>
      <c r="N65" s="8">
        <f t="shared" si="35"/>
        <v>0.29841733333333348</v>
      </c>
      <c r="O65" s="12"/>
      <c r="P65" s="7">
        <v>58428.780000000006</v>
      </c>
      <c r="Q65" s="3"/>
      <c r="R65" s="8">
        <f t="shared" si="36"/>
        <v>0</v>
      </c>
      <c r="S65" s="3"/>
      <c r="T65" s="7">
        <v>45000</v>
      </c>
      <c r="U65" s="3"/>
      <c r="V65" s="8">
        <f t="shared" si="37"/>
        <v>0</v>
      </c>
      <c r="W65" s="3"/>
      <c r="X65" s="7">
        <f t="shared" si="38"/>
        <v>13428.780000000006</v>
      </c>
      <c r="Y65" s="3"/>
      <c r="Z65" s="8">
        <f t="shared" si="39"/>
        <v>0.29841733333333348</v>
      </c>
    </row>
    <row r="66" spans="1:26" s="24" customFormat="1" hidden="1" outlineLevel="2" x14ac:dyDescent="0.25">
      <c r="A66" s="27"/>
      <c r="B66" s="12" t="str">
        <f>CONCATENATE("          ", "6373", " - ", "MAINTENANCE CONTRACTS")</f>
        <v xml:space="preserve">          6373 - MAINTENANCE CONTRACTS</v>
      </c>
      <c r="C66" s="12"/>
      <c r="D66" s="7">
        <v>15.05</v>
      </c>
      <c r="E66" s="3"/>
      <c r="F66" s="8">
        <f t="shared" si="32"/>
        <v>0</v>
      </c>
      <c r="G66" s="3"/>
      <c r="H66" s="7">
        <v>1000</v>
      </c>
      <c r="I66" s="3"/>
      <c r="J66" s="8">
        <f t="shared" si="33"/>
        <v>0</v>
      </c>
      <c r="K66" s="3"/>
      <c r="L66" s="7">
        <f t="shared" si="34"/>
        <v>-984.95</v>
      </c>
      <c r="M66" s="3"/>
      <c r="N66" s="8">
        <f t="shared" si="35"/>
        <v>-0.98494999999999999</v>
      </c>
      <c r="O66" s="12"/>
      <c r="P66" s="7">
        <v>15.05</v>
      </c>
      <c r="Q66" s="3"/>
      <c r="R66" s="8">
        <f t="shared" si="36"/>
        <v>0</v>
      </c>
      <c r="S66" s="3"/>
      <c r="T66" s="7">
        <v>1000</v>
      </c>
      <c r="U66" s="3"/>
      <c r="V66" s="8">
        <f t="shared" si="37"/>
        <v>0</v>
      </c>
      <c r="W66" s="3"/>
      <c r="X66" s="7">
        <f t="shared" si="38"/>
        <v>-984.95</v>
      </c>
      <c r="Y66" s="3"/>
      <c r="Z66" s="8">
        <f t="shared" si="39"/>
        <v>-0.98494999999999999</v>
      </c>
    </row>
    <row r="67" spans="1:26" s="24" customFormat="1" hidden="1" outlineLevel="2" x14ac:dyDescent="0.25">
      <c r="A67" s="27"/>
      <c r="B67" s="12" t="str">
        <f>CONCATENATE("          ", "6375", " - ", "OUTSIDE REPAIRS &amp; MAINTENANCE")</f>
        <v xml:space="preserve">          6375 - OUTSIDE REPAIRS &amp; MAINTENANCE</v>
      </c>
      <c r="C67" s="12"/>
      <c r="D67" s="7">
        <v>1502.98</v>
      </c>
      <c r="E67" s="3"/>
      <c r="F67" s="8">
        <f t="shared" si="32"/>
        <v>0</v>
      </c>
      <c r="G67" s="3"/>
      <c r="H67" s="7">
        <v>8000</v>
      </c>
      <c r="I67" s="3"/>
      <c r="J67" s="8">
        <f t="shared" si="33"/>
        <v>0</v>
      </c>
      <c r="K67" s="3"/>
      <c r="L67" s="7">
        <f t="shared" si="34"/>
        <v>-6497.02</v>
      </c>
      <c r="M67" s="3"/>
      <c r="N67" s="8">
        <f t="shared" si="35"/>
        <v>-0.8121275</v>
      </c>
      <c r="O67" s="12"/>
      <c r="P67" s="7">
        <v>1502.98</v>
      </c>
      <c r="Q67" s="3"/>
      <c r="R67" s="8">
        <f t="shared" si="36"/>
        <v>0</v>
      </c>
      <c r="S67" s="3"/>
      <c r="T67" s="7">
        <v>8000</v>
      </c>
      <c r="U67" s="3"/>
      <c r="V67" s="8">
        <f t="shared" si="37"/>
        <v>0</v>
      </c>
      <c r="W67" s="3"/>
      <c r="X67" s="7">
        <f t="shared" si="38"/>
        <v>-6497.02</v>
      </c>
      <c r="Y67" s="3"/>
      <c r="Z67" s="8">
        <f t="shared" si="39"/>
        <v>-0.8121275</v>
      </c>
    </row>
    <row r="68" spans="1:26" s="29" customFormat="1" outlineLevel="1" collapsed="1" x14ac:dyDescent="0.25">
      <c r="A68" s="28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SUM(OSRRefD22_14x_0)</f>
        <v>4330.68</v>
      </c>
      <c r="E68" s="1"/>
      <c r="F68" s="5">
        <f t="shared" ref="F68:F71" si="40">IF(D$12=0,0,D68/D$12)</f>
        <v>0</v>
      </c>
      <c r="G68" s="1"/>
      <c r="H68" s="1">
        <f>SUM(OSRRefH22_14x_0)</f>
        <v>4300</v>
      </c>
      <c r="I68" s="1"/>
      <c r="J68" s="5">
        <f t="shared" ref="J68:J71" si="41">IF(H$12=0,0,H68/H$12)</f>
        <v>0</v>
      </c>
      <c r="K68" s="1"/>
      <c r="L68" s="1">
        <f t="shared" ref="L68:L71" si="42">+D68-H68</f>
        <v>30.680000000000291</v>
      </c>
      <c r="M68" s="1"/>
      <c r="N68" s="5">
        <f t="shared" ref="N68:N71" si="43">IF(H68=0,0,L68/H68)</f>
        <v>7.1348837209303006E-3</v>
      </c>
      <c r="O68" s="14"/>
      <c r="P68" s="1">
        <f>SUM(OSRRefP22_14x_0)</f>
        <v>4330.68</v>
      </c>
      <c r="Q68" s="1"/>
      <c r="R68" s="5">
        <f t="shared" ref="R68:R71" si="44">IF(P$12=0,0,P68/P$12)</f>
        <v>0</v>
      </c>
      <c r="S68" s="1"/>
      <c r="T68" s="1">
        <f>SUM(OSRRefT22_14x_0)</f>
        <v>4300</v>
      </c>
      <c r="U68" s="1"/>
      <c r="V68" s="5">
        <f t="shared" ref="V68:V71" si="45">IF(T$12=0,0,T68/T$12)</f>
        <v>0</v>
      </c>
      <c r="W68" s="1"/>
      <c r="X68" s="1">
        <f t="shared" ref="X68:X71" si="46">+P68-T68</f>
        <v>30.680000000000291</v>
      </c>
      <c r="Y68" s="1"/>
      <c r="Z68" s="5">
        <f t="shared" ref="Z68:Z71" si="47">IF(T68=0,0,X68/T68)</f>
        <v>7.1348837209303006E-3</v>
      </c>
    </row>
    <row r="69" spans="1:26" s="24" customFormat="1" hidden="1" outlineLevel="2" x14ac:dyDescent="0.25">
      <c r="A69" s="27"/>
      <c r="B69" s="12" t="str">
        <f>CONCATENATE("          ", "6282", " - ", "JANITORIAL/EXTERMINATOR EXPENS")</f>
        <v xml:space="preserve">          6282 - JANITORIAL/EXTERMINATOR EXPENS</v>
      </c>
      <c r="C69" s="12"/>
      <c r="D69" s="7">
        <v>92.5</v>
      </c>
      <c r="E69" s="3"/>
      <c r="F69" s="8">
        <f t="shared" si="40"/>
        <v>0</v>
      </c>
      <c r="G69" s="3"/>
      <c r="H69" s="7">
        <v>4000</v>
      </c>
      <c r="I69" s="3"/>
      <c r="J69" s="8">
        <f t="shared" si="41"/>
        <v>0</v>
      </c>
      <c r="K69" s="3"/>
      <c r="L69" s="7">
        <f t="shared" si="42"/>
        <v>-3907.5</v>
      </c>
      <c r="M69" s="3"/>
      <c r="N69" s="8">
        <f t="shared" si="43"/>
        <v>-0.97687500000000005</v>
      </c>
      <c r="O69" s="12"/>
      <c r="P69" s="7">
        <v>92.5</v>
      </c>
      <c r="Q69" s="3"/>
      <c r="R69" s="8">
        <f t="shared" si="44"/>
        <v>0</v>
      </c>
      <c r="S69" s="3"/>
      <c r="T69" s="7">
        <v>4000</v>
      </c>
      <c r="U69" s="3"/>
      <c r="V69" s="8">
        <f t="shared" si="45"/>
        <v>0</v>
      </c>
      <c r="W69" s="3"/>
      <c r="X69" s="7">
        <f t="shared" si="46"/>
        <v>-3907.5</v>
      </c>
      <c r="Y69" s="3"/>
      <c r="Z69" s="8">
        <f t="shared" si="47"/>
        <v>-0.97687500000000005</v>
      </c>
    </row>
    <row r="70" spans="1:26" s="24" customFormat="1" hidden="1" outlineLevel="2" x14ac:dyDescent="0.25">
      <c r="A70" s="27"/>
      <c r="B70" s="12" t="str">
        <f>CONCATENATE("          ", "6283", " - ", "PLANT SERVICE")</f>
        <v xml:space="preserve">          6283 - PLANT SERVICE</v>
      </c>
      <c r="C70" s="12"/>
      <c r="D70" s="7">
        <v>130</v>
      </c>
      <c r="E70" s="3"/>
      <c r="F70" s="8">
        <f t="shared" si="40"/>
        <v>0</v>
      </c>
      <c r="G70" s="3"/>
      <c r="H70" s="7"/>
      <c r="I70" s="3"/>
      <c r="J70" s="8">
        <f t="shared" si="41"/>
        <v>0</v>
      </c>
      <c r="K70" s="3"/>
      <c r="L70" s="7">
        <f t="shared" si="42"/>
        <v>130</v>
      </c>
      <c r="M70" s="3"/>
      <c r="N70" s="8">
        <f t="shared" si="43"/>
        <v>0</v>
      </c>
      <c r="O70" s="12"/>
      <c r="P70" s="7">
        <v>130</v>
      </c>
      <c r="Q70" s="3"/>
      <c r="R70" s="8">
        <f t="shared" si="44"/>
        <v>0</v>
      </c>
      <c r="S70" s="3"/>
      <c r="T70" s="7"/>
      <c r="U70" s="3"/>
      <c r="V70" s="8">
        <f t="shared" si="45"/>
        <v>0</v>
      </c>
      <c r="W70" s="3"/>
      <c r="X70" s="7">
        <f t="shared" si="46"/>
        <v>130</v>
      </c>
      <c r="Y70" s="3"/>
      <c r="Z70" s="8">
        <f t="shared" si="47"/>
        <v>0</v>
      </c>
    </row>
    <row r="71" spans="1:26" s="24" customFormat="1" hidden="1" outlineLevel="2" x14ac:dyDescent="0.25">
      <c r="A71" s="27"/>
      <c r="B71" s="12" t="str">
        <f>CONCATENATE("          ", "6285", " - ", "JANITORIAL SERVICES")</f>
        <v xml:space="preserve">          6285 - JANITORIAL SERVICES</v>
      </c>
      <c r="C71" s="12"/>
      <c r="D71" s="7">
        <v>4108.18</v>
      </c>
      <c r="E71" s="3"/>
      <c r="F71" s="8">
        <f t="shared" si="40"/>
        <v>0</v>
      </c>
      <c r="G71" s="3"/>
      <c r="H71" s="7">
        <v>300</v>
      </c>
      <c r="I71" s="3"/>
      <c r="J71" s="8">
        <f t="shared" si="41"/>
        <v>0</v>
      </c>
      <c r="K71" s="3"/>
      <c r="L71" s="7">
        <f t="shared" si="42"/>
        <v>3808.1800000000003</v>
      </c>
      <c r="M71" s="3"/>
      <c r="N71" s="8">
        <f t="shared" si="43"/>
        <v>12.693933333333334</v>
      </c>
      <c r="O71" s="12"/>
      <c r="P71" s="7">
        <v>4108.18</v>
      </c>
      <c r="Q71" s="3"/>
      <c r="R71" s="8">
        <f t="shared" si="44"/>
        <v>0</v>
      </c>
      <c r="S71" s="3"/>
      <c r="T71" s="7">
        <v>300</v>
      </c>
      <c r="U71" s="3"/>
      <c r="V71" s="8">
        <f t="shared" si="45"/>
        <v>0</v>
      </c>
      <c r="W71" s="3"/>
      <c r="X71" s="7">
        <f t="shared" si="46"/>
        <v>3808.1800000000003</v>
      </c>
      <c r="Y71" s="3"/>
      <c r="Z71" s="8">
        <f t="shared" si="47"/>
        <v>12.693933333333334</v>
      </c>
    </row>
    <row r="72" spans="1:26" s="29" customFormat="1" outlineLevel="1" collapsed="1" x14ac:dyDescent="0.25">
      <c r="A72" s="28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SUM(OSRRefD22_15x_0)</f>
        <v>0</v>
      </c>
      <c r="E72" s="1"/>
      <c r="F72" s="5">
        <f t="shared" ref="F72:F80" si="48">IF(D$12=0,0,D72/D$12)</f>
        <v>0</v>
      </c>
      <c r="G72" s="1"/>
      <c r="H72" s="1">
        <f>SUM(OSRRefH22_15x_0)</f>
        <v>800</v>
      </c>
      <c r="I72" s="1"/>
      <c r="J72" s="5">
        <f t="shared" ref="J72:J80" si="49">IF(H$12=0,0,H72/H$12)</f>
        <v>0</v>
      </c>
      <c r="K72" s="1"/>
      <c r="L72" s="1">
        <f t="shared" ref="L72:L80" si="50">+D72-H72</f>
        <v>-800</v>
      </c>
      <c r="M72" s="1"/>
      <c r="N72" s="5">
        <f t="shared" ref="N72:N80" si="51">IF(H72=0,0,L72/H72)</f>
        <v>-1</v>
      </c>
      <c r="O72" s="14"/>
      <c r="P72" s="1">
        <f>SUM(OSRRefP22_15x_0)</f>
        <v>0</v>
      </c>
      <c r="Q72" s="1"/>
      <c r="R72" s="5">
        <f t="shared" ref="R72:R80" si="52">IF(P$12=0,0,P72/P$12)</f>
        <v>0</v>
      </c>
      <c r="S72" s="1"/>
      <c r="T72" s="1">
        <f>SUM(OSRRefT22_15x_0)</f>
        <v>800</v>
      </c>
      <c r="U72" s="1"/>
      <c r="V72" s="5">
        <f t="shared" ref="V72:V80" si="53">IF(T$12=0,0,T72/T$12)</f>
        <v>0</v>
      </c>
      <c r="W72" s="1"/>
      <c r="X72" s="1">
        <f t="shared" ref="X72:X80" si="54">+P72-T72</f>
        <v>-800</v>
      </c>
      <c r="Y72" s="1"/>
      <c r="Z72" s="5">
        <f t="shared" ref="Z72:Z80" si="55">IF(T72=0,0,X72/T72)</f>
        <v>-1</v>
      </c>
    </row>
    <row r="73" spans="1:26" s="24" customFormat="1" hidden="1" outlineLevel="2" x14ac:dyDescent="0.25">
      <c r="A73" s="27"/>
      <c r="B73" s="12" t="str">
        <f>CONCATENATE("          ", "6258", " - ", "MEMBERSHIP DUES")</f>
        <v xml:space="preserve">          6258 - MEMBERSHIP DUES</v>
      </c>
      <c r="C73" s="12"/>
      <c r="D73" s="7"/>
      <c r="E73" s="3"/>
      <c r="F73" s="8">
        <f t="shared" si="48"/>
        <v>0</v>
      </c>
      <c r="G73" s="3"/>
      <c r="H73" s="7">
        <v>800</v>
      </c>
      <c r="I73" s="3"/>
      <c r="J73" s="8">
        <f t="shared" si="49"/>
        <v>0</v>
      </c>
      <c r="K73" s="3"/>
      <c r="L73" s="7">
        <f t="shared" si="50"/>
        <v>-800</v>
      </c>
      <c r="M73" s="3"/>
      <c r="N73" s="8">
        <f t="shared" si="51"/>
        <v>-1</v>
      </c>
      <c r="O73" s="12"/>
      <c r="P73" s="7"/>
      <c r="Q73" s="3"/>
      <c r="R73" s="8">
        <f t="shared" si="52"/>
        <v>0</v>
      </c>
      <c r="S73" s="3"/>
      <c r="T73" s="7">
        <v>800</v>
      </c>
      <c r="U73" s="3"/>
      <c r="V73" s="8">
        <f t="shared" si="53"/>
        <v>0</v>
      </c>
      <c r="W73" s="3"/>
      <c r="X73" s="7">
        <f t="shared" si="54"/>
        <v>-800</v>
      </c>
      <c r="Y73" s="3"/>
      <c r="Z73" s="8">
        <f t="shared" si="55"/>
        <v>-1</v>
      </c>
    </row>
    <row r="74" spans="1:26" s="29" customFormat="1" outlineLevel="1" collapsed="1" x14ac:dyDescent="0.25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SUM(OSRRefD22_16x_0)</f>
        <v>4985.9900000000007</v>
      </c>
      <c r="E74" s="1"/>
      <c r="F74" s="5">
        <f t="shared" si="48"/>
        <v>0</v>
      </c>
      <c r="G74" s="1"/>
      <c r="H74" s="1">
        <f>SUM(OSRRefH22_16x_0)</f>
        <v>3900</v>
      </c>
      <c r="I74" s="1"/>
      <c r="J74" s="5">
        <f t="shared" si="49"/>
        <v>0</v>
      </c>
      <c r="K74" s="1"/>
      <c r="L74" s="1">
        <f t="shared" si="50"/>
        <v>1085.9900000000007</v>
      </c>
      <c r="M74" s="1"/>
      <c r="N74" s="5">
        <f t="shared" si="51"/>
        <v>0.27845897435897454</v>
      </c>
      <c r="O74" s="14"/>
      <c r="P74" s="1">
        <f>SUM(OSRRefP22_16x_0)</f>
        <v>4985.9900000000007</v>
      </c>
      <c r="Q74" s="1"/>
      <c r="R74" s="5">
        <f t="shared" si="52"/>
        <v>0</v>
      </c>
      <c r="S74" s="1"/>
      <c r="T74" s="1">
        <f>SUM(OSRRefT22_16x_0)</f>
        <v>3900</v>
      </c>
      <c r="U74" s="1"/>
      <c r="V74" s="5">
        <f t="shared" si="53"/>
        <v>0</v>
      </c>
      <c r="W74" s="1"/>
      <c r="X74" s="1">
        <f t="shared" si="54"/>
        <v>1085.9900000000007</v>
      </c>
      <c r="Y74" s="1"/>
      <c r="Z74" s="5">
        <f t="shared" si="55"/>
        <v>0.27845897435897454</v>
      </c>
    </row>
    <row r="75" spans="1:26" s="24" customFormat="1" hidden="1" outlineLevel="2" x14ac:dyDescent="0.25">
      <c r="A75" s="27"/>
      <c r="B75" s="12" t="str">
        <f>CONCATENATE("          ", "6234", " - ", "EXPENDABLE SUPPLIES &amp; EQUIPMEN")</f>
        <v xml:space="preserve">          6234 - EXPENDABLE SUPPLIES &amp; EQUIPMEN</v>
      </c>
      <c r="C75" s="12"/>
      <c r="D75" s="7"/>
      <c r="E75" s="3"/>
      <c r="F75" s="8">
        <f t="shared" si="48"/>
        <v>0</v>
      </c>
      <c r="G75" s="3"/>
      <c r="H75" s="7">
        <v>100</v>
      </c>
      <c r="I75" s="3"/>
      <c r="J75" s="8">
        <f t="shared" si="49"/>
        <v>0</v>
      </c>
      <c r="K75" s="3"/>
      <c r="L75" s="7">
        <f t="shared" si="50"/>
        <v>-100</v>
      </c>
      <c r="M75" s="3"/>
      <c r="N75" s="8">
        <f t="shared" si="51"/>
        <v>-1</v>
      </c>
      <c r="O75" s="12"/>
      <c r="P75" s="7"/>
      <c r="Q75" s="3"/>
      <c r="R75" s="8">
        <f t="shared" si="52"/>
        <v>0</v>
      </c>
      <c r="S75" s="3"/>
      <c r="T75" s="7">
        <v>100</v>
      </c>
      <c r="U75" s="3"/>
      <c r="V75" s="8">
        <f t="shared" si="53"/>
        <v>0</v>
      </c>
      <c r="W75" s="3"/>
      <c r="X75" s="7">
        <f t="shared" si="54"/>
        <v>-100</v>
      </c>
      <c r="Y75" s="3"/>
      <c r="Z75" s="8">
        <f t="shared" si="55"/>
        <v>-1</v>
      </c>
    </row>
    <row r="76" spans="1:26" s="24" customFormat="1" hidden="1" outlineLevel="2" x14ac:dyDescent="0.25">
      <c r="A76" s="27"/>
      <c r="B76" s="12" t="str">
        <f>CONCATENATE("          ", "6235", " - ", "COVID-19 EXPENSES")</f>
        <v xml:space="preserve">          6235 - COVID-19 EXPENSES</v>
      </c>
      <c r="C76" s="12"/>
      <c r="D76" s="7">
        <v>4295.5200000000004</v>
      </c>
      <c r="E76" s="3"/>
      <c r="F76" s="8">
        <f t="shared" si="48"/>
        <v>0</v>
      </c>
      <c r="G76" s="3"/>
      <c r="H76" s="7">
        <v>100</v>
      </c>
      <c r="I76" s="3"/>
      <c r="J76" s="8">
        <f t="shared" si="49"/>
        <v>0</v>
      </c>
      <c r="K76" s="3"/>
      <c r="L76" s="7">
        <f t="shared" si="50"/>
        <v>4195.5200000000004</v>
      </c>
      <c r="M76" s="3"/>
      <c r="N76" s="8">
        <f t="shared" si="51"/>
        <v>41.955200000000005</v>
      </c>
      <c r="O76" s="12"/>
      <c r="P76" s="7">
        <v>4295.5200000000004</v>
      </c>
      <c r="Q76" s="3"/>
      <c r="R76" s="8">
        <f t="shared" si="52"/>
        <v>0</v>
      </c>
      <c r="S76" s="3"/>
      <c r="T76" s="7">
        <v>100</v>
      </c>
      <c r="U76" s="3"/>
      <c r="V76" s="8">
        <f t="shared" si="53"/>
        <v>0</v>
      </c>
      <c r="W76" s="3"/>
      <c r="X76" s="7">
        <f t="shared" si="54"/>
        <v>4195.5200000000004</v>
      </c>
      <c r="Y76" s="3"/>
      <c r="Z76" s="8">
        <f t="shared" si="55"/>
        <v>41.955200000000005</v>
      </c>
    </row>
    <row r="77" spans="1:26" s="24" customFormat="1" hidden="1" outlineLevel="2" x14ac:dyDescent="0.25">
      <c r="A77" s="27"/>
      <c r="B77" s="12" t="str">
        <f>CONCATENATE("          ", "6237", " - ", "JANITORIAL SUPPLIES")</f>
        <v xml:space="preserve">          6237 - JANITORIAL SUPPLIES</v>
      </c>
      <c r="C77" s="12"/>
      <c r="D77" s="7"/>
      <c r="E77" s="3"/>
      <c r="F77" s="8">
        <f t="shared" si="48"/>
        <v>0</v>
      </c>
      <c r="G77" s="3"/>
      <c r="H77" s="7">
        <v>200</v>
      </c>
      <c r="I77" s="3"/>
      <c r="J77" s="8">
        <f t="shared" si="49"/>
        <v>0</v>
      </c>
      <c r="K77" s="3"/>
      <c r="L77" s="7">
        <f t="shared" si="50"/>
        <v>-200</v>
      </c>
      <c r="M77" s="3"/>
      <c r="N77" s="8">
        <f t="shared" si="51"/>
        <v>-1</v>
      </c>
      <c r="O77" s="12"/>
      <c r="P77" s="7"/>
      <c r="Q77" s="3"/>
      <c r="R77" s="8">
        <f t="shared" si="52"/>
        <v>0</v>
      </c>
      <c r="S77" s="3"/>
      <c r="T77" s="7">
        <v>200</v>
      </c>
      <c r="U77" s="3"/>
      <c r="V77" s="8">
        <f t="shared" si="53"/>
        <v>0</v>
      </c>
      <c r="W77" s="3"/>
      <c r="X77" s="7">
        <f t="shared" si="54"/>
        <v>-200</v>
      </c>
      <c r="Y77" s="3"/>
      <c r="Z77" s="8">
        <f t="shared" si="55"/>
        <v>-1</v>
      </c>
    </row>
    <row r="78" spans="1:26" s="24" customFormat="1" hidden="1" outlineLevel="2" x14ac:dyDescent="0.25">
      <c r="A78" s="27"/>
      <c r="B78" s="12" t="str">
        <f>CONCATENATE("          ", "6241", " - ", "OFFICE EXPENSE")</f>
        <v xml:space="preserve">          6241 - OFFICE EXPENSE</v>
      </c>
      <c r="C78" s="12"/>
      <c r="D78" s="7">
        <v>222.37</v>
      </c>
      <c r="E78" s="3"/>
      <c r="F78" s="8">
        <f t="shared" si="48"/>
        <v>0</v>
      </c>
      <c r="G78" s="3"/>
      <c r="H78" s="7"/>
      <c r="I78" s="3"/>
      <c r="J78" s="8">
        <f t="shared" si="49"/>
        <v>0</v>
      </c>
      <c r="K78" s="3"/>
      <c r="L78" s="7">
        <f t="shared" si="50"/>
        <v>222.37</v>
      </c>
      <c r="M78" s="3"/>
      <c r="N78" s="8">
        <f t="shared" si="51"/>
        <v>0</v>
      </c>
      <c r="O78" s="12"/>
      <c r="P78" s="7">
        <v>222.37</v>
      </c>
      <c r="Q78" s="3"/>
      <c r="R78" s="8">
        <f t="shared" si="52"/>
        <v>0</v>
      </c>
      <c r="S78" s="3"/>
      <c r="T78" s="7"/>
      <c r="U78" s="3"/>
      <c r="V78" s="8">
        <f t="shared" si="53"/>
        <v>0</v>
      </c>
      <c r="W78" s="3"/>
      <c r="X78" s="7">
        <f t="shared" si="54"/>
        <v>222.37</v>
      </c>
      <c r="Y78" s="3"/>
      <c r="Z78" s="8">
        <f t="shared" si="55"/>
        <v>0</v>
      </c>
    </row>
    <row r="79" spans="1:26" s="24" customFormat="1" hidden="1" outlineLevel="2" x14ac:dyDescent="0.25">
      <c r="A79" s="27"/>
      <c r="B79" s="12" t="str">
        <f>CONCATENATE("          ", "6247", " - ", "STORE SUPPLIES")</f>
        <v xml:space="preserve">          6247 - STORE SUPPLIES</v>
      </c>
      <c r="C79" s="12"/>
      <c r="D79" s="7">
        <v>468.1</v>
      </c>
      <c r="E79" s="3"/>
      <c r="F79" s="8">
        <f t="shared" si="48"/>
        <v>0</v>
      </c>
      <c r="G79" s="3"/>
      <c r="H79" s="7">
        <v>2000</v>
      </c>
      <c r="I79" s="3"/>
      <c r="J79" s="8">
        <f t="shared" si="49"/>
        <v>0</v>
      </c>
      <c r="K79" s="3"/>
      <c r="L79" s="7">
        <f t="shared" si="50"/>
        <v>-1531.9</v>
      </c>
      <c r="M79" s="3"/>
      <c r="N79" s="8">
        <f t="shared" si="51"/>
        <v>-0.76595000000000002</v>
      </c>
      <c r="O79" s="12"/>
      <c r="P79" s="7">
        <v>468.1</v>
      </c>
      <c r="Q79" s="3"/>
      <c r="R79" s="8">
        <f t="shared" si="52"/>
        <v>0</v>
      </c>
      <c r="S79" s="3"/>
      <c r="T79" s="7">
        <v>2000</v>
      </c>
      <c r="U79" s="3"/>
      <c r="V79" s="8">
        <f t="shared" si="53"/>
        <v>0</v>
      </c>
      <c r="W79" s="3"/>
      <c r="X79" s="7">
        <f t="shared" si="54"/>
        <v>-1531.9</v>
      </c>
      <c r="Y79" s="3"/>
      <c r="Z79" s="8">
        <f t="shared" si="55"/>
        <v>-0.76595000000000002</v>
      </c>
    </row>
    <row r="80" spans="1:26" s="24" customFormat="1" hidden="1" outlineLevel="2" x14ac:dyDescent="0.25">
      <c r="A80" s="27"/>
      <c r="B80" s="12" t="str">
        <f>CONCATENATE("          ", "6248", " - ", "UNIFORMS")</f>
        <v xml:space="preserve">          6248 - UNIFORMS</v>
      </c>
      <c r="C80" s="12"/>
      <c r="D80" s="7"/>
      <c r="E80" s="3"/>
      <c r="F80" s="8">
        <f t="shared" si="48"/>
        <v>0</v>
      </c>
      <c r="G80" s="3"/>
      <c r="H80" s="7">
        <v>1500</v>
      </c>
      <c r="I80" s="3"/>
      <c r="J80" s="8">
        <f t="shared" si="49"/>
        <v>0</v>
      </c>
      <c r="K80" s="3"/>
      <c r="L80" s="7">
        <f t="shared" si="50"/>
        <v>-1500</v>
      </c>
      <c r="M80" s="3"/>
      <c r="N80" s="8">
        <f t="shared" si="51"/>
        <v>-1</v>
      </c>
      <c r="O80" s="12"/>
      <c r="P80" s="7"/>
      <c r="Q80" s="3"/>
      <c r="R80" s="8">
        <f t="shared" si="52"/>
        <v>0</v>
      </c>
      <c r="S80" s="3"/>
      <c r="T80" s="7">
        <v>1500</v>
      </c>
      <c r="U80" s="3"/>
      <c r="V80" s="8">
        <f t="shared" si="53"/>
        <v>0</v>
      </c>
      <c r="W80" s="3"/>
      <c r="X80" s="7">
        <f t="shared" si="54"/>
        <v>-1500</v>
      </c>
      <c r="Y80" s="3"/>
      <c r="Z80" s="8">
        <f t="shared" si="55"/>
        <v>-1</v>
      </c>
    </row>
    <row r="81" spans="1:26" s="29" customFormat="1" outlineLevel="1" collapsed="1" x14ac:dyDescent="0.25">
      <c r="A81" s="28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SUM(OSRRefD22_17x_0)</f>
        <v>567.21</v>
      </c>
      <c r="E81" s="1"/>
      <c r="F81" s="5">
        <f t="shared" ref="F81:F88" si="56">IF(D$12=0,0,D81/D$12)</f>
        <v>0</v>
      </c>
      <c r="G81" s="1"/>
      <c r="H81" s="1">
        <f>SUM(OSRRefH22_17x_0)</f>
        <v>600</v>
      </c>
      <c r="I81" s="1"/>
      <c r="J81" s="5">
        <f t="shared" ref="J81:J88" si="57">IF(H$12=0,0,H81/H$12)</f>
        <v>0</v>
      </c>
      <c r="K81" s="1"/>
      <c r="L81" s="1">
        <f t="shared" ref="L81:L88" si="58">+D81-H81</f>
        <v>-32.789999999999964</v>
      </c>
      <c r="M81" s="1"/>
      <c r="N81" s="5">
        <f t="shared" ref="N81:N88" si="59">IF(H81=0,0,L81/H81)</f>
        <v>-5.4649999999999942E-2</v>
      </c>
      <c r="O81" s="14"/>
      <c r="P81" s="1">
        <f>SUM(OSRRefP22_17x_0)</f>
        <v>567.21</v>
      </c>
      <c r="Q81" s="1"/>
      <c r="R81" s="5">
        <f t="shared" ref="R81:R88" si="60">IF(P$12=0,0,P81/P$12)</f>
        <v>0</v>
      </c>
      <c r="S81" s="1"/>
      <c r="T81" s="1">
        <f>SUM(OSRRefT22_17x_0)</f>
        <v>600</v>
      </c>
      <c r="U81" s="1"/>
      <c r="V81" s="5">
        <f t="shared" ref="V81:V88" si="61">IF(T$12=0,0,T81/T$12)</f>
        <v>0</v>
      </c>
      <c r="W81" s="1"/>
      <c r="X81" s="1">
        <f t="shared" ref="X81:X88" si="62">+P81-T81</f>
        <v>-32.789999999999964</v>
      </c>
      <c r="Y81" s="1"/>
      <c r="Z81" s="5">
        <f t="shared" ref="Z81:Z88" si="63">IF(T81=0,0,X81/T81)</f>
        <v>-5.4649999999999942E-2</v>
      </c>
    </row>
    <row r="82" spans="1:26" s="24" customFormat="1" hidden="1" outlineLevel="2" x14ac:dyDescent="0.25">
      <c r="A82" s="27"/>
      <c r="B82" s="12" t="str">
        <f>CONCATENATE("          ", "6309", " - ", "TELEPHONE")</f>
        <v xml:space="preserve">          6309 - TELEPHONE</v>
      </c>
      <c r="C82" s="12"/>
      <c r="D82" s="7">
        <v>567.21</v>
      </c>
      <c r="E82" s="3"/>
      <c r="F82" s="8">
        <f t="shared" si="56"/>
        <v>0</v>
      </c>
      <c r="G82" s="3"/>
      <c r="H82" s="7">
        <v>600</v>
      </c>
      <c r="I82" s="3"/>
      <c r="J82" s="8">
        <f t="shared" si="57"/>
        <v>0</v>
      </c>
      <c r="K82" s="3"/>
      <c r="L82" s="7">
        <f t="shared" si="58"/>
        <v>-32.789999999999964</v>
      </c>
      <c r="M82" s="3"/>
      <c r="N82" s="8">
        <f t="shared" si="59"/>
        <v>-5.4649999999999942E-2</v>
      </c>
      <c r="O82" s="12"/>
      <c r="P82" s="7">
        <v>567.21</v>
      </c>
      <c r="Q82" s="3"/>
      <c r="R82" s="8">
        <f t="shared" si="60"/>
        <v>0</v>
      </c>
      <c r="S82" s="3"/>
      <c r="T82" s="7">
        <v>600</v>
      </c>
      <c r="U82" s="3"/>
      <c r="V82" s="8">
        <f t="shared" si="61"/>
        <v>0</v>
      </c>
      <c r="W82" s="3"/>
      <c r="X82" s="7">
        <f t="shared" si="62"/>
        <v>-32.789999999999964</v>
      </c>
      <c r="Y82" s="3"/>
      <c r="Z82" s="8">
        <f t="shared" si="63"/>
        <v>-5.4649999999999942E-2</v>
      </c>
    </row>
    <row r="83" spans="1:26" s="29" customFormat="1" outlineLevel="1" collapsed="1" x14ac:dyDescent="0.25">
      <c r="A83" s="28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SUM(OSRRefD22_18x_0)</f>
        <v>131.63</v>
      </c>
      <c r="E83" s="1"/>
      <c r="F83" s="5">
        <f t="shared" si="56"/>
        <v>0</v>
      </c>
      <c r="G83" s="1"/>
      <c r="H83" s="1">
        <f>SUM(OSRRefH22_18x_0)</f>
        <v>0</v>
      </c>
      <c r="I83" s="1"/>
      <c r="J83" s="5">
        <f t="shared" si="57"/>
        <v>0</v>
      </c>
      <c r="K83" s="1"/>
      <c r="L83" s="1">
        <f t="shared" si="58"/>
        <v>131.63</v>
      </c>
      <c r="M83" s="1"/>
      <c r="N83" s="5">
        <f t="shared" si="59"/>
        <v>0</v>
      </c>
      <c r="O83" s="14"/>
      <c r="P83" s="1">
        <f>SUM(OSRRefP22_18x_0)</f>
        <v>131.63</v>
      </c>
      <c r="Q83" s="1"/>
      <c r="R83" s="5">
        <f t="shared" si="60"/>
        <v>0</v>
      </c>
      <c r="S83" s="1"/>
      <c r="T83" s="1">
        <f>SUM(OSRRefT22_18x_0)</f>
        <v>0</v>
      </c>
      <c r="U83" s="1"/>
      <c r="V83" s="5">
        <f t="shared" si="61"/>
        <v>0</v>
      </c>
      <c r="W83" s="1"/>
      <c r="X83" s="1">
        <f t="shared" si="62"/>
        <v>131.63</v>
      </c>
      <c r="Y83" s="1"/>
      <c r="Z83" s="5">
        <f t="shared" si="63"/>
        <v>0</v>
      </c>
    </row>
    <row r="84" spans="1:26" s="24" customFormat="1" hidden="1" outlineLevel="2" x14ac:dyDescent="0.25">
      <c r="A84" s="27"/>
      <c r="B84" s="12" t="str">
        <f>CONCATENATE("          ", "6376", " - ", "TRAINING")</f>
        <v xml:space="preserve">          6376 - TRAINING</v>
      </c>
      <c r="C84" s="12"/>
      <c r="D84" s="7">
        <v>131.63</v>
      </c>
      <c r="E84" s="3"/>
      <c r="F84" s="8">
        <f t="shared" si="56"/>
        <v>0</v>
      </c>
      <c r="G84" s="3"/>
      <c r="H84" s="7"/>
      <c r="I84" s="3"/>
      <c r="J84" s="8">
        <f t="shared" si="57"/>
        <v>0</v>
      </c>
      <c r="K84" s="3"/>
      <c r="L84" s="7">
        <f t="shared" si="58"/>
        <v>131.63</v>
      </c>
      <c r="M84" s="3"/>
      <c r="N84" s="8">
        <f t="shared" si="59"/>
        <v>0</v>
      </c>
      <c r="O84" s="12"/>
      <c r="P84" s="7">
        <v>131.63</v>
      </c>
      <c r="Q84" s="3"/>
      <c r="R84" s="8">
        <f t="shared" si="60"/>
        <v>0</v>
      </c>
      <c r="S84" s="3"/>
      <c r="T84" s="7"/>
      <c r="U84" s="3"/>
      <c r="V84" s="8">
        <f t="shared" si="61"/>
        <v>0</v>
      </c>
      <c r="W84" s="3"/>
      <c r="X84" s="7">
        <f t="shared" si="62"/>
        <v>131.63</v>
      </c>
      <c r="Y84" s="3"/>
      <c r="Z84" s="8">
        <f t="shared" si="63"/>
        <v>0</v>
      </c>
    </row>
    <row r="85" spans="1:26" s="29" customFormat="1" outlineLevel="1" collapsed="1" x14ac:dyDescent="0.25">
      <c r="A85" s="28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SUM(OSRRefD22_19x_0)</f>
        <v>59.89</v>
      </c>
      <c r="E85" s="1"/>
      <c r="F85" s="5">
        <f t="shared" si="56"/>
        <v>0</v>
      </c>
      <c r="G85" s="1"/>
      <c r="H85" s="1">
        <f>SUM(OSRRefH22_19x_0)</f>
        <v>0</v>
      </c>
      <c r="I85" s="1"/>
      <c r="J85" s="5">
        <f t="shared" si="57"/>
        <v>0</v>
      </c>
      <c r="K85" s="1"/>
      <c r="L85" s="1">
        <f t="shared" si="58"/>
        <v>59.89</v>
      </c>
      <c r="M85" s="1"/>
      <c r="N85" s="5">
        <f t="shared" si="59"/>
        <v>0</v>
      </c>
      <c r="O85" s="14"/>
      <c r="P85" s="1">
        <f>SUM(OSRRefP22_19x_0)</f>
        <v>59.89</v>
      </c>
      <c r="Q85" s="1"/>
      <c r="R85" s="5">
        <f t="shared" si="60"/>
        <v>0</v>
      </c>
      <c r="S85" s="1"/>
      <c r="T85" s="1">
        <f>SUM(OSRRefT22_19x_0)</f>
        <v>0</v>
      </c>
      <c r="U85" s="1"/>
      <c r="V85" s="5">
        <f t="shared" si="61"/>
        <v>0</v>
      </c>
      <c r="W85" s="1"/>
      <c r="X85" s="1">
        <f t="shared" si="62"/>
        <v>59.89</v>
      </c>
      <c r="Y85" s="1"/>
      <c r="Z85" s="5">
        <f t="shared" si="63"/>
        <v>0</v>
      </c>
    </row>
    <row r="86" spans="1:26" s="24" customFormat="1" hidden="1" outlineLevel="2" x14ac:dyDescent="0.25">
      <c r="A86" s="27"/>
      <c r="B86" s="12" t="str">
        <f>CONCATENATE("          ", "6298", " - ", "VEHICLE MILEAGE")</f>
        <v xml:space="preserve">          6298 - VEHICLE MILEAGE</v>
      </c>
      <c r="C86" s="12"/>
      <c r="D86" s="7">
        <v>59.89</v>
      </c>
      <c r="E86" s="3"/>
      <c r="F86" s="8">
        <f t="shared" si="56"/>
        <v>0</v>
      </c>
      <c r="G86" s="3"/>
      <c r="H86" s="7"/>
      <c r="I86" s="3"/>
      <c r="J86" s="8">
        <f t="shared" si="57"/>
        <v>0</v>
      </c>
      <c r="K86" s="3"/>
      <c r="L86" s="7">
        <f t="shared" si="58"/>
        <v>59.89</v>
      </c>
      <c r="M86" s="3"/>
      <c r="N86" s="8">
        <f t="shared" si="59"/>
        <v>0</v>
      </c>
      <c r="O86" s="12"/>
      <c r="P86" s="7">
        <v>59.89</v>
      </c>
      <c r="Q86" s="3"/>
      <c r="R86" s="8">
        <f t="shared" si="60"/>
        <v>0</v>
      </c>
      <c r="S86" s="3"/>
      <c r="T86" s="7"/>
      <c r="U86" s="3"/>
      <c r="V86" s="8">
        <f t="shared" si="61"/>
        <v>0</v>
      </c>
      <c r="W86" s="3"/>
      <c r="X86" s="7">
        <f t="shared" si="62"/>
        <v>59.89</v>
      </c>
      <c r="Y86" s="3"/>
      <c r="Z86" s="8">
        <f t="shared" si="63"/>
        <v>0</v>
      </c>
    </row>
    <row r="87" spans="1:26" s="29" customFormat="1" outlineLevel="1" collapsed="1" x14ac:dyDescent="0.25">
      <c r="A87" s="28"/>
      <c r="B87" s="14" t="str">
        <f>CONCATENATE("     ","Utilities                                         ")</f>
        <v xml:space="preserve">     Utilities                                         </v>
      </c>
      <c r="C87" s="14"/>
      <c r="D87" s="1">
        <f>SUM(OSRRefD22_20x_0)</f>
        <v>6133</v>
      </c>
      <c r="E87" s="1"/>
      <c r="F87" s="5">
        <f t="shared" si="56"/>
        <v>0</v>
      </c>
      <c r="G87" s="1"/>
      <c r="H87" s="1">
        <f>SUM(OSRRefH22_20x_0)</f>
        <v>6000</v>
      </c>
      <c r="I87" s="1"/>
      <c r="J87" s="5">
        <f t="shared" si="57"/>
        <v>0</v>
      </c>
      <c r="K87" s="1"/>
      <c r="L87" s="1">
        <f t="shared" si="58"/>
        <v>133</v>
      </c>
      <c r="M87" s="1"/>
      <c r="N87" s="5">
        <f t="shared" si="59"/>
        <v>2.2166666666666668E-2</v>
      </c>
      <c r="O87" s="14"/>
      <c r="P87" s="1">
        <f>SUM(OSRRefP22_20x_0)</f>
        <v>6133</v>
      </c>
      <c r="Q87" s="1"/>
      <c r="R87" s="5">
        <f t="shared" si="60"/>
        <v>0</v>
      </c>
      <c r="S87" s="1"/>
      <c r="T87" s="1">
        <f>SUM(OSRRefT22_20x_0)</f>
        <v>6000</v>
      </c>
      <c r="U87" s="1"/>
      <c r="V87" s="5">
        <f t="shared" si="61"/>
        <v>0</v>
      </c>
      <c r="W87" s="1"/>
      <c r="X87" s="1">
        <f t="shared" si="62"/>
        <v>133</v>
      </c>
      <c r="Y87" s="1"/>
      <c r="Z87" s="5">
        <f t="shared" si="63"/>
        <v>2.2166666666666668E-2</v>
      </c>
    </row>
    <row r="88" spans="1:26" s="24" customFormat="1" hidden="1" outlineLevel="2" x14ac:dyDescent="0.25">
      <c r="A88" s="27"/>
      <c r="B88" s="12" t="str">
        <f>CONCATENATE("          ", "6274", " - ", "UTILITIES")</f>
        <v xml:space="preserve">          6274 - UTILITIES</v>
      </c>
      <c r="C88" s="12"/>
      <c r="D88" s="7">
        <v>6133</v>
      </c>
      <c r="E88" s="3"/>
      <c r="F88" s="8">
        <f t="shared" si="56"/>
        <v>0</v>
      </c>
      <c r="G88" s="3"/>
      <c r="H88" s="7">
        <v>6000</v>
      </c>
      <c r="I88" s="3"/>
      <c r="J88" s="8">
        <f t="shared" si="57"/>
        <v>0</v>
      </c>
      <c r="K88" s="3"/>
      <c r="L88" s="7">
        <f t="shared" si="58"/>
        <v>133</v>
      </c>
      <c r="M88" s="3"/>
      <c r="N88" s="8">
        <f t="shared" si="59"/>
        <v>2.2166666666666668E-2</v>
      </c>
      <c r="O88" s="12"/>
      <c r="P88" s="7">
        <v>6133</v>
      </c>
      <c r="Q88" s="3"/>
      <c r="R88" s="8">
        <f t="shared" si="60"/>
        <v>0</v>
      </c>
      <c r="S88" s="3"/>
      <c r="T88" s="7">
        <v>6000</v>
      </c>
      <c r="U88" s="3"/>
      <c r="V88" s="8">
        <f t="shared" si="61"/>
        <v>0</v>
      </c>
      <c r="W88" s="3"/>
      <c r="X88" s="7">
        <f t="shared" si="62"/>
        <v>133</v>
      </c>
      <c r="Y88" s="3"/>
      <c r="Z88" s="8">
        <f t="shared" si="63"/>
        <v>2.2166666666666668E-2</v>
      </c>
    </row>
    <row r="89" spans="1:26" s="54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2" customFormat="1" collapsed="1" x14ac:dyDescent="0.25">
      <c r="A90" s="10"/>
      <c r="B90" s="26" t="s">
        <v>0</v>
      </c>
      <c r="C90" s="10"/>
      <c r="D90" s="4">
        <f>SUM(OSRRefD25x_0)</f>
        <v>17025.310000000001</v>
      </c>
      <c r="E90" s="4"/>
      <c r="F90" s="11">
        <f t="shared" ref="F90:F92" si="64">IF(D$12=0,0,D90/D$12)</f>
        <v>0</v>
      </c>
      <c r="G90" s="4"/>
      <c r="H90" s="4">
        <f>SUM(OSRRefH25x_0)</f>
        <v>17275</v>
      </c>
      <c r="I90" s="4"/>
      <c r="J90" s="11">
        <f t="shared" ref="J90:J92" si="65">IF(H$12=0,0,H90/H$12)</f>
        <v>0</v>
      </c>
      <c r="K90" s="4"/>
      <c r="L90" s="4">
        <f t="shared" ref="L90:L92" si="66">+D90-H90</f>
        <v>-249.68999999999869</v>
      </c>
      <c r="M90" s="4"/>
      <c r="N90" s="11">
        <f t="shared" ref="N90:N92" si="67">IF(H90=0,0,L90/H90)</f>
        <v>-1.4453835021707594E-2</v>
      </c>
      <c r="O90" s="10"/>
      <c r="P90" s="4">
        <f>SUM(OSRRefP25x_0)</f>
        <v>17025.310000000001</v>
      </c>
      <c r="Q90" s="4"/>
      <c r="R90" s="11">
        <f t="shared" ref="R90:R92" si="68">IF(P$12=0,0,P90/P$12)</f>
        <v>0</v>
      </c>
      <c r="S90" s="4"/>
      <c r="T90" s="4">
        <f>SUM(OSRRefT25x_0)</f>
        <v>17275</v>
      </c>
      <c r="U90" s="4"/>
      <c r="V90" s="11">
        <f t="shared" ref="V90:V92" si="69">IF(T$12=0,0,T90/T$12)</f>
        <v>0</v>
      </c>
      <c r="W90" s="4"/>
      <c r="X90" s="4">
        <f t="shared" ref="X90:X92" si="70">+P90-T90</f>
        <v>-249.68999999999869</v>
      </c>
      <c r="Y90" s="4"/>
      <c r="Z90" s="11">
        <f t="shared" ref="Z90:Z92" si="71">IF(T90=0,0,X90/T90)</f>
        <v>-1.4453835021707594E-2</v>
      </c>
    </row>
    <row r="91" spans="1:26" s="24" customFormat="1" hidden="1" outlineLevel="1" x14ac:dyDescent="0.25">
      <c r="A91" s="51"/>
      <c r="B91" s="12" t="str">
        <f>CONCATENATE("          ", "9150", " - ", "MISC. INCOME")</f>
        <v xml:space="preserve">          9150 - MISC. INCOME</v>
      </c>
      <c r="C91" s="12"/>
      <c r="D91" s="3">
        <f>--17025.31</f>
        <v>17025.310000000001</v>
      </c>
      <c r="E91" s="3"/>
      <c r="F91" s="23">
        <f t="shared" si="64"/>
        <v>0</v>
      </c>
      <c r="G91" s="3"/>
      <c r="H91" s="3">
        <v>2100</v>
      </c>
      <c r="I91" s="3"/>
      <c r="J91" s="23">
        <f t="shared" si="65"/>
        <v>0</v>
      </c>
      <c r="K91" s="3"/>
      <c r="L91" s="3">
        <f t="shared" si="66"/>
        <v>14925.310000000001</v>
      </c>
      <c r="M91" s="3"/>
      <c r="N91" s="23">
        <f t="shared" si="67"/>
        <v>7.1072904761904772</v>
      </c>
      <c r="O91" s="12"/>
      <c r="P91" s="3">
        <f>--17025.31</f>
        <v>17025.310000000001</v>
      </c>
      <c r="Q91" s="3"/>
      <c r="R91" s="23">
        <f t="shared" si="68"/>
        <v>0</v>
      </c>
      <c r="S91" s="3"/>
      <c r="T91" s="3">
        <v>2100</v>
      </c>
      <c r="U91" s="3"/>
      <c r="V91" s="23">
        <f t="shared" si="69"/>
        <v>0</v>
      </c>
      <c r="W91" s="3"/>
      <c r="X91" s="3">
        <f t="shared" si="70"/>
        <v>14925.310000000001</v>
      </c>
      <c r="Y91" s="3"/>
      <c r="Z91" s="23">
        <f t="shared" si="71"/>
        <v>7.1072904761904772</v>
      </c>
    </row>
    <row r="92" spans="1:26" s="24" customFormat="1" hidden="1" outlineLevel="1" x14ac:dyDescent="0.25">
      <c r="A92" s="51"/>
      <c r="B92" s="12" t="str">
        <f>CONCATENATE("          ", "9151", " - ", "MISC. INCOME")</f>
        <v xml:space="preserve">          9151 - MISC. INCOME</v>
      </c>
      <c r="C92" s="12"/>
      <c r="D92" s="3">
        <f>0</f>
        <v>0</v>
      </c>
      <c r="E92" s="3"/>
      <c r="F92" s="23">
        <f t="shared" si="64"/>
        <v>0</v>
      </c>
      <c r="G92" s="3"/>
      <c r="H92" s="3">
        <v>15175</v>
      </c>
      <c r="I92" s="3"/>
      <c r="J92" s="23">
        <f t="shared" si="65"/>
        <v>0</v>
      </c>
      <c r="K92" s="3"/>
      <c r="L92" s="3">
        <f t="shared" si="66"/>
        <v>-15175</v>
      </c>
      <c r="M92" s="3"/>
      <c r="N92" s="23">
        <f t="shared" si="67"/>
        <v>-1</v>
      </c>
      <c r="O92" s="12"/>
      <c r="P92" s="3">
        <f>0</f>
        <v>0</v>
      </c>
      <c r="Q92" s="3"/>
      <c r="R92" s="23">
        <f t="shared" si="68"/>
        <v>0</v>
      </c>
      <c r="S92" s="3"/>
      <c r="T92" s="3">
        <v>15175</v>
      </c>
      <c r="U92" s="3"/>
      <c r="V92" s="23">
        <f t="shared" si="69"/>
        <v>0</v>
      </c>
      <c r="W92" s="3"/>
      <c r="X92" s="3">
        <f t="shared" si="70"/>
        <v>-15175</v>
      </c>
      <c r="Y92" s="3"/>
      <c r="Z92" s="23">
        <f t="shared" si="71"/>
        <v>-1</v>
      </c>
    </row>
    <row r="93" spans="1:26" x14ac:dyDescent="0.25">
      <c r="A93" s="9"/>
      <c r="B93" s="10"/>
      <c r="C93" s="10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10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22" customFormat="1" x14ac:dyDescent="0.25">
      <c r="A94" s="10"/>
      <c r="B94" s="25" t="s">
        <v>3</v>
      </c>
      <c r="C94" s="25"/>
      <c r="D94" s="21">
        <f>+D16-D18+D90</f>
        <v>-148391.38999999998</v>
      </c>
      <c r="E94" s="13"/>
      <c r="F94" s="20">
        <f>IF(D$12=0,0,D94/D$12)</f>
        <v>0</v>
      </c>
      <c r="G94" s="13"/>
      <c r="H94" s="21">
        <f>+H16-H18+H90</f>
        <v>-159868.57987542308</v>
      </c>
      <c r="I94" s="13"/>
      <c r="J94" s="20">
        <f>IF(H$12=0,0,H94/H$12)</f>
        <v>0</v>
      </c>
      <c r="K94" s="15"/>
      <c r="L94" s="21">
        <f>+D94-H94</f>
        <v>11477.189875423093</v>
      </c>
      <c r="M94" s="15"/>
      <c r="N94" s="20">
        <f>IF(H94=0,0,L94/H94)</f>
        <v>-7.1791404442115181E-2</v>
      </c>
      <c r="O94" s="26"/>
      <c r="P94" s="21">
        <f>+P16-P18+P90</f>
        <v>-148391.38999999998</v>
      </c>
      <c r="Q94" s="13"/>
      <c r="R94" s="20">
        <f>IF(P$12=0,0,P94/P$12)</f>
        <v>0</v>
      </c>
      <c r="S94" s="13"/>
      <c r="T94" s="21">
        <f>+T16-T18+T90</f>
        <v>-159868.57987542308</v>
      </c>
      <c r="U94" s="13"/>
      <c r="V94" s="20">
        <f>IF(T$12=0,0,T94/T$12)</f>
        <v>0</v>
      </c>
      <c r="W94" s="15"/>
      <c r="X94" s="21">
        <f>+P94-T94</f>
        <v>11477.189875423093</v>
      </c>
      <c r="Y94" s="15"/>
      <c r="Z94" s="20">
        <f>IF(T94=0,0,X94/T94)</f>
        <v>-7.1791404442115181E-2</v>
      </c>
    </row>
    <row r="95" spans="1:26" x14ac:dyDescent="0.25">
      <c r="A95" s="9"/>
      <c r="B95" s="10"/>
      <c r="C95" s="9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s="22" customFormat="1" x14ac:dyDescent="0.25">
      <c r="A96" s="52"/>
      <c r="B96" s="10" t="s">
        <v>14</v>
      </c>
      <c r="C96" s="10"/>
      <c r="D96" s="4"/>
      <c r="E96" s="4"/>
      <c r="F96" s="11">
        <f>IF(D$12=0,0,D96/D$12)</f>
        <v>0</v>
      </c>
      <c r="G96" s="4"/>
      <c r="H96" s="4"/>
      <c r="I96" s="4"/>
      <c r="J96" s="11">
        <f>IF(H$12=0,0,H96/H$12)</f>
        <v>0</v>
      </c>
      <c r="K96" s="4"/>
      <c r="L96" s="4">
        <f>+D96-H96</f>
        <v>0</v>
      </c>
      <c r="M96" s="4"/>
      <c r="N96" s="11">
        <f>IF(H96=0,0,L96/H96)</f>
        <v>0</v>
      </c>
      <c r="O96" s="10"/>
      <c r="P96" s="4"/>
      <c r="Q96" s="4"/>
      <c r="R96" s="11">
        <f>IF(P$12=0,0,P96/P$12)</f>
        <v>0</v>
      </c>
      <c r="S96" s="4"/>
      <c r="T96" s="4"/>
      <c r="U96" s="4"/>
      <c r="V96" s="11">
        <f>IF(T$12=0,0,T96/T$12)</f>
        <v>0</v>
      </c>
      <c r="W96" s="4"/>
      <c r="X96" s="4">
        <f>+P96-T96</f>
        <v>0</v>
      </c>
      <c r="Y96" s="4"/>
      <c r="Z96" s="11">
        <f>IF(T96=0,0,X96/T96)</f>
        <v>0</v>
      </c>
    </row>
    <row r="97" spans="1:26" x14ac:dyDescent="0.25">
      <c r="A97" s="9"/>
      <c r="B97" s="10"/>
      <c r="C97" s="10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10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22" customFormat="1" ht="15.75" thickBot="1" x14ac:dyDescent="0.3">
      <c r="A98" s="10"/>
      <c r="B98" s="25" t="s">
        <v>4</v>
      </c>
      <c r="C98" s="25"/>
      <c r="D98" s="34">
        <f>+D94-D96</f>
        <v>-148391.38999999998</v>
      </c>
      <c r="E98" s="13"/>
      <c r="F98" s="30">
        <f>IF(D$12=0,0,D98/D$12)</f>
        <v>0</v>
      </c>
      <c r="G98" s="13"/>
      <c r="H98" s="34">
        <f>+H94-H96</f>
        <v>-159868.57987542308</v>
      </c>
      <c r="I98" s="13"/>
      <c r="J98" s="30">
        <f>IF(H$12=0,0,H98/H$12)</f>
        <v>0</v>
      </c>
      <c r="K98" s="15"/>
      <c r="L98" s="34">
        <f>D98-H98</f>
        <v>11477.189875423093</v>
      </c>
      <c r="M98" s="15"/>
      <c r="N98" s="30">
        <f>IF(H98=0,0,L98/H98)</f>
        <v>-7.1791404442115181E-2</v>
      </c>
      <c r="O98" s="26"/>
      <c r="P98" s="34">
        <f>+P94-P96</f>
        <v>-148391.38999999998</v>
      </c>
      <c r="Q98" s="13"/>
      <c r="R98" s="30">
        <f>IF(P$12=0,0,P98/P$12)</f>
        <v>0</v>
      </c>
      <c r="S98" s="13"/>
      <c r="T98" s="34">
        <f>+T94-T96</f>
        <v>-159868.57987542308</v>
      </c>
      <c r="U98" s="13"/>
      <c r="V98" s="30">
        <f>IF(T$12=0,0,T98/T$12)</f>
        <v>0</v>
      </c>
      <c r="W98" s="15"/>
      <c r="X98" s="34">
        <f>P98-T98</f>
        <v>11477.189875423093</v>
      </c>
      <c r="Y98" s="15"/>
      <c r="Z98" s="30">
        <f>IF(T98=0,0,X98/T98)</f>
        <v>-7.1791404442115181E-2</v>
      </c>
    </row>
    <row r="99" spans="1:26" ht="15.75" thickTop="1" x14ac:dyDescent="0.25">
      <c r="A99" s="9"/>
      <c r="B99" s="9"/>
      <c r="C99" s="9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x14ac:dyDescent="0.25">
      <c r="A100" s="9"/>
      <c r="B100" s="9"/>
      <c r="C100" s="9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s="22" customFormat="1" ht="15.75" thickBot="1" x14ac:dyDescent="0.3">
      <c r="A101" s="10"/>
      <c r="B101" s="25" t="s">
        <v>5</v>
      </c>
      <c r="C101" s="25"/>
      <c r="D101" s="32">
        <f>SUM(D98:D100)</f>
        <v>-148391.38999999998</v>
      </c>
      <c r="E101" s="13"/>
      <c r="F101" s="33">
        <f>IF(D$12=0,0,D101/D$12)</f>
        <v>0</v>
      </c>
      <c r="G101" s="13"/>
      <c r="H101" s="32">
        <f>SUM(H98:H100)</f>
        <v>-159868.57987542308</v>
      </c>
      <c r="I101" s="13"/>
      <c r="J101" s="33">
        <f>IF(H$12=0,0,H101/H$12)</f>
        <v>0</v>
      </c>
      <c r="K101" s="15"/>
      <c r="L101" s="32">
        <f>+D101-H101</f>
        <v>11477.189875423093</v>
      </c>
      <c r="M101" s="15"/>
      <c r="N101" s="33">
        <f>IF(H101=0,0,L101/H101)</f>
        <v>-7.1791404442115181E-2</v>
      </c>
      <c r="O101" s="26"/>
      <c r="P101" s="32">
        <f>SUM(P98:P100)</f>
        <v>-148391.38999999998</v>
      </c>
      <c r="Q101" s="13"/>
      <c r="R101" s="33">
        <f>IF(P$12=0,0,P101/P$12)</f>
        <v>0</v>
      </c>
      <c r="S101" s="13"/>
      <c r="T101" s="32">
        <f>SUM(T98:T100)</f>
        <v>-159868.57987542308</v>
      </c>
      <c r="U101" s="13"/>
      <c r="V101" s="33">
        <f>IF(T$12=0,0,T101/T$12)</f>
        <v>0</v>
      </c>
      <c r="W101" s="15"/>
      <c r="X101" s="32">
        <f>+P101-T101</f>
        <v>11477.189875423093</v>
      </c>
      <c r="Y101" s="15"/>
      <c r="Z101" s="33">
        <f>IF(T101=0,0,X101/T101)</f>
        <v>-7.1791404442115181E-2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8">
        <v>44104.685829317132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6" t="s">
        <v>314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62"/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7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3" si="0">+D12-H12</f>
        <v>0</v>
      </c>
      <c r="M12" s="4"/>
      <c r="N12" s="11">
        <f t="shared" ref="N12:N13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3" si="2">+P12-T12</f>
        <v>0</v>
      </c>
      <c r="Y12" s="4"/>
      <c r="Z12" s="11">
        <f t="shared" ref="Z12:Z13" si="3">IF(T12=0,0,X12/T12)</f>
        <v>0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>
        <f>SUM(OSRRefD16x_0)</f>
        <v>38.049999999999997</v>
      </c>
      <c r="E15" s="4"/>
      <c r="F15" s="11">
        <f t="shared" ref="F15:F16" si="4">IF(D$12=0,0,D15/D$12)</f>
        <v>0</v>
      </c>
      <c r="G15" s="4"/>
      <c r="H15" s="4">
        <f>SUM(OSRRefH16x_0)</f>
        <v>0</v>
      </c>
      <c r="I15" s="4"/>
      <c r="J15" s="11">
        <f t="shared" ref="J15:J16" si="5">IF(H$12=0,0,H15/H$12)</f>
        <v>0</v>
      </c>
      <c r="K15" s="4"/>
      <c r="L15" s="4">
        <f t="shared" ref="L15:L16" si="6">+D15-H15</f>
        <v>38.049999999999997</v>
      </c>
      <c r="M15" s="4"/>
      <c r="N15" s="11">
        <f t="shared" ref="N15:N16" si="7">IF(H15=0,0,L15/H15)</f>
        <v>0</v>
      </c>
      <c r="O15" s="10"/>
      <c r="P15" s="4">
        <f>SUM(OSRRefP16x_0)</f>
        <v>38.049999999999997</v>
      </c>
      <c r="Q15" s="4"/>
      <c r="R15" s="11">
        <f t="shared" ref="R15:R16" si="8">IF(P$12=0,0,P15/P$12)</f>
        <v>0</v>
      </c>
      <c r="S15" s="4"/>
      <c r="T15" s="4">
        <f>SUM(OSRRefT16x_0)</f>
        <v>0</v>
      </c>
      <c r="U15" s="4"/>
      <c r="V15" s="11">
        <f t="shared" ref="V15:V16" si="9">IF(T$12=0,0,T15/T$12)</f>
        <v>0</v>
      </c>
      <c r="W15" s="4"/>
      <c r="X15" s="4">
        <f t="shared" ref="X15:X16" si="10">+P15-T15</f>
        <v>38.049999999999997</v>
      </c>
      <c r="Y15" s="4"/>
      <c r="Z15" s="11">
        <f t="shared" ref="Z15:Z16" si="11">IF(T15=0,0,X15/T15)</f>
        <v>0</v>
      </c>
    </row>
    <row r="16" spans="1:26" s="24" customFormat="1" hidden="1" outlineLevel="1" x14ac:dyDescent="0.25">
      <c r="A16" s="51"/>
      <c r="B16" s="12" t="str">
        <f>CONCATENATE("          ", "5528", " - ", "FREIGHT-IN-ART/TECH")</f>
        <v xml:space="preserve">          5528 - FREIGHT-IN-ART/TECH</v>
      </c>
      <c r="C16" s="12"/>
      <c r="D16" s="3">
        <v>38.049999999999997</v>
      </c>
      <c r="E16" s="3"/>
      <c r="F16" s="23">
        <f t="shared" si="4"/>
        <v>0</v>
      </c>
      <c r="G16" s="3"/>
      <c r="H16" s="3"/>
      <c r="I16" s="3"/>
      <c r="J16" s="23">
        <f t="shared" si="5"/>
        <v>0</v>
      </c>
      <c r="K16" s="3"/>
      <c r="L16" s="3">
        <f t="shared" si="6"/>
        <v>38.049999999999997</v>
      </c>
      <c r="M16" s="3"/>
      <c r="N16" s="23">
        <f t="shared" si="7"/>
        <v>0</v>
      </c>
      <c r="O16" s="12"/>
      <c r="P16" s="3">
        <v>38.049999999999997</v>
      </c>
      <c r="Q16" s="3"/>
      <c r="R16" s="23">
        <f t="shared" si="8"/>
        <v>0</v>
      </c>
      <c r="S16" s="3"/>
      <c r="T16" s="3"/>
      <c r="U16" s="3"/>
      <c r="V16" s="23">
        <f t="shared" si="9"/>
        <v>0</v>
      </c>
      <c r="W16" s="3"/>
      <c r="X16" s="3">
        <f t="shared" si="10"/>
        <v>38.049999999999997</v>
      </c>
      <c r="Y16" s="3"/>
      <c r="Z16" s="23">
        <f t="shared" si="11"/>
        <v>0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>
        <f>D12-D15</f>
        <v>-38.049999999999997</v>
      </c>
      <c r="E18" s="13"/>
      <c r="F18" s="20">
        <f>IF(D$12=0,0,D18/D$12)</f>
        <v>0</v>
      </c>
      <c r="G18" s="13"/>
      <c r="H18" s="21">
        <f>H12-H15</f>
        <v>0</v>
      </c>
      <c r="I18" s="13"/>
      <c r="J18" s="20">
        <f>IF(H$12=0,0,H18/H$12)</f>
        <v>0</v>
      </c>
      <c r="K18" s="15"/>
      <c r="L18" s="21">
        <f>+D18-H18</f>
        <v>-38.049999999999997</v>
      </c>
      <c r="M18" s="15"/>
      <c r="N18" s="20">
        <f>IF(H18=0,0,L18/H18)</f>
        <v>0</v>
      </c>
      <c r="O18" s="26"/>
      <c r="P18" s="21">
        <f>P12-P15</f>
        <v>-38.049999999999997</v>
      </c>
      <c r="Q18" s="13"/>
      <c r="R18" s="20">
        <f>IF(P$12=0,0,P18/P$12)</f>
        <v>0</v>
      </c>
      <c r="S18" s="13"/>
      <c r="T18" s="21">
        <f>T12-T15</f>
        <v>0</v>
      </c>
      <c r="U18" s="13"/>
      <c r="V18" s="20">
        <f>IF(T$12=0,0,T18/T$12)</f>
        <v>0</v>
      </c>
      <c r="W18" s="15"/>
      <c r="X18" s="21">
        <f>+P18-T18</f>
        <v>-38.049999999999997</v>
      </c>
      <c r="Y18" s="15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>
        <f>SUM(OSRRefD22x_0)</f>
        <v>1103.3499999999999</v>
      </c>
      <c r="E20" s="19"/>
      <c r="F20" s="31">
        <f t="shared" ref="F20:F29" si="12">IF(D$12=0,0,D20/D$12)</f>
        <v>0</v>
      </c>
      <c r="G20" s="19"/>
      <c r="H20" s="19">
        <f>SUM(OSRRefH22x_0)</f>
        <v>8819.8760000000002</v>
      </c>
      <c r="I20" s="19"/>
      <c r="J20" s="31">
        <f t="shared" ref="J20:J29" si="13">IF(H$12=0,0,H20/H$12)</f>
        <v>0</v>
      </c>
      <c r="K20" s="4"/>
      <c r="L20" s="19">
        <f t="shared" ref="L20:L29" si="14">+D20-H20</f>
        <v>-7716.5259999999998</v>
      </c>
      <c r="M20" s="4"/>
      <c r="N20" s="31">
        <f t="shared" ref="N20:N29" si="15">IF(H20=0,0,L20/H20)</f>
        <v>-0.87490186936868497</v>
      </c>
      <c r="O20" s="10"/>
      <c r="P20" s="19">
        <f>SUM(OSRRefP22x_0)</f>
        <v>1103.3499999999999</v>
      </c>
      <c r="Q20" s="19"/>
      <c r="R20" s="31">
        <f t="shared" ref="R20:R29" si="16">IF(P$12=0,0,P20/P$12)</f>
        <v>0</v>
      </c>
      <c r="S20" s="19"/>
      <c r="T20" s="19">
        <f>SUM(OSRRefT22x_0)</f>
        <v>8819.8760000000002</v>
      </c>
      <c r="U20" s="19"/>
      <c r="V20" s="31">
        <f t="shared" ref="V20:V29" si="17">IF(T$12=0,0,T20/T$12)</f>
        <v>0</v>
      </c>
      <c r="W20" s="4"/>
      <c r="X20" s="19">
        <f t="shared" ref="X20:X29" si="18">+P20-T20</f>
        <v>-7716.5259999999998</v>
      </c>
      <c r="Y20" s="4"/>
      <c r="Z20" s="31">
        <f t="shared" ref="Z20:Z29" si="19">IF(T20=0,0,X20/T20)</f>
        <v>-0.87490186936868497</v>
      </c>
    </row>
    <row r="21" spans="1:26" s="29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1879.876</v>
      </c>
      <c r="I21" s="1"/>
      <c r="J21" s="5">
        <f t="shared" si="13"/>
        <v>0</v>
      </c>
      <c r="K21" s="1"/>
      <c r="L21" s="1">
        <f t="shared" si="14"/>
        <v>-1879.876</v>
      </c>
      <c r="M21" s="1"/>
      <c r="N21" s="5">
        <f t="shared" si="15"/>
        <v>-1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1879.876</v>
      </c>
      <c r="U21" s="1"/>
      <c r="V21" s="5">
        <f t="shared" si="17"/>
        <v>0</v>
      </c>
      <c r="W21" s="1"/>
      <c r="X21" s="1">
        <f t="shared" si="18"/>
        <v>-1879.876</v>
      </c>
      <c r="Y21" s="1"/>
      <c r="Z21" s="5">
        <f t="shared" si="19"/>
        <v>-1</v>
      </c>
    </row>
    <row r="22" spans="1:26" s="24" customFormat="1" hidden="1" outlineLevel="2" x14ac:dyDescent="0.25">
      <c r="A22" s="27"/>
      <c r="B22" s="12" t="str">
        <f>CONCATENATE("          ", "6111", " - ", "F.I.C.A.")</f>
        <v xml:space="preserve">          6111 - F.I.C.A.</v>
      </c>
      <c r="C22" s="12"/>
      <c r="D22" s="7"/>
      <c r="E22" s="3"/>
      <c r="F22" s="8">
        <f t="shared" si="12"/>
        <v>0</v>
      </c>
      <c r="G22" s="3"/>
      <c r="H22" s="7">
        <v>397.95600000000002</v>
      </c>
      <c r="I22" s="3"/>
      <c r="J22" s="8">
        <f t="shared" si="13"/>
        <v>0</v>
      </c>
      <c r="K22" s="3"/>
      <c r="L22" s="7">
        <f t="shared" si="14"/>
        <v>-397.95600000000002</v>
      </c>
      <c r="M22" s="3"/>
      <c r="N22" s="8">
        <f t="shared" si="15"/>
        <v>-1</v>
      </c>
      <c r="O22" s="12"/>
      <c r="P22" s="7"/>
      <c r="Q22" s="3"/>
      <c r="R22" s="8">
        <f t="shared" si="16"/>
        <v>0</v>
      </c>
      <c r="S22" s="3"/>
      <c r="T22" s="7">
        <v>397.95600000000002</v>
      </c>
      <c r="U22" s="3"/>
      <c r="V22" s="8">
        <f t="shared" si="17"/>
        <v>0</v>
      </c>
      <c r="W22" s="3"/>
      <c r="X22" s="7">
        <f t="shared" si="18"/>
        <v>-397.95600000000002</v>
      </c>
      <c r="Y22" s="3"/>
      <c r="Z22" s="8">
        <f t="shared" si="19"/>
        <v>-1</v>
      </c>
    </row>
    <row r="23" spans="1:26" s="24" customFormat="1" hidden="1" outlineLevel="2" x14ac:dyDescent="0.25">
      <c r="A23" s="27"/>
      <c r="B23" s="12" t="str">
        <f>CONCATENATE("          ", "6112", " - ", "COMPENSATION INSURANCE")</f>
        <v xml:space="preserve">          6112 - COMPENSATION INSURANCE</v>
      </c>
      <c r="C23" s="12"/>
      <c r="D23" s="7"/>
      <c r="E23" s="3"/>
      <c r="F23" s="8">
        <f t="shared" si="12"/>
        <v>0</v>
      </c>
      <c r="G23" s="3"/>
      <c r="H23" s="7">
        <v>96.2</v>
      </c>
      <c r="I23" s="3"/>
      <c r="J23" s="8">
        <f t="shared" si="13"/>
        <v>0</v>
      </c>
      <c r="K23" s="3"/>
      <c r="L23" s="7">
        <f t="shared" si="14"/>
        <v>-96.2</v>
      </c>
      <c r="M23" s="3"/>
      <c r="N23" s="8">
        <f t="shared" si="15"/>
        <v>-1</v>
      </c>
      <c r="O23" s="12"/>
      <c r="P23" s="7"/>
      <c r="Q23" s="3"/>
      <c r="R23" s="8">
        <f t="shared" si="16"/>
        <v>0</v>
      </c>
      <c r="S23" s="3"/>
      <c r="T23" s="7">
        <v>96.2</v>
      </c>
      <c r="U23" s="3"/>
      <c r="V23" s="8">
        <f t="shared" si="17"/>
        <v>0</v>
      </c>
      <c r="W23" s="3"/>
      <c r="X23" s="7">
        <f t="shared" si="18"/>
        <v>-96.2</v>
      </c>
      <c r="Y23" s="3"/>
      <c r="Z23" s="8">
        <f t="shared" si="19"/>
        <v>-1</v>
      </c>
    </row>
    <row r="24" spans="1:26" s="24" customFormat="1" hidden="1" outlineLevel="2" x14ac:dyDescent="0.25">
      <c r="A24" s="27"/>
      <c r="B24" s="12" t="str">
        <f>CONCATENATE("          ", "6113", " - ", "GROUP INSURANCE")</f>
        <v xml:space="preserve">          6113 - GROUP INSURANCE</v>
      </c>
      <c r="C24" s="12"/>
      <c r="D24" s="7"/>
      <c r="E24" s="3"/>
      <c r="F24" s="8">
        <f t="shared" si="12"/>
        <v>0</v>
      </c>
      <c r="G24" s="3"/>
      <c r="H24" s="7">
        <v>665</v>
      </c>
      <c r="I24" s="3"/>
      <c r="J24" s="8">
        <f t="shared" si="13"/>
        <v>0</v>
      </c>
      <c r="K24" s="3"/>
      <c r="L24" s="7">
        <f t="shared" si="14"/>
        <v>-665</v>
      </c>
      <c r="M24" s="3"/>
      <c r="N24" s="8">
        <f t="shared" si="15"/>
        <v>-1</v>
      </c>
      <c r="O24" s="12"/>
      <c r="P24" s="7"/>
      <c r="Q24" s="3"/>
      <c r="R24" s="8">
        <f t="shared" si="16"/>
        <v>0</v>
      </c>
      <c r="S24" s="3"/>
      <c r="T24" s="7">
        <v>665</v>
      </c>
      <c r="U24" s="3"/>
      <c r="V24" s="8">
        <f t="shared" si="17"/>
        <v>0</v>
      </c>
      <c r="W24" s="3"/>
      <c r="X24" s="7">
        <f t="shared" si="18"/>
        <v>-665</v>
      </c>
      <c r="Y24" s="3"/>
      <c r="Z24" s="8">
        <f t="shared" si="19"/>
        <v>-1</v>
      </c>
    </row>
    <row r="25" spans="1:26" s="24" customFormat="1" hidden="1" outlineLevel="2" x14ac:dyDescent="0.25">
      <c r="A25" s="27"/>
      <c r="B25" s="12" t="str">
        <f>CONCATENATE("          ", "6114", " - ", "STATE UNEMPLOYMENT INSURANCE")</f>
        <v xml:space="preserve">          6114 - STATE UNEMPLOYMENT INSURANCE</v>
      </c>
      <c r="C25" s="12"/>
      <c r="D25" s="7"/>
      <c r="E25" s="3"/>
      <c r="F25" s="8">
        <f t="shared" si="12"/>
        <v>0</v>
      </c>
      <c r="G25" s="3"/>
      <c r="H25" s="7">
        <v>13.52</v>
      </c>
      <c r="I25" s="3"/>
      <c r="J25" s="8">
        <f t="shared" si="13"/>
        <v>0</v>
      </c>
      <c r="K25" s="3"/>
      <c r="L25" s="7">
        <f t="shared" si="14"/>
        <v>-13.52</v>
      </c>
      <c r="M25" s="3"/>
      <c r="N25" s="8">
        <f t="shared" si="15"/>
        <v>-1</v>
      </c>
      <c r="O25" s="12"/>
      <c r="P25" s="7"/>
      <c r="Q25" s="3"/>
      <c r="R25" s="8">
        <f t="shared" si="16"/>
        <v>0</v>
      </c>
      <c r="S25" s="3"/>
      <c r="T25" s="7">
        <v>13.52</v>
      </c>
      <c r="U25" s="3"/>
      <c r="V25" s="8">
        <f t="shared" si="17"/>
        <v>0</v>
      </c>
      <c r="W25" s="3"/>
      <c r="X25" s="7">
        <f t="shared" si="18"/>
        <v>-13.52</v>
      </c>
      <c r="Y25" s="3"/>
      <c r="Z25" s="8">
        <f t="shared" si="19"/>
        <v>-1</v>
      </c>
    </row>
    <row r="26" spans="1:26" s="24" customFormat="1" hidden="1" outlineLevel="2" x14ac:dyDescent="0.25">
      <c r="A26" s="27"/>
      <c r="B26" s="12" t="str">
        <f>CONCATENATE("          ", "6115", " - ", "P.E.R.S.")</f>
        <v xml:space="preserve">          6115 - P.E.R.S.</v>
      </c>
      <c r="C26" s="12"/>
      <c r="D26" s="7"/>
      <c r="E26" s="3"/>
      <c r="F26" s="8">
        <f t="shared" si="12"/>
        <v>0</v>
      </c>
      <c r="G26" s="3"/>
      <c r="H26" s="7">
        <v>447.2</v>
      </c>
      <c r="I26" s="3"/>
      <c r="J26" s="8">
        <f t="shared" si="13"/>
        <v>0</v>
      </c>
      <c r="K26" s="3"/>
      <c r="L26" s="7">
        <f t="shared" si="14"/>
        <v>-447.2</v>
      </c>
      <c r="M26" s="3"/>
      <c r="N26" s="8">
        <f t="shared" si="15"/>
        <v>-1</v>
      </c>
      <c r="O26" s="12"/>
      <c r="P26" s="7"/>
      <c r="Q26" s="3"/>
      <c r="R26" s="8">
        <f t="shared" si="16"/>
        <v>0</v>
      </c>
      <c r="S26" s="3"/>
      <c r="T26" s="7">
        <v>447.2</v>
      </c>
      <c r="U26" s="3"/>
      <c r="V26" s="8">
        <f t="shared" si="17"/>
        <v>0</v>
      </c>
      <c r="W26" s="3"/>
      <c r="X26" s="7">
        <f t="shared" si="18"/>
        <v>-447.2</v>
      </c>
      <c r="Y26" s="3"/>
      <c r="Z26" s="8">
        <f t="shared" si="19"/>
        <v>-1</v>
      </c>
    </row>
    <row r="27" spans="1:26" s="24" customFormat="1" hidden="1" outlineLevel="2" x14ac:dyDescent="0.25">
      <c r="A27" s="27"/>
      <c r="B27" s="12" t="str">
        <f>CONCATENATE("          ", "6116", " - ", "EDUCATIONAL BENEFITS")</f>
        <v xml:space="preserve">          6116 - EDUCATIONAL BENEFITS</v>
      </c>
      <c r="C27" s="12"/>
      <c r="D27" s="7"/>
      <c r="E27" s="3"/>
      <c r="F27" s="8">
        <f t="shared" si="12"/>
        <v>0</v>
      </c>
      <c r="G27" s="3"/>
      <c r="H27" s="7">
        <v>0</v>
      </c>
      <c r="I27" s="3"/>
      <c r="J27" s="8">
        <f t="shared" si="13"/>
        <v>0</v>
      </c>
      <c r="K27" s="3"/>
      <c r="L27" s="7">
        <f t="shared" si="14"/>
        <v>0</v>
      </c>
      <c r="M27" s="3"/>
      <c r="N27" s="8">
        <f t="shared" si="15"/>
        <v>0</v>
      </c>
      <c r="O27" s="12"/>
      <c r="P27" s="7"/>
      <c r="Q27" s="3"/>
      <c r="R27" s="8">
        <f t="shared" si="16"/>
        <v>0</v>
      </c>
      <c r="S27" s="3"/>
      <c r="T27" s="7">
        <v>0</v>
      </c>
      <c r="U27" s="3"/>
      <c r="V27" s="8">
        <f t="shared" si="17"/>
        <v>0</v>
      </c>
      <c r="W27" s="3"/>
      <c r="X27" s="7">
        <f t="shared" si="18"/>
        <v>0</v>
      </c>
      <c r="Y27" s="3"/>
      <c r="Z27" s="8">
        <f t="shared" si="19"/>
        <v>0</v>
      </c>
    </row>
    <row r="28" spans="1:26" s="24" customFormat="1" hidden="1" outlineLevel="2" x14ac:dyDescent="0.25">
      <c r="A28" s="27"/>
      <c r="B28" s="12" t="str">
        <f>CONCATENATE("          ", "6118", " - ", "VACATION")</f>
        <v xml:space="preserve">          6118 - VACATION</v>
      </c>
      <c r="C28" s="12"/>
      <c r="D28" s="7"/>
      <c r="E28" s="3"/>
      <c r="F28" s="8">
        <f t="shared" si="12"/>
        <v>0</v>
      </c>
      <c r="G28" s="3"/>
      <c r="H28" s="7">
        <v>156</v>
      </c>
      <c r="I28" s="3"/>
      <c r="J28" s="8">
        <f t="shared" si="13"/>
        <v>0</v>
      </c>
      <c r="K28" s="3"/>
      <c r="L28" s="7">
        <f t="shared" si="14"/>
        <v>-156</v>
      </c>
      <c r="M28" s="3"/>
      <c r="N28" s="8">
        <f t="shared" si="15"/>
        <v>-1</v>
      </c>
      <c r="O28" s="12"/>
      <c r="P28" s="7"/>
      <c r="Q28" s="3"/>
      <c r="R28" s="8">
        <f t="shared" si="16"/>
        <v>0</v>
      </c>
      <c r="S28" s="3"/>
      <c r="T28" s="7">
        <v>156</v>
      </c>
      <c r="U28" s="3"/>
      <c r="V28" s="8">
        <f t="shared" si="17"/>
        <v>0</v>
      </c>
      <c r="W28" s="3"/>
      <c r="X28" s="7">
        <f t="shared" si="18"/>
        <v>-156</v>
      </c>
      <c r="Y28" s="3"/>
      <c r="Z28" s="8">
        <f t="shared" si="19"/>
        <v>-1</v>
      </c>
    </row>
    <row r="29" spans="1:26" s="24" customFormat="1" hidden="1" outlineLevel="2" x14ac:dyDescent="0.25">
      <c r="A29" s="27"/>
      <c r="B29" s="12" t="str">
        <f>CONCATENATE("          ", "6119", " - ", "SICK LEAVE")</f>
        <v xml:space="preserve">          6119 - SICK LEAVE</v>
      </c>
      <c r="C29" s="12"/>
      <c r="D29" s="7"/>
      <c r="E29" s="3"/>
      <c r="F29" s="8">
        <f t="shared" si="12"/>
        <v>0</v>
      </c>
      <c r="G29" s="3"/>
      <c r="H29" s="7">
        <v>104</v>
      </c>
      <c r="I29" s="3"/>
      <c r="J29" s="8">
        <f t="shared" si="13"/>
        <v>0</v>
      </c>
      <c r="K29" s="3"/>
      <c r="L29" s="7">
        <f t="shared" si="14"/>
        <v>-104</v>
      </c>
      <c r="M29" s="3"/>
      <c r="N29" s="8">
        <f t="shared" si="15"/>
        <v>-1</v>
      </c>
      <c r="O29" s="12"/>
      <c r="P29" s="7"/>
      <c r="Q29" s="3"/>
      <c r="R29" s="8">
        <f t="shared" si="16"/>
        <v>0</v>
      </c>
      <c r="S29" s="3"/>
      <c r="T29" s="7">
        <v>104</v>
      </c>
      <c r="U29" s="3"/>
      <c r="V29" s="8">
        <f t="shared" si="17"/>
        <v>0</v>
      </c>
      <c r="W29" s="3"/>
      <c r="X29" s="7">
        <f t="shared" si="18"/>
        <v>-104</v>
      </c>
      <c r="Y29" s="3"/>
      <c r="Z29" s="8">
        <f t="shared" si="19"/>
        <v>-1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4940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-4940</v>
      </c>
      <c r="M30" s="1"/>
      <c r="N30" s="5">
        <f t="shared" ref="N30:N40" si="23">IF(H30=0,0,L30/H30)</f>
        <v>-1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4940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-4940</v>
      </c>
      <c r="Y30" s="1"/>
      <c r="Z30" s="5">
        <f t="shared" ref="Z30:Z40" si="27">IF(T30=0,0,X30/T30)</f>
        <v>-1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/>
      <c r="E31" s="3"/>
      <c r="F31" s="8">
        <f t="shared" si="20"/>
        <v>0</v>
      </c>
      <c r="G31" s="3"/>
      <c r="H31" s="7">
        <v>4940</v>
      </c>
      <c r="I31" s="3"/>
      <c r="J31" s="8">
        <f t="shared" si="21"/>
        <v>0</v>
      </c>
      <c r="K31" s="3"/>
      <c r="L31" s="7">
        <f t="shared" si="22"/>
        <v>-4940</v>
      </c>
      <c r="M31" s="3"/>
      <c r="N31" s="8">
        <f t="shared" si="23"/>
        <v>-1</v>
      </c>
      <c r="O31" s="12"/>
      <c r="P31" s="7"/>
      <c r="Q31" s="3"/>
      <c r="R31" s="8">
        <f t="shared" si="24"/>
        <v>0</v>
      </c>
      <c r="S31" s="3"/>
      <c r="T31" s="7">
        <v>4940</v>
      </c>
      <c r="U31" s="3"/>
      <c r="V31" s="8">
        <f t="shared" si="25"/>
        <v>0</v>
      </c>
      <c r="W31" s="3"/>
      <c r="X31" s="7">
        <f t="shared" si="26"/>
        <v>-4940</v>
      </c>
      <c r="Y31" s="3"/>
      <c r="Z31" s="8">
        <f t="shared" si="27"/>
        <v>-1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/>
      <c r="E32" s="3"/>
      <c r="F32" s="8">
        <f t="shared" si="20"/>
        <v>0</v>
      </c>
      <c r="G32" s="3"/>
      <c r="H32" s="7">
        <v>0</v>
      </c>
      <c r="I32" s="3"/>
      <c r="J32" s="8">
        <f t="shared" si="21"/>
        <v>0</v>
      </c>
      <c r="K32" s="3"/>
      <c r="L32" s="7">
        <f t="shared" si="22"/>
        <v>0</v>
      </c>
      <c r="M32" s="3"/>
      <c r="N32" s="8">
        <f t="shared" si="23"/>
        <v>0</v>
      </c>
      <c r="O32" s="12"/>
      <c r="P32" s="7"/>
      <c r="Q32" s="3"/>
      <c r="R32" s="8">
        <f t="shared" si="24"/>
        <v>0</v>
      </c>
      <c r="S32" s="3"/>
      <c r="T32" s="7">
        <v>0</v>
      </c>
      <c r="U32" s="3"/>
      <c r="V32" s="8">
        <f t="shared" si="25"/>
        <v>0</v>
      </c>
      <c r="W32" s="3"/>
      <c r="X32" s="7">
        <f t="shared" si="26"/>
        <v>0</v>
      </c>
      <c r="Y32" s="3"/>
      <c r="Z32" s="8">
        <f t="shared" si="27"/>
        <v>0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20"/>
        <v>0</v>
      </c>
      <c r="G33" s="3"/>
      <c r="H33" s="7">
        <v>0</v>
      </c>
      <c r="I33" s="3"/>
      <c r="J33" s="8">
        <f t="shared" si="21"/>
        <v>0</v>
      </c>
      <c r="K33" s="3"/>
      <c r="L33" s="7">
        <f t="shared" si="22"/>
        <v>0</v>
      </c>
      <c r="M33" s="3"/>
      <c r="N33" s="8">
        <f t="shared" si="23"/>
        <v>0</v>
      </c>
      <c r="O33" s="12"/>
      <c r="P33" s="7"/>
      <c r="Q33" s="3"/>
      <c r="R33" s="8">
        <f t="shared" si="24"/>
        <v>0</v>
      </c>
      <c r="S33" s="3"/>
      <c r="T33" s="7">
        <v>0</v>
      </c>
      <c r="U33" s="3"/>
      <c r="V33" s="8">
        <f t="shared" si="25"/>
        <v>0</v>
      </c>
      <c r="W33" s="3"/>
      <c r="X33" s="7">
        <f t="shared" si="26"/>
        <v>0</v>
      </c>
      <c r="Y33" s="3"/>
      <c r="Z33" s="8">
        <f t="shared" si="27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/>
      <c r="E34" s="3"/>
      <c r="F34" s="8">
        <f t="shared" si="20"/>
        <v>0</v>
      </c>
      <c r="G34" s="3"/>
      <c r="H34" s="7">
        <v>0</v>
      </c>
      <c r="I34" s="3"/>
      <c r="J34" s="8">
        <f t="shared" si="21"/>
        <v>0</v>
      </c>
      <c r="K34" s="3"/>
      <c r="L34" s="7">
        <f t="shared" si="22"/>
        <v>0</v>
      </c>
      <c r="M34" s="3"/>
      <c r="N34" s="8">
        <f t="shared" si="23"/>
        <v>0</v>
      </c>
      <c r="O34" s="12"/>
      <c r="P34" s="7"/>
      <c r="Q34" s="3"/>
      <c r="R34" s="8">
        <f t="shared" si="24"/>
        <v>0</v>
      </c>
      <c r="S34" s="3"/>
      <c r="T34" s="7">
        <v>0</v>
      </c>
      <c r="U34" s="3"/>
      <c r="V34" s="8">
        <f t="shared" si="25"/>
        <v>0</v>
      </c>
      <c r="W34" s="3"/>
      <c r="X34" s="7">
        <f t="shared" si="26"/>
        <v>0</v>
      </c>
      <c r="Y34" s="3"/>
      <c r="Z34" s="8">
        <f t="shared" si="27"/>
        <v>0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20"/>
        <v>0</v>
      </c>
      <c r="G35" s="3"/>
      <c r="H35" s="7">
        <v>0</v>
      </c>
      <c r="I35" s="3"/>
      <c r="J35" s="8">
        <f t="shared" si="21"/>
        <v>0</v>
      </c>
      <c r="K35" s="3"/>
      <c r="L35" s="7">
        <f t="shared" si="22"/>
        <v>0</v>
      </c>
      <c r="M35" s="3"/>
      <c r="N35" s="8">
        <f t="shared" si="23"/>
        <v>0</v>
      </c>
      <c r="O35" s="12"/>
      <c r="P35" s="7"/>
      <c r="Q35" s="3"/>
      <c r="R35" s="8">
        <f t="shared" si="24"/>
        <v>0</v>
      </c>
      <c r="S35" s="3"/>
      <c r="T35" s="7">
        <v>0</v>
      </c>
      <c r="U35" s="3"/>
      <c r="V35" s="8">
        <f t="shared" si="25"/>
        <v>0</v>
      </c>
      <c r="W35" s="3"/>
      <c r="X35" s="7">
        <f t="shared" si="26"/>
        <v>0</v>
      </c>
      <c r="Y35" s="3"/>
      <c r="Z35" s="8">
        <f t="shared" si="27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/>
      <c r="E37" s="3"/>
      <c r="F37" s="8">
        <f t="shared" si="20"/>
        <v>0</v>
      </c>
      <c r="G37" s="3"/>
      <c r="H37" s="7">
        <v>0</v>
      </c>
      <c r="I37" s="3"/>
      <c r="J37" s="8">
        <f t="shared" si="21"/>
        <v>0</v>
      </c>
      <c r="K37" s="3"/>
      <c r="L37" s="7">
        <f t="shared" si="22"/>
        <v>0</v>
      </c>
      <c r="M37" s="3"/>
      <c r="N37" s="8">
        <f t="shared" si="23"/>
        <v>0</v>
      </c>
      <c r="O37" s="12"/>
      <c r="P37" s="7"/>
      <c r="Q37" s="3"/>
      <c r="R37" s="8">
        <f t="shared" si="24"/>
        <v>0</v>
      </c>
      <c r="S37" s="3"/>
      <c r="T37" s="7">
        <v>0</v>
      </c>
      <c r="U37" s="3"/>
      <c r="V37" s="8">
        <f t="shared" si="25"/>
        <v>0</v>
      </c>
      <c r="W37" s="3"/>
      <c r="X37" s="7">
        <f t="shared" si="26"/>
        <v>0</v>
      </c>
      <c r="Y37" s="3"/>
      <c r="Z37" s="8">
        <f t="shared" si="27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20"/>
        <v>0</v>
      </c>
      <c r="G39" s="3"/>
      <c r="H39" s="7">
        <v>0</v>
      </c>
      <c r="I39" s="3"/>
      <c r="J39" s="8">
        <f t="shared" si="21"/>
        <v>0</v>
      </c>
      <c r="K39" s="3"/>
      <c r="L39" s="7">
        <f t="shared" si="22"/>
        <v>0</v>
      </c>
      <c r="M39" s="3"/>
      <c r="N39" s="8">
        <f t="shared" si="23"/>
        <v>0</v>
      </c>
      <c r="O39" s="12"/>
      <c r="P39" s="7"/>
      <c r="Q39" s="3"/>
      <c r="R39" s="8">
        <f t="shared" si="24"/>
        <v>0</v>
      </c>
      <c r="S39" s="3"/>
      <c r="T39" s="7">
        <v>0</v>
      </c>
      <c r="U39" s="3"/>
      <c r="V39" s="8">
        <f t="shared" si="25"/>
        <v>0</v>
      </c>
      <c r="W39" s="3"/>
      <c r="X39" s="7">
        <f t="shared" si="26"/>
        <v>0</v>
      </c>
      <c r="Y39" s="3"/>
      <c r="Z39" s="8">
        <f t="shared" si="27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9" customFormat="1" outlineLevel="1" collapsed="1" x14ac:dyDescent="0.25">
      <c r="A41" s="28"/>
      <c r="B41" s="14" t="str">
        <f>CONCATENATE("     ","Discounts and Markdowns                           ")</f>
        <v xml:space="preserve">     Discounts and Markdowns                           </v>
      </c>
      <c r="C41" s="14"/>
      <c r="D41" s="1">
        <f>SUM(OSRRefD22_2x_0)</f>
        <v>0</v>
      </c>
      <c r="E41" s="1"/>
      <c r="F41" s="5">
        <f t="shared" ref="F41:F53" si="28">IF(D$12=0,0,D41/D$12)</f>
        <v>0</v>
      </c>
      <c r="G41" s="1"/>
      <c r="H41" s="1">
        <f>SUM(OSRRefH22_2x_0)</f>
        <v>0</v>
      </c>
      <c r="I41" s="1"/>
      <c r="J41" s="5">
        <f t="shared" ref="J41:J53" si="29">IF(H$12=0,0,H41/H$12)</f>
        <v>0</v>
      </c>
      <c r="K41" s="1"/>
      <c r="L41" s="1">
        <f t="shared" ref="L41:L53" si="30">+D41-H41</f>
        <v>0</v>
      </c>
      <c r="M41" s="1"/>
      <c r="N41" s="5">
        <f t="shared" ref="N41:N53" si="31">IF(H41=0,0,L41/H41)</f>
        <v>0</v>
      </c>
      <c r="O41" s="14"/>
      <c r="P41" s="1">
        <f>SUM(OSRRefP22_2x_0)</f>
        <v>0</v>
      </c>
      <c r="Q41" s="1"/>
      <c r="R41" s="5">
        <f t="shared" ref="R41:R53" si="32">IF(P$12=0,0,P41/P$12)</f>
        <v>0</v>
      </c>
      <c r="S41" s="1"/>
      <c r="T41" s="1">
        <f>SUM(OSRRefT22_2x_0)</f>
        <v>0</v>
      </c>
      <c r="U41" s="1"/>
      <c r="V41" s="5">
        <f t="shared" ref="V41:V53" si="33">IF(T$12=0,0,T41/T$12)</f>
        <v>0</v>
      </c>
      <c r="W41" s="1"/>
      <c r="X41" s="1">
        <f t="shared" ref="X41:X53" si="34">+P41-T41</f>
        <v>0</v>
      </c>
      <c r="Y41" s="1"/>
      <c r="Z41" s="5">
        <f t="shared" ref="Z41:Z53" si="35">IF(T41=0,0,X41/T41)</f>
        <v>0</v>
      </c>
    </row>
    <row r="42" spans="1:26" s="24" customFormat="1" hidden="1" outlineLevel="2" x14ac:dyDescent="0.25">
      <c r="A42" s="27"/>
      <c r="B42" s="12" t="str">
        <f>CONCATENATE("          ", "6382", " - ", "DISCOUNTS/MARK DOWNS")</f>
        <v xml:space="preserve">          6382 - DISCOUNTS/MARK DOWNS</v>
      </c>
      <c r="C42" s="12"/>
      <c r="D42" s="7"/>
      <c r="E42" s="3"/>
      <c r="F42" s="8">
        <f t="shared" si="28"/>
        <v>0</v>
      </c>
      <c r="G42" s="3"/>
      <c r="H42" s="7">
        <v>0</v>
      </c>
      <c r="I42" s="3"/>
      <c r="J42" s="8">
        <f t="shared" si="29"/>
        <v>0</v>
      </c>
      <c r="K42" s="3"/>
      <c r="L42" s="7">
        <f t="shared" si="30"/>
        <v>0</v>
      </c>
      <c r="M42" s="3"/>
      <c r="N42" s="8">
        <f t="shared" si="31"/>
        <v>0</v>
      </c>
      <c r="O42" s="12"/>
      <c r="P42" s="7"/>
      <c r="Q42" s="3"/>
      <c r="R42" s="8">
        <f t="shared" si="32"/>
        <v>0</v>
      </c>
      <c r="S42" s="3"/>
      <c r="T42" s="7">
        <v>0</v>
      </c>
      <c r="U42" s="3"/>
      <c r="V42" s="8">
        <f t="shared" si="33"/>
        <v>0</v>
      </c>
      <c r="W42" s="3"/>
      <c r="X42" s="7">
        <f t="shared" si="34"/>
        <v>0</v>
      </c>
      <c r="Y42" s="3"/>
      <c r="Z42" s="8">
        <f t="shared" si="35"/>
        <v>0</v>
      </c>
    </row>
    <row r="43" spans="1:26" s="29" customFormat="1" outlineLevel="1" collapsed="1" x14ac:dyDescent="0.25">
      <c r="A43" s="28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7"/>
      <c r="B44" s="12" t="str">
        <f>CONCATENATE("          ", "6305", " - ", "FREIGHT OUT")</f>
        <v xml:space="preserve">          6305 - FREIGHT OUT</v>
      </c>
      <c r="C44" s="12"/>
      <c r="D44" s="7"/>
      <c r="E44" s="3"/>
      <c r="F44" s="8">
        <f t="shared" si="28"/>
        <v>0</v>
      </c>
      <c r="G44" s="3"/>
      <c r="H44" s="7">
        <v>0</v>
      </c>
      <c r="I44" s="3"/>
      <c r="J44" s="8">
        <f t="shared" si="29"/>
        <v>0</v>
      </c>
      <c r="K44" s="3"/>
      <c r="L44" s="7">
        <f t="shared" si="30"/>
        <v>0</v>
      </c>
      <c r="M44" s="3"/>
      <c r="N44" s="8">
        <f t="shared" si="31"/>
        <v>0</v>
      </c>
      <c r="O44" s="12"/>
      <c r="P44" s="7"/>
      <c r="Q44" s="3"/>
      <c r="R44" s="8">
        <f t="shared" si="32"/>
        <v>0</v>
      </c>
      <c r="S44" s="3"/>
      <c r="T44" s="7">
        <v>0</v>
      </c>
      <c r="U44" s="3"/>
      <c r="V44" s="8">
        <f t="shared" si="33"/>
        <v>0</v>
      </c>
      <c r="W44" s="3"/>
      <c r="X44" s="7">
        <f t="shared" si="34"/>
        <v>0</v>
      </c>
      <c r="Y44" s="3"/>
      <c r="Z44" s="8">
        <f t="shared" si="35"/>
        <v>0</v>
      </c>
    </row>
    <row r="45" spans="1:26" s="29" customFormat="1" outlineLevel="1" collapsed="1" x14ac:dyDescent="0.25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SUM(OSRRefD22_4x_0)</f>
        <v>719.55</v>
      </c>
      <c r="E45" s="1"/>
      <c r="F45" s="5">
        <f t="shared" si="28"/>
        <v>0</v>
      </c>
      <c r="G45" s="1"/>
      <c r="H45" s="1">
        <f>SUM(OSRRefH22_4x_0)</f>
        <v>1000</v>
      </c>
      <c r="I45" s="1"/>
      <c r="J45" s="5">
        <f t="shared" si="29"/>
        <v>0</v>
      </c>
      <c r="K45" s="1"/>
      <c r="L45" s="1">
        <f t="shared" si="30"/>
        <v>-280.45000000000005</v>
      </c>
      <c r="M45" s="1"/>
      <c r="N45" s="5">
        <f t="shared" si="31"/>
        <v>-0.28045000000000003</v>
      </c>
      <c r="O45" s="14"/>
      <c r="P45" s="1">
        <f>SUM(OSRRefP22_4x_0)</f>
        <v>719.55</v>
      </c>
      <c r="Q45" s="1"/>
      <c r="R45" s="5">
        <f t="shared" si="32"/>
        <v>0</v>
      </c>
      <c r="S45" s="1"/>
      <c r="T45" s="1">
        <f>SUM(OSRRefT22_4x_0)</f>
        <v>1000</v>
      </c>
      <c r="U45" s="1"/>
      <c r="V45" s="5">
        <f t="shared" si="33"/>
        <v>0</v>
      </c>
      <c r="W45" s="1"/>
      <c r="X45" s="1">
        <f t="shared" si="34"/>
        <v>-280.45000000000005</v>
      </c>
      <c r="Y45" s="1"/>
      <c r="Z45" s="5">
        <f t="shared" si="35"/>
        <v>-0.28045000000000003</v>
      </c>
    </row>
    <row r="46" spans="1:26" s="24" customFormat="1" hidden="1" outlineLevel="2" x14ac:dyDescent="0.25">
      <c r="A46" s="27"/>
      <c r="B46" s="12" t="str">
        <f>CONCATENATE("          ", "6279", " - ", "GENERAL EXPENSE")</f>
        <v xml:space="preserve">          6279 - GENERAL EXPENSE</v>
      </c>
      <c r="C46" s="12"/>
      <c r="D46" s="7">
        <v>719.55</v>
      </c>
      <c r="E46" s="3"/>
      <c r="F46" s="8">
        <f t="shared" si="28"/>
        <v>0</v>
      </c>
      <c r="G46" s="3"/>
      <c r="H46" s="7">
        <v>1000</v>
      </c>
      <c r="I46" s="3"/>
      <c r="J46" s="8">
        <f t="shared" si="29"/>
        <v>0</v>
      </c>
      <c r="K46" s="3"/>
      <c r="L46" s="7">
        <f t="shared" si="30"/>
        <v>-280.45000000000005</v>
      </c>
      <c r="M46" s="3"/>
      <c r="N46" s="8">
        <f t="shared" si="31"/>
        <v>-0.28045000000000003</v>
      </c>
      <c r="O46" s="12"/>
      <c r="P46" s="7">
        <v>719.55</v>
      </c>
      <c r="Q46" s="3"/>
      <c r="R46" s="8">
        <f t="shared" si="32"/>
        <v>0</v>
      </c>
      <c r="S46" s="3"/>
      <c r="T46" s="7">
        <v>1000</v>
      </c>
      <c r="U46" s="3"/>
      <c r="V46" s="8">
        <f t="shared" si="33"/>
        <v>0</v>
      </c>
      <c r="W46" s="3"/>
      <c r="X46" s="7">
        <f t="shared" si="34"/>
        <v>-280.45000000000005</v>
      </c>
      <c r="Y46" s="3"/>
      <c r="Z46" s="8">
        <f t="shared" si="35"/>
        <v>-0.28045000000000003</v>
      </c>
    </row>
    <row r="47" spans="1:26" s="29" customFormat="1" outlineLevel="1" collapsed="1" x14ac:dyDescent="0.25">
      <c r="A47" s="28"/>
      <c r="B47" s="14" t="str">
        <f>CONCATENATE("     ","Professional Services                             ")</f>
        <v xml:space="preserve">     Professional Services                             </v>
      </c>
      <c r="C47" s="14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800</v>
      </c>
      <c r="I47" s="1"/>
      <c r="J47" s="5">
        <f t="shared" si="29"/>
        <v>0</v>
      </c>
      <c r="K47" s="1"/>
      <c r="L47" s="1">
        <f t="shared" si="30"/>
        <v>-800</v>
      </c>
      <c r="M47" s="1"/>
      <c r="N47" s="5">
        <f t="shared" si="31"/>
        <v>-1</v>
      </c>
      <c r="O47" s="14"/>
      <c r="P47" s="1">
        <f>SUM(OSRRefP22_5x_0)</f>
        <v>0</v>
      </c>
      <c r="Q47" s="1"/>
      <c r="R47" s="5">
        <f t="shared" si="32"/>
        <v>0</v>
      </c>
      <c r="S47" s="1"/>
      <c r="T47" s="1">
        <f>SUM(OSRRefT22_5x_0)</f>
        <v>800</v>
      </c>
      <c r="U47" s="1"/>
      <c r="V47" s="5">
        <f t="shared" si="33"/>
        <v>0</v>
      </c>
      <c r="W47" s="1"/>
      <c r="X47" s="1">
        <f t="shared" si="34"/>
        <v>-800</v>
      </c>
      <c r="Y47" s="1"/>
      <c r="Z47" s="5">
        <f t="shared" si="35"/>
        <v>-1</v>
      </c>
    </row>
    <row r="48" spans="1:26" s="24" customFormat="1" hidden="1" outlineLevel="2" x14ac:dyDescent="0.25">
      <c r="A48" s="27"/>
      <c r="B48" s="12" t="str">
        <f>CONCATENATE("          ", "6336", " - ", "PROFESSIONAL SERVICES")</f>
        <v xml:space="preserve">          6336 - PROFESSIONAL SERVICES</v>
      </c>
      <c r="C48" s="12"/>
      <c r="D48" s="7"/>
      <c r="E48" s="3"/>
      <c r="F48" s="8">
        <f t="shared" si="28"/>
        <v>0</v>
      </c>
      <c r="G48" s="3"/>
      <c r="H48" s="7">
        <v>800</v>
      </c>
      <c r="I48" s="3"/>
      <c r="J48" s="8">
        <f t="shared" si="29"/>
        <v>0</v>
      </c>
      <c r="K48" s="3"/>
      <c r="L48" s="7">
        <f t="shared" si="30"/>
        <v>-800</v>
      </c>
      <c r="M48" s="3"/>
      <c r="N48" s="8">
        <f t="shared" si="31"/>
        <v>-1</v>
      </c>
      <c r="O48" s="12"/>
      <c r="P48" s="7"/>
      <c r="Q48" s="3"/>
      <c r="R48" s="8">
        <f t="shared" si="32"/>
        <v>0</v>
      </c>
      <c r="S48" s="3"/>
      <c r="T48" s="7">
        <v>800</v>
      </c>
      <c r="U48" s="3"/>
      <c r="V48" s="8">
        <f t="shared" si="33"/>
        <v>0</v>
      </c>
      <c r="W48" s="3"/>
      <c r="X48" s="7">
        <f t="shared" si="34"/>
        <v>-800</v>
      </c>
      <c r="Y48" s="3"/>
      <c r="Z48" s="8">
        <f t="shared" si="35"/>
        <v>-1</v>
      </c>
    </row>
    <row r="49" spans="1:26" s="29" customFormat="1" outlineLevel="1" collapsed="1" x14ac:dyDescent="0.25">
      <c r="A49" s="28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100</v>
      </c>
      <c r="I49" s="1"/>
      <c r="J49" s="5">
        <f t="shared" si="29"/>
        <v>0</v>
      </c>
      <c r="K49" s="1"/>
      <c r="L49" s="1">
        <f t="shared" si="30"/>
        <v>-100</v>
      </c>
      <c r="M49" s="1"/>
      <c r="N49" s="5">
        <f t="shared" si="31"/>
        <v>-1</v>
      </c>
      <c r="O49" s="14"/>
      <c r="P49" s="1">
        <f>SUM(OSRRefP22_6x_0)</f>
        <v>0</v>
      </c>
      <c r="Q49" s="1"/>
      <c r="R49" s="5">
        <f t="shared" si="32"/>
        <v>0</v>
      </c>
      <c r="S49" s="1"/>
      <c r="T49" s="1">
        <f>SUM(OSRRefT22_6x_0)</f>
        <v>100</v>
      </c>
      <c r="U49" s="1"/>
      <c r="V49" s="5">
        <f t="shared" si="33"/>
        <v>0</v>
      </c>
      <c r="W49" s="1"/>
      <c r="X49" s="1">
        <f t="shared" si="34"/>
        <v>-100</v>
      </c>
      <c r="Y49" s="1"/>
      <c r="Z49" s="5">
        <f t="shared" si="35"/>
        <v>-1</v>
      </c>
    </row>
    <row r="50" spans="1:26" s="24" customFormat="1" hidden="1" outlineLevel="2" x14ac:dyDescent="0.25">
      <c r="A50" s="27"/>
      <c r="B50" s="12" t="str">
        <f>CONCATENATE("          ", "6375", " - ", "OUTSIDE REPAIRS &amp; MAINTENANCE")</f>
        <v xml:space="preserve">          6375 - OUTSIDE REPAIRS &amp; MAINTENANCE</v>
      </c>
      <c r="C50" s="12"/>
      <c r="D50" s="7"/>
      <c r="E50" s="3"/>
      <c r="F50" s="8">
        <f t="shared" si="28"/>
        <v>0</v>
      </c>
      <c r="G50" s="3"/>
      <c r="H50" s="7">
        <v>100</v>
      </c>
      <c r="I50" s="3"/>
      <c r="J50" s="8">
        <f t="shared" si="29"/>
        <v>0</v>
      </c>
      <c r="K50" s="3"/>
      <c r="L50" s="7">
        <f t="shared" si="30"/>
        <v>-100</v>
      </c>
      <c r="M50" s="3"/>
      <c r="N50" s="8">
        <f t="shared" si="31"/>
        <v>-1</v>
      </c>
      <c r="O50" s="12"/>
      <c r="P50" s="7"/>
      <c r="Q50" s="3"/>
      <c r="R50" s="8">
        <f t="shared" si="32"/>
        <v>0</v>
      </c>
      <c r="S50" s="3"/>
      <c r="T50" s="7">
        <v>100</v>
      </c>
      <c r="U50" s="3"/>
      <c r="V50" s="8">
        <f t="shared" si="33"/>
        <v>0</v>
      </c>
      <c r="W50" s="3"/>
      <c r="X50" s="7">
        <f t="shared" si="34"/>
        <v>-100</v>
      </c>
      <c r="Y50" s="3"/>
      <c r="Z50" s="8">
        <f t="shared" si="35"/>
        <v>-1</v>
      </c>
    </row>
    <row r="51" spans="1:26" s="29" customFormat="1" outlineLevel="1" collapsed="1" x14ac:dyDescent="0.25">
      <c r="A51" s="28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SUM(OSRRefD22_7x_0)</f>
        <v>-113.5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-113.5</v>
      </c>
      <c r="M51" s="1"/>
      <c r="N51" s="5">
        <f t="shared" si="31"/>
        <v>0</v>
      </c>
      <c r="O51" s="14"/>
      <c r="P51" s="1">
        <f>SUM(OSRRefP22_7x_0)</f>
        <v>-113.5</v>
      </c>
      <c r="Q51" s="1"/>
      <c r="R51" s="5">
        <f t="shared" si="32"/>
        <v>0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-113.5</v>
      </c>
      <c r="Y51" s="1"/>
      <c r="Z51" s="5">
        <f t="shared" si="35"/>
        <v>0</v>
      </c>
    </row>
    <row r="52" spans="1:26" s="24" customFormat="1" hidden="1" outlineLevel="2" x14ac:dyDescent="0.25">
      <c r="A52" s="27"/>
      <c r="B52" s="12" t="str">
        <f>CONCATENATE("          ", "6282", " - ", "JANITORIAL/EXTERMINATOR EXPENS")</f>
        <v xml:space="preserve">          6282 - JANITORIAL/EXTERMINATOR EXPENS</v>
      </c>
      <c r="C52" s="12"/>
      <c r="D52" s="7">
        <v>44</v>
      </c>
      <c r="E52" s="3"/>
      <c r="F52" s="8">
        <f t="shared" si="28"/>
        <v>0</v>
      </c>
      <c r="G52" s="3"/>
      <c r="H52" s="7"/>
      <c r="I52" s="3"/>
      <c r="J52" s="8">
        <f t="shared" si="29"/>
        <v>0</v>
      </c>
      <c r="K52" s="3"/>
      <c r="L52" s="7">
        <f t="shared" si="30"/>
        <v>44</v>
      </c>
      <c r="M52" s="3"/>
      <c r="N52" s="8">
        <f t="shared" si="31"/>
        <v>0</v>
      </c>
      <c r="O52" s="12"/>
      <c r="P52" s="7">
        <v>44</v>
      </c>
      <c r="Q52" s="3"/>
      <c r="R52" s="8">
        <f t="shared" si="32"/>
        <v>0</v>
      </c>
      <c r="S52" s="3"/>
      <c r="T52" s="7"/>
      <c r="U52" s="3"/>
      <c r="V52" s="8">
        <f t="shared" si="33"/>
        <v>0</v>
      </c>
      <c r="W52" s="3"/>
      <c r="X52" s="7">
        <f t="shared" si="34"/>
        <v>44</v>
      </c>
      <c r="Y52" s="3"/>
      <c r="Z52" s="8">
        <f t="shared" si="35"/>
        <v>0</v>
      </c>
    </row>
    <row r="53" spans="1:26" s="24" customFormat="1" hidden="1" outlineLevel="2" x14ac:dyDescent="0.25">
      <c r="A53" s="27"/>
      <c r="B53" s="12" t="str">
        <f>CONCATENATE("          ", "6285", " - ", "JANITORIAL SERVICES")</f>
        <v xml:space="preserve">          6285 - JANITORIAL SERVICES</v>
      </c>
      <c r="C53" s="12"/>
      <c r="D53" s="7">
        <v>-157.5</v>
      </c>
      <c r="E53" s="3"/>
      <c r="F53" s="8">
        <f t="shared" si="28"/>
        <v>0</v>
      </c>
      <c r="G53" s="3"/>
      <c r="H53" s="7"/>
      <c r="I53" s="3"/>
      <c r="J53" s="8">
        <f t="shared" si="29"/>
        <v>0</v>
      </c>
      <c r="K53" s="3"/>
      <c r="L53" s="7">
        <f t="shared" si="30"/>
        <v>-157.5</v>
      </c>
      <c r="M53" s="3"/>
      <c r="N53" s="8">
        <f t="shared" si="31"/>
        <v>0</v>
      </c>
      <c r="O53" s="12"/>
      <c r="P53" s="7">
        <v>-157.5</v>
      </c>
      <c r="Q53" s="3"/>
      <c r="R53" s="8">
        <f t="shared" si="32"/>
        <v>0</v>
      </c>
      <c r="S53" s="3"/>
      <c r="T53" s="7"/>
      <c r="U53" s="3"/>
      <c r="V53" s="8">
        <f t="shared" si="33"/>
        <v>0</v>
      </c>
      <c r="W53" s="3"/>
      <c r="X53" s="7">
        <f t="shared" si="34"/>
        <v>-157.5</v>
      </c>
      <c r="Y53" s="3"/>
      <c r="Z53" s="8">
        <f t="shared" si="35"/>
        <v>0</v>
      </c>
    </row>
    <row r="54" spans="1:26" s="29" customFormat="1" outlineLevel="1" collapsed="1" x14ac:dyDescent="0.25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SUM(OSRRefD22_8x_0)</f>
        <v>444.3</v>
      </c>
      <c r="E54" s="1"/>
      <c r="F54" s="5">
        <f t="shared" ref="F54:F58" si="36">IF(D$12=0,0,D54/D$12)</f>
        <v>0</v>
      </c>
      <c r="G54" s="1"/>
      <c r="H54" s="1">
        <f>SUM(OSRRefH22_8x_0)</f>
        <v>0</v>
      </c>
      <c r="I54" s="1"/>
      <c r="J54" s="5">
        <f t="shared" ref="J54:J58" si="37">IF(H$12=0,0,H54/H$12)</f>
        <v>0</v>
      </c>
      <c r="K54" s="1"/>
      <c r="L54" s="1">
        <f t="shared" ref="L54:L58" si="38">+D54-H54</f>
        <v>444.3</v>
      </c>
      <c r="M54" s="1"/>
      <c r="N54" s="5">
        <f t="shared" ref="N54:N58" si="39">IF(H54=0,0,L54/H54)</f>
        <v>0</v>
      </c>
      <c r="O54" s="14"/>
      <c r="P54" s="1">
        <f>SUM(OSRRefP22_8x_0)</f>
        <v>444.3</v>
      </c>
      <c r="Q54" s="1"/>
      <c r="R54" s="5">
        <f t="shared" ref="R54:R58" si="40">IF(P$12=0,0,P54/P$12)</f>
        <v>0</v>
      </c>
      <c r="S54" s="1"/>
      <c r="T54" s="1">
        <f>SUM(OSRRefT22_8x_0)</f>
        <v>0</v>
      </c>
      <c r="U54" s="1"/>
      <c r="V54" s="5">
        <f t="shared" ref="V54:V58" si="41">IF(T$12=0,0,T54/T$12)</f>
        <v>0</v>
      </c>
      <c r="W54" s="1"/>
      <c r="X54" s="1">
        <f t="shared" ref="X54:X58" si="42">+P54-T54</f>
        <v>444.3</v>
      </c>
      <c r="Y54" s="1"/>
      <c r="Z54" s="5">
        <f t="shared" ref="Z54:Z58" si="43">IF(T54=0,0,X54/T54)</f>
        <v>0</v>
      </c>
    </row>
    <row r="55" spans="1:26" s="24" customFormat="1" hidden="1" outlineLevel="2" x14ac:dyDescent="0.25">
      <c r="A55" s="27"/>
      <c r="B55" s="12" t="str">
        <f>CONCATENATE("          ", "6235", " - ", "COVID-19 EXPENSES")</f>
        <v xml:space="preserve">          6235 - COVID-19 EXPENSES</v>
      </c>
      <c r="C55" s="12"/>
      <c r="D55" s="7">
        <v>444.3</v>
      </c>
      <c r="E55" s="3"/>
      <c r="F55" s="8">
        <f t="shared" si="36"/>
        <v>0</v>
      </c>
      <c r="G55" s="3"/>
      <c r="H55" s="7"/>
      <c r="I55" s="3"/>
      <c r="J55" s="8">
        <f t="shared" si="37"/>
        <v>0</v>
      </c>
      <c r="K55" s="3"/>
      <c r="L55" s="7">
        <f t="shared" si="38"/>
        <v>444.3</v>
      </c>
      <c r="M55" s="3"/>
      <c r="N55" s="8">
        <f t="shared" si="39"/>
        <v>0</v>
      </c>
      <c r="O55" s="12"/>
      <c r="P55" s="7">
        <v>444.3</v>
      </c>
      <c r="Q55" s="3"/>
      <c r="R55" s="8">
        <f t="shared" si="40"/>
        <v>0</v>
      </c>
      <c r="S55" s="3"/>
      <c r="T55" s="7"/>
      <c r="U55" s="3"/>
      <c r="V55" s="8">
        <f t="shared" si="41"/>
        <v>0</v>
      </c>
      <c r="W55" s="3"/>
      <c r="X55" s="7">
        <f t="shared" si="42"/>
        <v>444.3</v>
      </c>
      <c r="Y55" s="3"/>
      <c r="Z55" s="8">
        <f t="shared" si="43"/>
        <v>0</v>
      </c>
    </row>
    <row r="56" spans="1:26" s="29" customFormat="1" outlineLevel="1" collapsed="1" x14ac:dyDescent="0.25">
      <c r="A56" s="28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SUM(OSRRefD22_9x_0)</f>
        <v>53</v>
      </c>
      <c r="E56" s="1"/>
      <c r="F56" s="5">
        <f t="shared" si="36"/>
        <v>0</v>
      </c>
      <c r="G56" s="1"/>
      <c r="H56" s="1">
        <f>SUM(OSRRefH22_9x_0)</f>
        <v>100</v>
      </c>
      <c r="I56" s="1"/>
      <c r="J56" s="5">
        <f t="shared" si="37"/>
        <v>0</v>
      </c>
      <c r="K56" s="1"/>
      <c r="L56" s="1">
        <f t="shared" si="38"/>
        <v>-47</v>
      </c>
      <c r="M56" s="1"/>
      <c r="N56" s="5">
        <f t="shared" si="39"/>
        <v>-0.47</v>
      </c>
      <c r="O56" s="14"/>
      <c r="P56" s="1">
        <f>SUM(OSRRefP22_9x_0)</f>
        <v>53</v>
      </c>
      <c r="Q56" s="1"/>
      <c r="R56" s="5">
        <f t="shared" si="40"/>
        <v>0</v>
      </c>
      <c r="S56" s="1"/>
      <c r="T56" s="1">
        <f>SUM(OSRRefT22_9x_0)</f>
        <v>100</v>
      </c>
      <c r="U56" s="1"/>
      <c r="V56" s="5">
        <f t="shared" si="41"/>
        <v>0</v>
      </c>
      <c r="W56" s="1"/>
      <c r="X56" s="1">
        <f t="shared" si="42"/>
        <v>-47</v>
      </c>
      <c r="Y56" s="1"/>
      <c r="Z56" s="5">
        <f t="shared" si="43"/>
        <v>-0.47</v>
      </c>
    </row>
    <row r="57" spans="1:26" s="24" customFormat="1" hidden="1" outlineLevel="2" x14ac:dyDescent="0.25">
      <c r="A57" s="27"/>
      <c r="B57" s="12" t="str">
        <f>CONCATENATE("          ", "6303", " - ", "DATA PHONE LINES")</f>
        <v xml:space="preserve">          6303 - DATA PHONE LINES</v>
      </c>
      <c r="C57" s="12"/>
      <c r="D57" s="7"/>
      <c r="E57" s="3"/>
      <c r="F57" s="8">
        <f t="shared" si="36"/>
        <v>0</v>
      </c>
      <c r="G57" s="3"/>
      <c r="H57" s="7">
        <v>100</v>
      </c>
      <c r="I57" s="3"/>
      <c r="J57" s="8">
        <f t="shared" si="37"/>
        <v>0</v>
      </c>
      <c r="K57" s="3"/>
      <c r="L57" s="7">
        <f t="shared" si="38"/>
        <v>-100</v>
      </c>
      <c r="M57" s="3"/>
      <c r="N57" s="8">
        <f t="shared" si="39"/>
        <v>-1</v>
      </c>
      <c r="O57" s="12"/>
      <c r="P57" s="7"/>
      <c r="Q57" s="3"/>
      <c r="R57" s="8">
        <f t="shared" si="40"/>
        <v>0</v>
      </c>
      <c r="S57" s="3"/>
      <c r="T57" s="7">
        <v>100</v>
      </c>
      <c r="U57" s="3"/>
      <c r="V57" s="8">
        <f t="shared" si="41"/>
        <v>0</v>
      </c>
      <c r="W57" s="3"/>
      <c r="X57" s="7">
        <f t="shared" si="42"/>
        <v>-100</v>
      </c>
      <c r="Y57" s="3"/>
      <c r="Z57" s="8">
        <f t="shared" si="43"/>
        <v>-1</v>
      </c>
    </row>
    <row r="58" spans="1:26" s="24" customFormat="1" hidden="1" outlineLevel="2" x14ac:dyDescent="0.25">
      <c r="A58" s="27"/>
      <c r="B58" s="12" t="str">
        <f>CONCATENATE("          ", "6309", " - ", "TELEPHONE")</f>
        <v xml:space="preserve">          6309 - TELEPHONE</v>
      </c>
      <c r="C58" s="12"/>
      <c r="D58" s="7">
        <v>53</v>
      </c>
      <c r="E58" s="3"/>
      <c r="F58" s="8">
        <f t="shared" si="36"/>
        <v>0</v>
      </c>
      <c r="G58" s="3"/>
      <c r="H58" s="7"/>
      <c r="I58" s="3"/>
      <c r="J58" s="8">
        <f t="shared" si="37"/>
        <v>0</v>
      </c>
      <c r="K58" s="3"/>
      <c r="L58" s="7">
        <f t="shared" si="38"/>
        <v>53</v>
      </c>
      <c r="M58" s="3"/>
      <c r="N58" s="8">
        <f t="shared" si="39"/>
        <v>0</v>
      </c>
      <c r="O58" s="12"/>
      <c r="P58" s="7">
        <v>53</v>
      </c>
      <c r="Q58" s="3"/>
      <c r="R58" s="8">
        <f t="shared" si="40"/>
        <v>0</v>
      </c>
      <c r="S58" s="3"/>
      <c r="T58" s="7"/>
      <c r="U58" s="3"/>
      <c r="V58" s="8">
        <f t="shared" si="41"/>
        <v>0</v>
      </c>
      <c r="W58" s="3"/>
      <c r="X58" s="7">
        <f t="shared" si="42"/>
        <v>53</v>
      </c>
      <c r="Y58" s="3"/>
      <c r="Z58" s="8">
        <f t="shared" si="43"/>
        <v>0</v>
      </c>
    </row>
    <row r="59" spans="1:26" s="54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2" customFormat="1" x14ac:dyDescent="0.25">
      <c r="A60" s="10"/>
      <c r="B60" s="26" t="s">
        <v>0</v>
      </c>
      <c r="C60" s="10"/>
      <c r="D60" s="4">
        <f>SUM(0)</f>
        <v>0</v>
      </c>
      <c r="E60" s="4"/>
      <c r="F60" s="11">
        <f>IF(D$12=0,0,D60/D$12)</f>
        <v>0</v>
      </c>
      <c r="G60" s="4"/>
      <c r="H60" s="4">
        <f>SUM(0)</f>
        <v>0</v>
      </c>
      <c r="I60" s="4"/>
      <c r="J60" s="11">
        <f>IF(H$12=0,0,H60/H$12)</f>
        <v>0</v>
      </c>
      <c r="K60" s="4"/>
      <c r="L60" s="4">
        <f>+D60-H60</f>
        <v>0</v>
      </c>
      <c r="M60" s="4"/>
      <c r="N60" s="11">
        <f>IF(H60=0,0,L60/H60)</f>
        <v>0</v>
      </c>
      <c r="O60" s="10"/>
      <c r="P60" s="4">
        <f>SUM(0)</f>
        <v>0</v>
      </c>
      <c r="Q60" s="4"/>
      <c r="R60" s="11">
        <f>IF(P$12=0,0,P60/P$12)</f>
        <v>0</v>
      </c>
      <c r="S60" s="4"/>
      <c r="T60" s="4">
        <f>SUM(0)</f>
        <v>0</v>
      </c>
      <c r="U60" s="4"/>
      <c r="V60" s="11">
        <f>IF(T$12=0,0,T60/T$12)</f>
        <v>0</v>
      </c>
      <c r="W60" s="4"/>
      <c r="X60" s="4">
        <f>+P60-T60</f>
        <v>0</v>
      </c>
      <c r="Y60" s="4"/>
      <c r="Z60" s="11">
        <f>IF(T60=0,0,X60/T60)</f>
        <v>0</v>
      </c>
    </row>
    <row r="61" spans="1:26" x14ac:dyDescent="0.25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2" customFormat="1" x14ac:dyDescent="0.25">
      <c r="A62" s="10"/>
      <c r="B62" s="25" t="s">
        <v>3</v>
      </c>
      <c r="C62" s="25"/>
      <c r="D62" s="21">
        <f>+D18-D20+D60</f>
        <v>-1141.3999999999999</v>
      </c>
      <c r="E62" s="13"/>
      <c r="F62" s="20">
        <f>IF(D$12=0,0,D62/D$12)</f>
        <v>0</v>
      </c>
      <c r="G62" s="13"/>
      <c r="H62" s="21">
        <f>+H18-H20+H60</f>
        <v>-8819.8760000000002</v>
      </c>
      <c r="I62" s="13"/>
      <c r="J62" s="20">
        <f>IF(H$12=0,0,H62/H$12)</f>
        <v>0</v>
      </c>
      <c r="K62" s="15"/>
      <c r="L62" s="21">
        <f>+D62-H62</f>
        <v>7678.4760000000006</v>
      </c>
      <c r="M62" s="15"/>
      <c r="N62" s="20">
        <f>IF(H62=0,0,L62/H62)</f>
        <v>-0.87058774975974729</v>
      </c>
      <c r="O62" s="26"/>
      <c r="P62" s="21">
        <f>+P18-P20+P60</f>
        <v>-1141.3999999999999</v>
      </c>
      <c r="Q62" s="13"/>
      <c r="R62" s="20">
        <f>IF(P$12=0,0,P62/P$12)</f>
        <v>0</v>
      </c>
      <c r="S62" s="13"/>
      <c r="T62" s="21">
        <f>+T18-T20+T60</f>
        <v>-8819.8760000000002</v>
      </c>
      <c r="U62" s="13"/>
      <c r="V62" s="20">
        <f>IF(T$12=0,0,T62/T$12)</f>
        <v>0</v>
      </c>
      <c r="W62" s="15"/>
      <c r="X62" s="21">
        <f>+P62-T62</f>
        <v>7678.4760000000006</v>
      </c>
      <c r="Y62" s="15"/>
      <c r="Z62" s="20">
        <f>IF(T62=0,0,X62/T62)</f>
        <v>-0.87058774975974729</v>
      </c>
    </row>
    <row r="63" spans="1:26" x14ac:dyDescent="0.25">
      <c r="A63" s="9"/>
      <c r="B63" s="10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2" customFormat="1" x14ac:dyDescent="0.25">
      <c r="A64" s="52"/>
      <c r="B64" s="10" t="s">
        <v>14</v>
      </c>
      <c r="C64" s="10"/>
      <c r="D64" s="4"/>
      <c r="E64" s="4"/>
      <c r="F64" s="11">
        <f>IF(D$12=0,0,D64/D$12)</f>
        <v>0</v>
      </c>
      <c r="G64" s="4"/>
      <c r="H64" s="4">
        <v>2587</v>
      </c>
      <c r="I64" s="4"/>
      <c r="J64" s="11">
        <f>IF(H$12=0,0,H64/H$12)</f>
        <v>0</v>
      </c>
      <c r="K64" s="4"/>
      <c r="L64" s="4">
        <f>+D64-H64</f>
        <v>-2587</v>
      </c>
      <c r="M64" s="4"/>
      <c r="N64" s="11">
        <f>IF(H64=0,0,L64/H64)</f>
        <v>-1</v>
      </c>
      <c r="O64" s="10"/>
      <c r="P64" s="4"/>
      <c r="Q64" s="4"/>
      <c r="R64" s="11">
        <f>IF(P$12=0,0,P64/P$12)</f>
        <v>0</v>
      </c>
      <c r="S64" s="4"/>
      <c r="T64" s="4">
        <v>2587</v>
      </c>
      <c r="U64" s="4"/>
      <c r="V64" s="11">
        <f>IF(T$12=0,0,T64/T$12)</f>
        <v>0</v>
      </c>
      <c r="W64" s="4"/>
      <c r="X64" s="4">
        <f>+P64-T64</f>
        <v>-2587</v>
      </c>
      <c r="Y64" s="4"/>
      <c r="Z64" s="11">
        <f>IF(T64=0,0,X64/T64)</f>
        <v>-1</v>
      </c>
    </row>
    <row r="65" spans="1:26" x14ac:dyDescent="0.25">
      <c r="A65" s="9"/>
      <c r="B65" s="10"/>
      <c r="C65" s="10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10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2" customFormat="1" ht="15.75" thickBot="1" x14ac:dyDescent="0.3">
      <c r="A66" s="10"/>
      <c r="B66" s="25" t="s">
        <v>4</v>
      </c>
      <c r="C66" s="25"/>
      <c r="D66" s="34">
        <f>+D62-D64</f>
        <v>-1141.3999999999999</v>
      </c>
      <c r="E66" s="13"/>
      <c r="F66" s="30">
        <f>IF(D$12=0,0,D66/D$12)</f>
        <v>0</v>
      </c>
      <c r="G66" s="13"/>
      <c r="H66" s="34">
        <f>+H62-H64</f>
        <v>-11406.876</v>
      </c>
      <c r="I66" s="13"/>
      <c r="J66" s="30">
        <f>IF(H$12=0,0,H66/H$12)</f>
        <v>0</v>
      </c>
      <c r="K66" s="15"/>
      <c r="L66" s="34">
        <f>D66-H66</f>
        <v>10265.476000000001</v>
      </c>
      <c r="M66" s="15"/>
      <c r="N66" s="30">
        <f>IF(H66=0,0,L66/H66)</f>
        <v>-0.89993754644128687</v>
      </c>
      <c r="O66" s="26"/>
      <c r="P66" s="34">
        <f>+P62-P64</f>
        <v>-1141.3999999999999</v>
      </c>
      <c r="Q66" s="13"/>
      <c r="R66" s="30">
        <f>IF(P$12=0,0,P66/P$12)</f>
        <v>0</v>
      </c>
      <c r="S66" s="13"/>
      <c r="T66" s="34">
        <f>+T62-T64</f>
        <v>-11406.876</v>
      </c>
      <c r="U66" s="13"/>
      <c r="V66" s="30">
        <f>IF(T$12=0,0,T66/T$12)</f>
        <v>0</v>
      </c>
      <c r="W66" s="15"/>
      <c r="X66" s="34">
        <f>P66-T66</f>
        <v>10265.476000000001</v>
      </c>
      <c r="Y66" s="15"/>
      <c r="Z66" s="30">
        <f>IF(T66=0,0,X66/T66)</f>
        <v>-0.89993754644128687</v>
      </c>
    </row>
    <row r="67" spans="1:26" ht="15.75" thickTop="1" x14ac:dyDescent="0.25">
      <c r="A67" s="9"/>
      <c r="B67" s="9"/>
      <c r="C67" s="9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x14ac:dyDescent="0.25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2" customFormat="1" ht="15.75" thickBot="1" x14ac:dyDescent="0.3">
      <c r="A69" s="10"/>
      <c r="B69" s="25" t="s">
        <v>5</v>
      </c>
      <c r="C69" s="25"/>
      <c r="D69" s="32">
        <f>SUM(D66:D68)</f>
        <v>-1141.3999999999999</v>
      </c>
      <c r="E69" s="13"/>
      <c r="F69" s="33">
        <f>IF(D$12=0,0,D69/D$12)</f>
        <v>0</v>
      </c>
      <c r="G69" s="13"/>
      <c r="H69" s="32">
        <f>SUM(H66:H68)</f>
        <v>-11406.876</v>
      </c>
      <c r="I69" s="13"/>
      <c r="J69" s="33">
        <f>IF(H$12=0,0,H69/H$12)</f>
        <v>0</v>
      </c>
      <c r="K69" s="15"/>
      <c r="L69" s="32">
        <f>+D69-H69</f>
        <v>10265.476000000001</v>
      </c>
      <c r="M69" s="15"/>
      <c r="N69" s="33">
        <f>IF(H69=0,0,L69/H69)</f>
        <v>-0.89993754644128687</v>
      </c>
      <c r="O69" s="26"/>
      <c r="P69" s="32">
        <f>SUM(P66:P68)</f>
        <v>-1141.3999999999999</v>
      </c>
      <c r="Q69" s="13"/>
      <c r="R69" s="33">
        <f>IF(P$12=0,0,P69/P$12)</f>
        <v>0</v>
      </c>
      <c r="S69" s="13"/>
      <c r="T69" s="32">
        <f>SUM(T66:T68)</f>
        <v>-11406.876</v>
      </c>
      <c r="U69" s="13"/>
      <c r="V69" s="33">
        <f>IF(T$12=0,0,T69/T$12)</f>
        <v>0</v>
      </c>
      <c r="W69" s="15"/>
      <c r="X69" s="32">
        <f>+P69-T69</f>
        <v>10265.476000000001</v>
      </c>
      <c r="Y69" s="15"/>
      <c r="Z69" s="33">
        <f>IF(T69=0,0,X69/T69)</f>
        <v>-0.89993754644128687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8">
        <v>44104.685476469909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6" t="s">
        <v>314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2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","307", " - ", "Art Store")</f>
        <v>Department 307 - Art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3" si="0">+D12-H12</f>
        <v>0</v>
      </c>
      <c r="M12" s="4"/>
      <c r="N12" s="11">
        <f t="shared" ref="N12:N13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3" si="2">+P12-T12</f>
        <v>0</v>
      </c>
      <c r="Y12" s="4"/>
      <c r="Z12" s="11">
        <f t="shared" ref="Z12:Z13" si="3">IF(T12=0,0,X12/T12)</f>
        <v>0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>
        <f>SUM(OSRRefD16x_0)</f>
        <v>38.049999999999997</v>
      </c>
      <c r="E15" s="4"/>
      <c r="F15" s="11">
        <f t="shared" ref="F15:F16" si="4">IF(D$12=0,0,D15/D$12)</f>
        <v>0</v>
      </c>
      <c r="G15" s="4"/>
      <c r="H15" s="4">
        <f>SUM(OSRRefH16x_0)</f>
        <v>0</v>
      </c>
      <c r="I15" s="4"/>
      <c r="J15" s="11">
        <f t="shared" ref="J15:J16" si="5">IF(H$12=0,0,H15/H$12)</f>
        <v>0</v>
      </c>
      <c r="K15" s="4"/>
      <c r="L15" s="4">
        <f t="shared" ref="L15:L16" si="6">+D15-H15</f>
        <v>38.049999999999997</v>
      </c>
      <c r="M15" s="4"/>
      <c r="N15" s="11">
        <f t="shared" ref="N15:N16" si="7">IF(H15=0,0,L15/H15)</f>
        <v>0</v>
      </c>
      <c r="O15" s="10"/>
      <c r="P15" s="4">
        <f>SUM(OSRRefP16x_0)</f>
        <v>38.049999999999997</v>
      </c>
      <c r="Q15" s="4"/>
      <c r="R15" s="11">
        <f t="shared" ref="R15:R16" si="8">IF(P$12=0,0,P15/P$12)</f>
        <v>0</v>
      </c>
      <c r="S15" s="4"/>
      <c r="T15" s="4">
        <f>SUM(OSRRefT16x_0)</f>
        <v>0</v>
      </c>
      <c r="U15" s="4"/>
      <c r="V15" s="11">
        <f t="shared" ref="V15:V16" si="9">IF(T$12=0,0,T15/T$12)</f>
        <v>0</v>
      </c>
      <c r="W15" s="4"/>
      <c r="X15" s="4">
        <f t="shared" ref="X15:X16" si="10">+P15-T15</f>
        <v>38.049999999999997</v>
      </c>
      <c r="Y15" s="4"/>
      <c r="Z15" s="11">
        <f t="shared" ref="Z15:Z16" si="11">IF(T15=0,0,X15/T15)</f>
        <v>0</v>
      </c>
    </row>
    <row r="16" spans="1:26" s="24" customFormat="1" hidden="1" outlineLevel="1" x14ac:dyDescent="0.25">
      <c r="A16" s="51"/>
      <c r="B16" s="12" t="str">
        <f>CONCATENATE("          ", "5528", " - ", "FREIGHT-IN-ART/TECH")</f>
        <v xml:space="preserve">          5528 - FREIGHT-IN-ART/TECH</v>
      </c>
      <c r="C16" s="12"/>
      <c r="D16" s="3">
        <v>38.049999999999997</v>
      </c>
      <c r="E16" s="3"/>
      <c r="F16" s="23">
        <f t="shared" si="4"/>
        <v>0</v>
      </c>
      <c r="G16" s="3"/>
      <c r="H16" s="3"/>
      <c r="I16" s="3"/>
      <c r="J16" s="23">
        <f t="shared" si="5"/>
        <v>0</v>
      </c>
      <c r="K16" s="3"/>
      <c r="L16" s="3">
        <f t="shared" si="6"/>
        <v>38.049999999999997</v>
      </c>
      <c r="M16" s="3"/>
      <c r="N16" s="23">
        <f t="shared" si="7"/>
        <v>0</v>
      </c>
      <c r="O16" s="12"/>
      <c r="P16" s="3">
        <v>38.049999999999997</v>
      </c>
      <c r="Q16" s="3"/>
      <c r="R16" s="23">
        <f t="shared" si="8"/>
        <v>0</v>
      </c>
      <c r="S16" s="3"/>
      <c r="T16" s="3"/>
      <c r="U16" s="3"/>
      <c r="V16" s="23">
        <f t="shared" si="9"/>
        <v>0</v>
      </c>
      <c r="W16" s="3"/>
      <c r="X16" s="3">
        <f t="shared" si="10"/>
        <v>38.049999999999997</v>
      </c>
      <c r="Y16" s="3"/>
      <c r="Z16" s="23">
        <f t="shared" si="11"/>
        <v>0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>
        <f>D12-D15</f>
        <v>-38.049999999999997</v>
      </c>
      <c r="E18" s="13"/>
      <c r="F18" s="20">
        <f>IF(D$12=0,0,D18/D$12)</f>
        <v>0</v>
      </c>
      <c r="G18" s="13"/>
      <c r="H18" s="21">
        <f>H12-H15</f>
        <v>0</v>
      </c>
      <c r="I18" s="13"/>
      <c r="J18" s="20">
        <f>IF(H$12=0,0,H18/H$12)</f>
        <v>0</v>
      </c>
      <c r="K18" s="15"/>
      <c r="L18" s="21">
        <f>+D18-H18</f>
        <v>-38.049999999999997</v>
      </c>
      <c r="M18" s="15"/>
      <c r="N18" s="20">
        <f>IF(H18=0,0,L18/H18)</f>
        <v>0</v>
      </c>
      <c r="O18" s="26"/>
      <c r="P18" s="21">
        <f>P12-P15</f>
        <v>-38.049999999999997</v>
      </c>
      <c r="Q18" s="13"/>
      <c r="R18" s="20">
        <f>IF(P$12=0,0,P18/P$12)</f>
        <v>0</v>
      </c>
      <c r="S18" s="13"/>
      <c r="T18" s="21">
        <f>T12-T15</f>
        <v>0</v>
      </c>
      <c r="U18" s="13"/>
      <c r="V18" s="20">
        <f>IF(T$12=0,0,T18/T$12)</f>
        <v>0</v>
      </c>
      <c r="W18" s="15"/>
      <c r="X18" s="21">
        <f>+P18-T18</f>
        <v>-38.049999999999997</v>
      </c>
      <c r="Y18" s="15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>
        <f>SUM(OSRRefD22x_0)</f>
        <v>1103.3499999999999</v>
      </c>
      <c r="E20" s="19"/>
      <c r="F20" s="31">
        <f t="shared" ref="F20:F29" si="12">IF(D$12=0,0,D20/D$12)</f>
        <v>0</v>
      </c>
      <c r="G20" s="19"/>
      <c r="H20" s="19">
        <f>SUM(OSRRefH22x_0)</f>
        <v>8819.8760000000002</v>
      </c>
      <c r="I20" s="19"/>
      <c r="J20" s="31">
        <f t="shared" ref="J20:J29" si="13">IF(H$12=0,0,H20/H$12)</f>
        <v>0</v>
      </c>
      <c r="K20" s="4"/>
      <c r="L20" s="19">
        <f t="shared" ref="L20:L29" si="14">+D20-H20</f>
        <v>-7716.5259999999998</v>
      </c>
      <c r="M20" s="4"/>
      <c r="N20" s="31">
        <f t="shared" ref="N20:N29" si="15">IF(H20=0,0,L20/H20)</f>
        <v>-0.87490186936868497</v>
      </c>
      <c r="O20" s="10"/>
      <c r="P20" s="19">
        <f>SUM(OSRRefP22x_0)</f>
        <v>1103.3499999999999</v>
      </c>
      <c r="Q20" s="19"/>
      <c r="R20" s="31">
        <f t="shared" ref="R20:R29" si="16">IF(P$12=0,0,P20/P$12)</f>
        <v>0</v>
      </c>
      <c r="S20" s="19"/>
      <c r="T20" s="19">
        <f>SUM(OSRRefT22x_0)</f>
        <v>8819.8760000000002</v>
      </c>
      <c r="U20" s="19"/>
      <c r="V20" s="31">
        <f t="shared" ref="V20:V29" si="17">IF(T$12=0,0,T20/T$12)</f>
        <v>0</v>
      </c>
      <c r="W20" s="4"/>
      <c r="X20" s="19">
        <f t="shared" ref="X20:X29" si="18">+P20-T20</f>
        <v>-7716.5259999999998</v>
      </c>
      <c r="Y20" s="4"/>
      <c r="Z20" s="31">
        <f t="shared" ref="Z20:Z29" si="19">IF(T20=0,0,X20/T20)</f>
        <v>-0.87490186936868497</v>
      </c>
    </row>
    <row r="21" spans="1:26" s="29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1879.876</v>
      </c>
      <c r="I21" s="1"/>
      <c r="J21" s="5">
        <f t="shared" si="13"/>
        <v>0</v>
      </c>
      <c r="K21" s="1"/>
      <c r="L21" s="1">
        <f t="shared" si="14"/>
        <v>-1879.876</v>
      </c>
      <c r="M21" s="1"/>
      <c r="N21" s="5">
        <f t="shared" si="15"/>
        <v>-1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1879.876</v>
      </c>
      <c r="U21" s="1"/>
      <c r="V21" s="5">
        <f t="shared" si="17"/>
        <v>0</v>
      </c>
      <c r="W21" s="1"/>
      <c r="X21" s="1">
        <f t="shared" si="18"/>
        <v>-1879.876</v>
      </c>
      <c r="Y21" s="1"/>
      <c r="Z21" s="5">
        <f t="shared" si="19"/>
        <v>-1</v>
      </c>
    </row>
    <row r="22" spans="1:26" s="24" customFormat="1" hidden="1" outlineLevel="2" x14ac:dyDescent="0.25">
      <c r="A22" s="27"/>
      <c r="B22" s="12" t="str">
        <f>CONCATENATE("          ", "6111", " - ", "F.I.C.A.")</f>
        <v xml:space="preserve">          6111 - F.I.C.A.</v>
      </c>
      <c r="C22" s="12"/>
      <c r="D22" s="7"/>
      <c r="E22" s="3"/>
      <c r="F22" s="8">
        <f t="shared" si="12"/>
        <v>0</v>
      </c>
      <c r="G22" s="3"/>
      <c r="H22" s="7">
        <v>397.95600000000002</v>
      </c>
      <c r="I22" s="3"/>
      <c r="J22" s="8">
        <f t="shared" si="13"/>
        <v>0</v>
      </c>
      <c r="K22" s="3"/>
      <c r="L22" s="7">
        <f t="shared" si="14"/>
        <v>-397.95600000000002</v>
      </c>
      <c r="M22" s="3"/>
      <c r="N22" s="8">
        <f t="shared" si="15"/>
        <v>-1</v>
      </c>
      <c r="O22" s="12"/>
      <c r="P22" s="7"/>
      <c r="Q22" s="3"/>
      <c r="R22" s="8">
        <f t="shared" si="16"/>
        <v>0</v>
      </c>
      <c r="S22" s="3"/>
      <c r="T22" s="7">
        <v>397.95600000000002</v>
      </c>
      <c r="U22" s="3"/>
      <c r="V22" s="8">
        <f t="shared" si="17"/>
        <v>0</v>
      </c>
      <c r="W22" s="3"/>
      <c r="X22" s="7">
        <f t="shared" si="18"/>
        <v>-397.95600000000002</v>
      </c>
      <c r="Y22" s="3"/>
      <c r="Z22" s="8">
        <f t="shared" si="19"/>
        <v>-1</v>
      </c>
    </row>
    <row r="23" spans="1:26" s="24" customFormat="1" hidden="1" outlineLevel="2" x14ac:dyDescent="0.25">
      <c r="A23" s="27"/>
      <c r="B23" s="12" t="str">
        <f>CONCATENATE("          ", "6112", " - ", "COMPENSATION INSURANCE")</f>
        <v xml:space="preserve">          6112 - COMPENSATION INSURANCE</v>
      </c>
      <c r="C23" s="12"/>
      <c r="D23" s="7"/>
      <c r="E23" s="3"/>
      <c r="F23" s="8">
        <f t="shared" si="12"/>
        <v>0</v>
      </c>
      <c r="G23" s="3"/>
      <c r="H23" s="7">
        <v>96.2</v>
      </c>
      <c r="I23" s="3"/>
      <c r="J23" s="8">
        <f t="shared" si="13"/>
        <v>0</v>
      </c>
      <c r="K23" s="3"/>
      <c r="L23" s="7">
        <f t="shared" si="14"/>
        <v>-96.2</v>
      </c>
      <c r="M23" s="3"/>
      <c r="N23" s="8">
        <f t="shared" si="15"/>
        <v>-1</v>
      </c>
      <c r="O23" s="12"/>
      <c r="P23" s="7"/>
      <c r="Q23" s="3"/>
      <c r="R23" s="8">
        <f t="shared" si="16"/>
        <v>0</v>
      </c>
      <c r="S23" s="3"/>
      <c r="T23" s="7">
        <v>96.2</v>
      </c>
      <c r="U23" s="3"/>
      <c r="V23" s="8">
        <f t="shared" si="17"/>
        <v>0</v>
      </c>
      <c r="W23" s="3"/>
      <c r="X23" s="7">
        <f t="shared" si="18"/>
        <v>-96.2</v>
      </c>
      <c r="Y23" s="3"/>
      <c r="Z23" s="8">
        <f t="shared" si="19"/>
        <v>-1</v>
      </c>
    </row>
    <row r="24" spans="1:26" s="24" customFormat="1" hidden="1" outlineLevel="2" x14ac:dyDescent="0.25">
      <c r="A24" s="27"/>
      <c r="B24" s="12" t="str">
        <f>CONCATENATE("          ", "6113", " - ", "GROUP INSURANCE")</f>
        <v xml:space="preserve">          6113 - GROUP INSURANCE</v>
      </c>
      <c r="C24" s="12"/>
      <c r="D24" s="7"/>
      <c r="E24" s="3"/>
      <c r="F24" s="8">
        <f t="shared" si="12"/>
        <v>0</v>
      </c>
      <c r="G24" s="3"/>
      <c r="H24" s="7">
        <v>665</v>
      </c>
      <c r="I24" s="3"/>
      <c r="J24" s="8">
        <f t="shared" si="13"/>
        <v>0</v>
      </c>
      <c r="K24" s="3"/>
      <c r="L24" s="7">
        <f t="shared" si="14"/>
        <v>-665</v>
      </c>
      <c r="M24" s="3"/>
      <c r="N24" s="8">
        <f t="shared" si="15"/>
        <v>-1</v>
      </c>
      <c r="O24" s="12"/>
      <c r="P24" s="7"/>
      <c r="Q24" s="3"/>
      <c r="R24" s="8">
        <f t="shared" si="16"/>
        <v>0</v>
      </c>
      <c r="S24" s="3"/>
      <c r="T24" s="7">
        <v>665</v>
      </c>
      <c r="U24" s="3"/>
      <c r="V24" s="8">
        <f t="shared" si="17"/>
        <v>0</v>
      </c>
      <c r="W24" s="3"/>
      <c r="X24" s="7">
        <f t="shared" si="18"/>
        <v>-665</v>
      </c>
      <c r="Y24" s="3"/>
      <c r="Z24" s="8">
        <f t="shared" si="19"/>
        <v>-1</v>
      </c>
    </row>
    <row r="25" spans="1:26" s="24" customFormat="1" hidden="1" outlineLevel="2" x14ac:dyDescent="0.25">
      <c r="A25" s="27"/>
      <c r="B25" s="12" t="str">
        <f>CONCATENATE("          ", "6114", " - ", "STATE UNEMPLOYMENT INSURANCE")</f>
        <v xml:space="preserve">          6114 - STATE UNEMPLOYMENT INSURANCE</v>
      </c>
      <c r="C25" s="12"/>
      <c r="D25" s="7"/>
      <c r="E25" s="3"/>
      <c r="F25" s="8">
        <f t="shared" si="12"/>
        <v>0</v>
      </c>
      <c r="G25" s="3"/>
      <c r="H25" s="7">
        <v>13.52</v>
      </c>
      <c r="I25" s="3"/>
      <c r="J25" s="8">
        <f t="shared" si="13"/>
        <v>0</v>
      </c>
      <c r="K25" s="3"/>
      <c r="L25" s="7">
        <f t="shared" si="14"/>
        <v>-13.52</v>
      </c>
      <c r="M25" s="3"/>
      <c r="N25" s="8">
        <f t="shared" si="15"/>
        <v>-1</v>
      </c>
      <c r="O25" s="12"/>
      <c r="P25" s="7"/>
      <c r="Q25" s="3"/>
      <c r="R25" s="8">
        <f t="shared" si="16"/>
        <v>0</v>
      </c>
      <c r="S25" s="3"/>
      <c r="T25" s="7">
        <v>13.52</v>
      </c>
      <c r="U25" s="3"/>
      <c r="V25" s="8">
        <f t="shared" si="17"/>
        <v>0</v>
      </c>
      <c r="W25" s="3"/>
      <c r="X25" s="7">
        <f t="shared" si="18"/>
        <v>-13.52</v>
      </c>
      <c r="Y25" s="3"/>
      <c r="Z25" s="8">
        <f t="shared" si="19"/>
        <v>-1</v>
      </c>
    </row>
    <row r="26" spans="1:26" s="24" customFormat="1" hidden="1" outlineLevel="2" x14ac:dyDescent="0.25">
      <c r="A26" s="27"/>
      <c r="B26" s="12" t="str">
        <f>CONCATENATE("          ", "6115", " - ", "P.E.R.S.")</f>
        <v xml:space="preserve">          6115 - P.E.R.S.</v>
      </c>
      <c r="C26" s="12"/>
      <c r="D26" s="7"/>
      <c r="E26" s="3"/>
      <c r="F26" s="8">
        <f t="shared" si="12"/>
        <v>0</v>
      </c>
      <c r="G26" s="3"/>
      <c r="H26" s="7">
        <v>447.2</v>
      </c>
      <c r="I26" s="3"/>
      <c r="J26" s="8">
        <f t="shared" si="13"/>
        <v>0</v>
      </c>
      <c r="K26" s="3"/>
      <c r="L26" s="7">
        <f t="shared" si="14"/>
        <v>-447.2</v>
      </c>
      <c r="M26" s="3"/>
      <c r="N26" s="8">
        <f t="shared" si="15"/>
        <v>-1</v>
      </c>
      <c r="O26" s="12"/>
      <c r="P26" s="7"/>
      <c r="Q26" s="3"/>
      <c r="R26" s="8">
        <f t="shared" si="16"/>
        <v>0</v>
      </c>
      <c r="S26" s="3"/>
      <c r="T26" s="7">
        <v>447.2</v>
      </c>
      <c r="U26" s="3"/>
      <c r="V26" s="8">
        <f t="shared" si="17"/>
        <v>0</v>
      </c>
      <c r="W26" s="3"/>
      <c r="X26" s="7">
        <f t="shared" si="18"/>
        <v>-447.2</v>
      </c>
      <c r="Y26" s="3"/>
      <c r="Z26" s="8">
        <f t="shared" si="19"/>
        <v>-1</v>
      </c>
    </row>
    <row r="27" spans="1:26" s="24" customFormat="1" hidden="1" outlineLevel="2" x14ac:dyDescent="0.25">
      <c r="A27" s="27"/>
      <c r="B27" s="12" t="str">
        <f>CONCATENATE("          ", "6116", " - ", "EDUCATIONAL BENEFITS")</f>
        <v xml:space="preserve">          6116 - EDUCATIONAL BENEFITS</v>
      </c>
      <c r="C27" s="12"/>
      <c r="D27" s="7"/>
      <c r="E27" s="3"/>
      <c r="F27" s="8">
        <f t="shared" si="12"/>
        <v>0</v>
      </c>
      <c r="G27" s="3"/>
      <c r="H27" s="7">
        <v>0</v>
      </c>
      <c r="I27" s="3"/>
      <c r="J27" s="8">
        <f t="shared" si="13"/>
        <v>0</v>
      </c>
      <c r="K27" s="3"/>
      <c r="L27" s="7">
        <f t="shared" si="14"/>
        <v>0</v>
      </c>
      <c r="M27" s="3"/>
      <c r="N27" s="8">
        <f t="shared" si="15"/>
        <v>0</v>
      </c>
      <c r="O27" s="12"/>
      <c r="P27" s="7"/>
      <c r="Q27" s="3"/>
      <c r="R27" s="8">
        <f t="shared" si="16"/>
        <v>0</v>
      </c>
      <c r="S27" s="3"/>
      <c r="T27" s="7">
        <v>0</v>
      </c>
      <c r="U27" s="3"/>
      <c r="V27" s="8">
        <f t="shared" si="17"/>
        <v>0</v>
      </c>
      <c r="W27" s="3"/>
      <c r="X27" s="7">
        <f t="shared" si="18"/>
        <v>0</v>
      </c>
      <c r="Y27" s="3"/>
      <c r="Z27" s="8">
        <f t="shared" si="19"/>
        <v>0</v>
      </c>
    </row>
    <row r="28" spans="1:26" s="24" customFormat="1" hidden="1" outlineLevel="2" x14ac:dyDescent="0.25">
      <c r="A28" s="27"/>
      <c r="B28" s="12" t="str">
        <f>CONCATENATE("          ", "6118", " - ", "VACATION")</f>
        <v xml:space="preserve">          6118 - VACATION</v>
      </c>
      <c r="C28" s="12"/>
      <c r="D28" s="7"/>
      <c r="E28" s="3"/>
      <c r="F28" s="8">
        <f t="shared" si="12"/>
        <v>0</v>
      </c>
      <c r="G28" s="3"/>
      <c r="H28" s="7">
        <v>156</v>
      </c>
      <c r="I28" s="3"/>
      <c r="J28" s="8">
        <f t="shared" si="13"/>
        <v>0</v>
      </c>
      <c r="K28" s="3"/>
      <c r="L28" s="7">
        <f t="shared" si="14"/>
        <v>-156</v>
      </c>
      <c r="M28" s="3"/>
      <c r="N28" s="8">
        <f t="shared" si="15"/>
        <v>-1</v>
      </c>
      <c r="O28" s="12"/>
      <c r="P28" s="7"/>
      <c r="Q28" s="3"/>
      <c r="R28" s="8">
        <f t="shared" si="16"/>
        <v>0</v>
      </c>
      <c r="S28" s="3"/>
      <c r="T28" s="7">
        <v>156</v>
      </c>
      <c r="U28" s="3"/>
      <c r="V28" s="8">
        <f t="shared" si="17"/>
        <v>0</v>
      </c>
      <c r="W28" s="3"/>
      <c r="X28" s="7">
        <f t="shared" si="18"/>
        <v>-156</v>
      </c>
      <c r="Y28" s="3"/>
      <c r="Z28" s="8">
        <f t="shared" si="19"/>
        <v>-1</v>
      </c>
    </row>
    <row r="29" spans="1:26" s="24" customFormat="1" hidden="1" outlineLevel="2" x14ac:dyDescent="0.25">
      <c r="A29" s="27"/>
      <c r="B29" s="12" t="str">
        <f>CONCATENATE("          ", "6119", " - ", "SICK LEAVE")</f>
        <v xml:space="preserve">          6119 - SICK LEAVE</v>
      </c>
      <c r="C29" s="12"/>
      <c r="D29" s="7"/>
      <c r="E29" s="3"/>
      <c r="F29" s="8">
        <f t="shared" si="12"/>
        <v>0</v>
      </c>
      <c r="G29" s="3"/>
      <c r="H29" s="7">
        <v>104</v>
      </c>
      <c r="I29" s="3"/>
      <c r="J29" s="8">
        <f t="shared" si="13"/>
        <v>0</v>
      </c>
      <c r="K29" s="3"/>
      <c r="L29" s="7">
        <f t="shared" si="14"/>
        <v>-104</v>
      </c>
      <c r="M29" s="3"/>
      <c r="N29" s="8">
        <f t="shared" si="15"/>
        <v>-1</v>
      </c>
      <c r="O29" s="12"/>
      <c r="P29" s="7"/>
      <c r="Q29" s="3"/>
      <c r="R29" s="8">
        <f t="shared" si="16"/>
        <v>0</v>
      </c>
      <c r="S29" s="3"/>
      <c r="T29" s="7">
        <v>104</v>
      </c>
      <c r="U29" s="3"/>
      <c r="V29" s="8">
        <f t="shared" si="17"/>
        <v>0</v>
      </c>
      <c r="W29" s="3"/>
      <c r="X29" s="7">
        <f t="shared" si="18"/>
        <v>-104</v>
      </c>
      <c r="Y29" s="3"/>
      <c r="Z29" s="8">
        <f t="shared" si="19"/>
        <v>-1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4940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-4940</v>
      </c>
      <c r="M30" s="1"/>
      <c r="N30" s="5">
        <f t="shared" ref="N30:N40" si="23">IF(H30=0,0,L30/H30)</f>
        <v>-1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4940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-4940</v>
      </c>
      <c r="Y30" s="1"/>
      <c r="Z30" s="5">
        <f t="shared" ref="Z30:Z40" si="27">IF(T30=0,0,X30/T30)</f>
        <v>-1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/>
      <c r="E31" s="3"/>
      <c r="F31" s="8">
        <f t="shared" si="20"/>
        <v>0</v>
      </c>
      <c r="G31" s="3"/>
      <c r="H31" s="7">
        <v>4940</v>
      </c>
      <c r="I31" s="3"/>
      <c r="J31" s="8">
        <f t="shared" si="21"/>
        <v>0</v>
      </c>
      <c r="K31" s="3"/>
      <c r="L31" s="7">
        <f t="shared" si="22"/>
        <v>-4940</v>
      </c>
      <c r="M31" s="3"/>
      <c r="N31" s="8">
        <f t="shared" si="23"/>
        <v>-1</v>
      </c>
      <c r="O31" s="12"/>
      <c r="P31" s="7"/>
      <c r="Q31" s="3"/>
      <c r="R31" s="8">
        <f t="shared" si="24"/>
        <v>0</v>
      </c>
      <c r="S31" s="3"/>
      <c r="T31" s="7">
        <v>4940</v>
      </c>
      <c r="U31" s="3"/>
      <c r="V31" s="8">
        <f t="shared" si="25"/>
        <v>0</v>
      </c>
      <c r="W31" s="3"/>
      <c r="X31" s="7">
        <f t="shared" si="26"/>
        <v>-4940</v>
      </c>
      <c r="Y31" s="3"/>
      <c r="Z31" s="8">
        <f t="shared" si="27"/>
        <v>-1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/>
      <c r="E32" s="3"/>
      <c r="F32" s="8">
        <f t="shared" si="20"/>
        <v>0</v>
      </c>
      <c r="G32" s="3"/>
      <c r="H32" s="7">
        <v>0</v>
      </c>
      <c r="I32" s="3"/>
      <c r="J32" s="8">
        <f t="shared" si="21"/>
        <v>0</v>
      </c>
      <c r="K32" s="3"/>
      <c r="L32" s="7">
        <f t="shared" si="22"/>
        <v>0</v>
      </c>
      <c r="M32" s="3"/>
      <c r="N32" s="8">
        <f t="shared" si="23"/>
        <v>0</v>
      </c>
      <c r="O32" s="12"/>
      <c r="P32" s="7"/>
      <c r="Q32" s="3"/>
      <c r="R32" s="8">
        <f t="shared" si="24"/>
        <v>0</v>
      </c>
      <c r="S32" s="3"/>
      <c r="T32" s="7">
        <v>0</v>
      </c>
      <c r="U32" s="3"/>
      <c r="V32" s="8">
        <f t="shared" si="25"/>
        <v>0</v>
      </c>
      <c r="W32" s="3"/>
      <c r="X32" s="7">
        <f t="shared" si="26"/>
        <v>0</v>
      </c>
      <c r="Y32" s="3"/>
      <c r="Z32" s="8">
        <f t="shared" si="27"/>
        <v>0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20"/>
        <v>0</v>
      </c>
      <c r="G33" s="3"/>
      <c r="H33" s="7">
        <v>0</v>
      </c>
      <c r="I33" s="3"/>
      <c r="J33" s="8">
        <f t="shared" si="21"/>
        <v>0</v>
      </c>
      <c r="K33" s="3"/>
      <c r="L33" s="7">
        <f t="shared" si="22"/>
        <v>0</v>
      </c>
      <c r="M33" s="3"/>
      <c r="N33" s="8">
        <f t="shared" si="23"/>
        <v>0</v>
      </c>
      <c r="O33" s="12"/>
      <c r="P33" s="7"/>
      <c r="Q33" s="3"/>
      <c r="R33" s="8">
        <f t="shared" si="24"/>
        <v>0</v>
      </c>
      <c r="S33" s="3"/>
      <c r="T33" s="7">
        <v>0</v>
      </c>
      <c r="U33" s="3"/>
      <c r="V33" s="8">
        <f t="shared" si="25"/>
        <v>0</v>
      </c>
      <c r="W33" s="3"/>
      <c r="X33" s="7">
        <f t="shared" si="26"/>
        <v>0</v>
      </c>
      <c r="Y33" s="3"/>
      <c r="Z33" s="8">
        <f t="shared" si="27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/>
      <c r="E34" s="3"/>
      <c r="F34" s="8">
        <f t="shared" si="20"/>
        <v>0</v>
      </c>
      <c r="G34" s="3"/>
      <c r="H34" s="7">
        <v>0</v>
      </c>
      <c r="I34" s="3"/>
      <c r="J34" s="8">
        <f t="shared" si="21"/>
        <v>0</v>
      </c>
      <c r="K34" s="3"/>
      <c r="L34" s="7">
        <f t="shared" si="22"/>
        <v>0</v>
      </c>
      <c r="M34" s="3"/>
      <c r="N34" s="8">
        <f t="shared" si="23"/>
        <v>0</v>
      </c>
      <c r="O34" s="12"/>
      <c r="P34" s="7"/>
      <c r="Q34" s="3"/>
      <c r="R34" s="8">
        <f t="shared" si="24"/>
        <v>0</v>
      </c>
      <c r="S34" s="3"/>
      <c r="T34" s="7">
        <v>0</v>
      </c>
      <c r="U34" s="3"/>
      <c r="V34" s="8">
        <f t="shared" si="25"/>
        <v>0</v>
      </c>
      <c r="W34" s="3"/>
      <c r="X34" s="7">
        <f t="shared" si="26"/>
        <v>0</v>
      </c>
      <c r="Y34" s="3"/>
      <c r="Z34" s="8">
        <f t="shared" si="27"/>
        <v>0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20"/>
        <v>0</v>
      </c>
      <c r="G35" s="3"/>
      <c r="H35" s="7">
        <v>0</v>
      </c>
      <c r="I35" s="3"/>
      <c r="J35" s="8">
        <f t="shared" si="21"/>
        <v>0</v>
      </c>
      <c r="K35" s="3"/>
      <c r="L35" s="7">
        <f t="shared" si="22"/>
        <v>0</v>
      </c>
      <c r="M35" s="3"/>
      <c r="N35" s="8">
        <f t="shared" si="23"/>
        <v>0</v>
      </c>
      <c r="O35" s="12"/>
      <c r="P35" s="7"/>
      <c r="Q35" s="3"/>
      <c r="R35" s="8">
        <f t="shared" si="24"/>
        <v>0</v>
      </c>
      <c r="S35" s="3"/>
      <c r="T35" s="7">
        <v>0</v>
      </c>
      <c r="U35" s="3"/>
      <c r="V35" s="8">
        <f t="shared" si="25"/>
        <v>0</v>
      </c>
      <c r="W35" s="3"/>
      <c r="X35" s="7">
        <f t="shared" si="26"/>
        <v>0</v>
      </c>
      <c r="Y35" s="3"/>
      <c r="Z35" s="8">
        <f t="shared" si="27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/>
      <c r="E37" s="3"/>
      <c r="F37" s="8">
        <f t="shared" si="20"/>
        <v>0</v>
      </c>
      <c r="G37" s="3"/>
      <c r="H37" s="7">
        <v>0</v>
      </c>
      <c r="I37" s="3"/>
      <c r="J37" s="8">
        <f t="shared" si="21"/>
        <v>0</v>
      </c>
      <c r="K37" s="3"/>
      <c r="L37" s="7">
        <f t="shared" si="22"/>
        <v>0</v>
      </c>
      <c r="M37" s="3"/>
      <c r="N37" s="8">
        <f t="shared" si="23"/>
        <v>0</v>
      </c>
      <c r="O37" s="12"/>
      <c r="P37" s="7"/>
      <c r="Q37" s="3"/>
      <c r="R37" s="8">
        <f t="shared" si="24"/>
        <v>0</v>
      </c>
      <c r="S37" s="3"/>
      <c r="T37" s="7">
        <v>0</v>
      </c>
      <c r="U37" s="3"/>
      <c r="V37" s="8">
        <f t="shared" si="25"/>
        <v>0</v>
      </c>
      <c r="W37" s="3"/>
      <c r="X37" s="7">
        <f t="shared" si="26"/>
        <v>0</v>
      </c>
      <c r="Y37" s="3"/>
      <c r="Z37" s="8">
        <f t="shared" si="27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20"/>
        <v>0</v>
      </c>
      <c r="G39" s="3"/>
      <c r="H39" s="7">
        <v>0</v>
      </c>
      <c r="I39" s="3"/>
      <c r="J39" s="8">
        <f t="shared" si="21"/>
        <v>0</v>
      </c>
      <c r="K39" s="3"/>
      <c r="L39" s="7">
        <f t="shared" si="22"/>
        <v>0</v>
      </c>
      <c r="M39" s="3"/>
      <c r="N39" s="8">
        <f t="shared" si="23"/>
        <v>0</v>
      </c>
      <c r="O39" s="12"/>
      <c r="P39" s="7"/>
      <c r="Q39" s="3"/>
      <c r="R39" s="8">
        <f t="shared" si="24"/>
        <v>0</v>
      </c>
      <c r="S39" s="3"/>
      <c r="T39" s="7">
        <v>0</v>
      </c>
      <c r="U39" s="3"/>
      <c r="V39" s="8">
        <f t="shared" si="25"/>
        <v>0</v>
      </c>
      <c r="W39" s="3"/>
      <c r="X39" s="7">
        <f t="shared" si="26"/>
        <v>0</v>
      </c>
      <c r="Y39" s="3"/>
      <c r="Z39" s="8">
        <f t="shared" si="27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9" customFormat="1" outlineLevel="1" collapsed="1" x14ac:dyDescent="0.25">
      <c r="A41" s="28"/>
      <c r="B41" s="14" t="str">
        <f>CONCATENATE("     ","Discounts and Markdowns                           ")</f>
        <v xml:space="preserve">     Discounts and Markdowns                           </v>
      </c>
      <c r="C41" s="14"/>
      <c r="D41" s="1">
        <f>SUM(OSRRefD22_2x_0)</f>
        <v>0</v>
      </c>
      <c r="E41" s="1"/>
      <c r="F41" s="5">
        <f t="shared" ref="F41:F53" si="28">IF(D$12=0,0,D41/D$12)</f>
        <v>0</v>
      </c>
      <c r="G41" s="1"/>
      <c r="H41" s="1">
        <f>SUM(OSRRefH22_2x_0)</f>
        <v>0</v>
      </c>
      <c r="I41" s="1"/>
      <c r="J41" s="5">
        <f t="shared" ref="J41:J53" si="29">IF(H$12=0,0,H41/H$12)</f>
        <v>0</v>
      </c>
      <c r="K41" s="1"/>
      <c r="L41" s="1">
        <f t="shared" ref="L41:L53" si="30">+D41-H41</f>
        <v>0</v>
      </c>
      <c r="M41" s="1"/>
      <c r="N41" s="5">
        <f t="shared" ref="N41:N53" si="31">IF(H41=0,0,L41/H41)</f>
        <v>0</v>
      </c>
      <c r="O41" s="14"/>
      <c r="P41" s="1">
        <f>SUM(OSRRefP22_2x_0)</f>
        <v>0</v>
      </c>
      <c r="Q41" s="1"/>
      <c r="R41" s="5">
        <f t="shared" ref="R41:R53" si="32">IF(P$12=0,0,P41/P$12)</f>
        <v>0</v>
      </c>
      <c r="S41" s="1"/>
      <c r="T41" s="1">
        <f>SUM(OSRRefT22_2x_0)</f>
        <v>0</v>
      </c>
      <c r="U41" s="1"/>
      <c r="V41" s="5">
        <f t="shared" ref="V41:V53" si="33">IF(T$12=0,0,T41/T$12)</f>
        <v>0</v>
      </c>
      <c r="W41" s="1"/>
      <c r="X41" s="1">
        <f t="shared" ref="X41:X53" si="34">+P41-T41</f>
        <v>0</v>
      </c>
      <c r="Y41" s="1"/>
      <c r="Z41" s="5">
        <f t="shared" ref="Z41:Z53" si="35">IF(T41=0,0,X41/T41)</f>
        <v>0</v>
      </c>
    </row>
    <row r="42" spans="1:26" s="24" customFormat="1" hidden="1" outlineLevel="2" x14ac:dyDescent="0.25">
      <c r="A42" s="27"/>
      <c r="B42" s="12" t="str">
        <f>CONCATENATE("          ", "6382", " - ", "DISCOUNTS/MARK DOWNS")</f>
        <v xml:space="preserve">          6382 - DISCOUNTS/MARK DOWNS</v>
      </c>
      <c r="C42" s="12"/>
      <c r="D42" s="7"/>
      <c r="E42" s="3"/>
      <c r="F42" s="8">
        <f t="shared" si="28"/>
        <v>0</v>
      </c>
      <c r="G42" s="3"/>
      <c r="H42" s="7">
        <v>0</v>
      </c>
      <c r="I42" s="3"/>
      <c r="J42" s="8">
        <f t="shared" si="29"/>
        <v>0</v>
      </c>
      <c r="K42" s="3"/>
      <c r="L42" s="7">
        <f t="shared" si="30"/>
        <v>0</v>
      </c>
      <c r="M42" s="3"/>
      <c r="N42" s="8">
        <f t="shared" si="31"/>
        <v>0</v>
      </c>
      <c r="O42" s="12"/>
      <c r="P42" s="7"/>
      <c r="Q42" s="3"/>
      <c r="R42" s="8">
        <f t="shared" si="32"/>
        <v>0</v>
      </c>
      <c r="S42" s="3"/>
      <c r="T42" s="7">
        <v>0</v>
      </c>
      <c r="U42" s="3"/>
      <c r="V42" s="8">
        <f t="shared" si="33"/>
        <v>0</v>
      </c>
      <c r="W42" s="3"/>
      <c r="X42" s="7">
        <f t="shared" si="34"/>
        <v>0</v>
      </c>
      <c r="Y42" s="3"/>
      <c r="Z42" s="8">
        <f t="shared" si="35"/>
        <v>0</v>
      </c>
    </row>
    <row r="43" spans="1:26" s="29" customFormat="1" outlineLevel="1" collapsed="1" x14ac:dyDescent="0.25">
      <c r="A43" s="28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7"/>
      <c r="B44" s="12" t="str">
        <f>CONCATENATE("          ", "6305", " - ", "FREIGHT OUT")</f>
        <v xml:space="preserve">          6305 - FREIGHT OUT</v>
      </c>
      <c r="C44" s="12"/>
      <c r="D44" s="7"/>
      <c r="E44" s="3"/>
      <c r="F44" s="8">
        <f t="shared" si="28"/>
        <v>0</v>
      </c>
      <c r="G44" s="3"/>
      <c r="H44" s="7">
        <v>0</v>
      </c>
      <c r="I44" s="3"/>
      <c r="J44" s="8">
        <f t="shared" si="29"/>
        <v>0</v>
      </c>
      <c r="K44" s="3"/>
      <c r="L44" s="7">
        <f t="shared" si="30"/>
        <v>0</v>
      </c>
      <c r="M44" s="3"/>
      <c r="N44" s="8">
        <f t="shared" si="31"/>
        <v>0</v>
      </c>
      <c r="O44" s="12"/>
      <c r="P44" s="7"/>
      <c r="Q44" s="3"/>
      <c r="R44" s="8">
        <f t="shared" si="32"/>
        <v>0</v>
      </c>
      <c r="S44" s="3"/>
      <c r="T44" s="7">
        <v>0</v>
      </c>
      <c r="U44" s="3"/>
      <c r="V44" s="8">
        <f t="shared" si="33"/>
        <v>0</v>
      </c>
      <c r="W44" s="3"/>
      <c r="X44" s="7">
        <f t="shared" si="34"/>
        <v>0</v>
      </c>
      <c r="Y44" s="3"/>
      <c r="Z44" s="8">
        <f t="shared" si="35"/>
        <v>0</v>
      </c>
    </row>
    <row r="45" spans="1:26" s="29" customFormat="1" outlineLevel="1" collapsed="1" x14ac:dyDescent="0.25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SUM(OSRRefD22_4x_0)</f>
        <v>719.55</v>
      </c>
      <c r="E45" s="1"/>
      <c r="F45" s="5">
        <f t="shared" si="28"/>
        <v>0</v>
      </c>
      <c r="G45" s="1"/>
      <c r="H45" s="1">
        <f>SUM(OSRRefH22_4x_0)</f>
        <v>1000</v>
      </c>
      <c r="I45" s="1"/>
      <c r="J45" s="5">
        <f t="shared" si="29"/>
        <v>0</v>
      </c>
      <c r="K45" s="1"/>
      <c r="L45" s="1">
        <f t="shared" si="30"/>
        <v>-280.45000000000005</v>
      </c>
      <c r="M45" s="1"/>
      <c r="N45" s="5">
        <f t="shared" si="31"/>
        <v>-0.28045000000000003</v>
      </c>
      <c r="O45" s="14"/>
      <c r="P45" s="1">
        <f>SUM(OSRRefP22_4x_0)</f>
        <v>719.55</v>
      </c>
      <c r="Q45" s="1"/>
      <c r="R45" s="5">
        <f t="shared" si="32"/>
        <v>0</v>
      </c>
      <c r="S45" s="1"/>
      <c r="T45" s="1">
        <f>SUM(OSRRefT22_4x_0)</f>
        <v>1000</v>
      </c>
      <c r="U45" s="1"/>
      <c r="V45" s="5">
        <f t="shared" si="33"/>
        <v>0</v>
      </c>
      <c r="W45" s="1"/>
      <c r="X45" s="1">
        <f t="shared" si="34"/>
        <v>-280.45000000000005</v>
      </c>
      <c r="Y45" s="1"/>
      <c r="Z45" s="5">
        <f t="shared" si="35"/>
        <v>-0.28045000000000003</v>
      </c>
    </row>
    <row r="46" spans="1:26" s="24" customFormat="1" hidden="1" outlineLevel="2" x14ac:dyDescent="0.25">
      <c r="A46" s="27"/>
      <c r="B46" s="12" t="str">
        <f>CONCATENATE("          ", "6279", " - ", "GENERAL EXPENSE")</f>
        <v xml:space="preserve">          6279 - GENERAL EXPENSE</v>
      </c>
      <c r="C46" s="12"/>
      <c r="D46" s="7">
        <v>719.55</v>
      </c>
      <c r="E46" s="3"/>
      <c r="F46" s="8">
        <f t="shared" si="28"/>
        <v>0</v>
      </c>
      <c r="G46" s="3"/>
      <c r="H46" s="7">
        <v>1000</v>
      </c>
      <c r="I46" s="3"/>
      <c r="J46" s="8">
        <f t="shared" si="29"/>
        <v>0</v>
      </c>
      <c r="K46" s="3"/>
      <c r="L46" s="7">
        <f t="shared" si="30"/>
        <v>-280.45000000000005</v>
      </c>
      <c r="M46" s="3"/>
      <c r="N46" s="8">
        <f t="shared" si="31"/>
        <v>-0.28045000000000003</v>
      </c>
      <c r="O46" s="12"/>
      <c r="P46" s="7">
        <v>719.55</v>
      </c>
      <c r="Q46" s="3"/>
      <c r="R46" s="8">
        <f t="shared" si="32"/>
        <v>0</v>
      </c>
      <c r="S46" s="3"/>
      <c r="T46" s="7">
        <v>1000</v>
      </c>
      <c r="U46" s="3"/>
      <c r="V46" s="8">
        <f t="shared" si="33"/>
        <v>0</v>
      </c>
      <c r="W46" s="3"/>
      <c r="X46" s="7">
        <f t="shared" si="34"/>
        <v>-280.45000000000005</v>
      </c>
      <c r="Y46" s="3"/>
      <c r="Z46" s="8">
        <f t="shared" si="35"/>
        <v>-0.28045000000000003</v>
      </c>
    </row>
    <row r="47" spans="1:26" s="29" customFormat="1" outlineLevel="1" collapsed="1" x14ac:dyDescent="0.25">
      <c r="A47" s="28"/>
      <c r="B47" s="14" t="str">
        <f>CONCATENATE("     ","Professional Services                             ")</f>
        <v xml:space="preserve">     Professional Services                             </v>
      </c>
      <c r="C47" s="14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800</v>
      </c>
      <c r="I47" s="1"/>
      <c r="J47" s="5">
        <f t="shared" si="29"/>
        <v>0</v>
      </c>
      <c r="K47" s="1"/>
      <c r="L47" s="1">
        <f t="shared" si="30"/>
        <v>-800</v>
      </c>
      <c r="M47" s="1"/>
      <c r="N47" s="5">
        <f t="shared" si="31"/>
        <v>-1</v>
      </c>
      <c r="O47" s="14"/>
      <c r="P47" s="1">
        <f>SUM(OSRRefP22_5x_0)</f>
        <v>0</v>
      </c>
      <c r="Q47" s="1"/>
      <c r="R47" s="5">
        <f t="shared" si="32"/>
        <v>0</v>
      </c>
      <c r="S47" s="1"/>
      <c r="T47" s="1">
        <f>SUM(OSRRefT22_5x_0)</f>
        <v>800</v>
      </c>
      <c r="U47" s="1"/>
      <c r="V47" s="5">
        <f t="shared" si="33"/>
        <v>0</v>
      </c>
      <c r="W47" s="1"/>
      <c r="X47" s="1">
        <f t="shared" si="34"/>
        <v>-800</v>
      </c>
      <c r="Y47" s="1"/>
      <c r="Z47" s="5">
        <f t="shared" si="35"/>
        <v>-1</v>
      </c>
    </row>
    <row r="48" spans="1:26" s="24" customFormat="1" hidden="1" outlineLevel="2" x14ac:dyDescent="0.25">
      <c r="A48" s="27"/>
      <c r="B48" s="12" t="str">
        <f>CONCATENATE("          ", "6336", " - ", "PROFESSIONAL SERVICES")</f>
        <v xml:space="preserve">          6336 - PROFESSIONAL SERVICES</v>
      </c>
      <c r="C48" s="12"/>
      <c r="D48" s="7"/>
      <c r="E48" s="3"/>
      <c r="F48" s="8">
        <f t="shared" si="28"/>
        <v>0</v>
      </c>
      <c r="G48" s="3"/>
      <c r="H48" s="7">
        <v>800</v>
      </c>
      <c r="I48" s="3"/>
      <c r="J48" s="8">
        <f t="shared" si="29"/>
        <v>0</v>
      </c>
      <c r="K48" s="3"/>
      <c r="L48" s="7">
        <f t="shared" si="30"/>
        <v>-800</v>
      </c>
      <c r="M48" s="3"/>
      <c r="N48" s="8">
        <f t="shared" si="31"/>
        <v>-1</v>
      </c>
      <c r="O48" s="12"/>
      <c r="P48" s="7"/>
      <c r="Q48" s="3"/>
      <c r="R48" s="8">
        <f t="shared" si="32"/>
        <v>0</v>
      </c>
      <c r="S48" s="3"/>
      <c r="T48" s="7">
        <v>800</v>
      </c>
      <c r="U48" s="3"/>
      <c r="V48" s="8">
        <f t="shared" si="33"/>
        <v>0</v>
      </c>
      <c r="W48" s="3"/>
      <c r="X48" s="7">
        <f t="shared" si="34"/>
        <v>-800</v>
      </c>
      <c r="Y48" s="3"/>
      <c r="Z48" s="8">
        <f t="shared" si="35"/>
        <v>-1</v>
      </c>
    </row>
    <row r="49" spans="1:26" s="29" customFormat="1" outlineLevel="1" collapsed="1" x14ac:dyDescent="0.25">
      <c r="A49" s="28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100</v>
      </c>
      <c r="I49" s="1"/>
      <c r="J49" s="5">
        <f t="shared" si="29"/>
        <v>0</v>
      </c>
      <c r="K49" s="1"/>
      <c r="L49" s="1">
        <f t="shared" si="30"/>
        <v>-100</v>
      </c>
      <c r="M49" s="1"/>
      <c r="N49" s="5">
        <f t="shared" si="31"/>
        <v>-1</v>
      </c>
      <c r="O49" s="14"/>
      <c r="P49" s="1">
        <f>SUM(OSRRefP22_6x_0)</f>
        <v>0</v>
      </c>
      <c r="Q49" s="1"/>
      <c r="R49" s="5">
        <f t="shared" si="32"/>
        <v>0</v>
      </c>
      <c r="S49" s="1"/>
      <c r="T49" s="1">
        <f>SUM(OSRRefT22_6x_0)</f>
        <v>100</v>
      </c>
      <c r="U49" s="1"/>
      <c r="V49" s="5">
        <f t="shared" si="33"/>
        <v>0</v>
      </c>
      <c r="W49" s="1"/>
      <c r="X49" s="1">
        <f t="shared" si="34"/>
        <v>-100</v>
      </c>
      <c r="Y49" s="1"/>
      <c r="Z49" s="5">
        <f t="shared" si="35"/>
        <v>-1</v>
      </c>
    </row>
    <row r="50" spans="1:26" s="24" customFormat="1" hidden="1" outlineLevel="2" x14ac:dyDescent="0.25">
      <c r="A50" s="27"/>
      <c r="B50" s="12" t="str">
        <f>CONCATENATE("          ", "6375", " - ", "OUTSIDE REPAIRS &amp; MAINTENANCE")</f>
        <v xml:space="preserve">          6375 - OUTSIDE REPAIRS &amp; MAINTENANCE</v>
      </c>
      <c r="C50" s="12"/>
      <c r="D50" s="7"/>
      <c r="E50" s="3"/>
      <c r="F50" s="8">
        <f t="shared" si="28"/>
        <v>0</v>
      </c>
      <c r="G50" s="3"/>
      <c r="H50" s="7">
        <v>100</v>
      </c>
      <c r="I50" s="3"/>
      <c r="J50" s="8">
        <f t="shared" si="29"/>
        <v>0</v>
      </c>
      <c r="K50" s="3"/>
      <c r="L50" s="7">
        <f t="shared" si="30"/>
        <v>-100</v>
      </c>
      <c r="M50" s="3"/>
      <c r="N50" s="8">
        <f t="shared" si="31"/>
        <v>-1</v>
      </c>
      <c r="O50" s="12"/>
      <c r="P50" s="7"/>
      <c r="Q50" s="3"/>
      <c r="R50" s="8">
        <f t="shared" si="32"/>
        <v>0</v>
      </c>
      <c r="S50" s="3"/>
      <c r="T50" s="7">
        <v>100</v>
      </c>
      <c r="U50" s="3"/>
      <c r="V50" s="8">
        <f t="shared" si="33"/>
        <v>0</v>
      </c>
      <c r="W50" s="3"/>
      <c r="X50" s="7">
        <f t="shared" si="34"/>
        <v>-100</v>
      </c>
      <c r="Y50" s="3"/>
      <c r="Z50" s="8">
        <f t="shared" si="35"/>
        <v>-1</v>
      </c>
    </row>
    <row r="51" spans="1:26" s="29" customFormat="1" outlineLevel="1" collapsed="1" x14ac:dyDescent="0.25">
      <c r="A51" s="28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SUM(OSRRefD22_7x_0)</f>
        <v>-113.5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-113.5</v>
      </c>
      <c r="M51" s="1"/>
      <c r="N51" s="5">
        <f t="shared" si="31"/>
        <v>0</v>
      </c>
      <c r="O51" s="14"/>
      <c r="P51" s="1">
        <f>SUM(OSRRefP22_7x_0)</f>
        <v>-113.5</v>
      </c>
      <c r="Q51" s="1"/>
      <c r="R51" s="5">
        <f t="shared" si="32"/>
        <v>0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-113.5</v>
      </c>
      <c r="Y51" s="1"/>
      <c r="Z51" s="5">
        <f t="shared" si="35"/>
        <v>0</v>
      </c>
    </row>
    <row r="52" spans="1:26" s="24" customFormat="1" hidden="1" outlineLevel="2" x14ac:dyDescent="0.25">
      <c r="A52" s="27"/>
      <c r="B52" s="12" t="str">
        <f>CONCATENATE("          ", "6282", " - ", "JANITORIAL/EXTERMINATOR EXPENS")</f>
        <v xml:space="preserve">          6282 - JANITORIAL/EXTERMINATOR EXPENS</v>
      </c>
      <c r="C52" s="12"/>
      <c r="D52" s="7">
        <v>44</v>
      </c>
      <c r="E52" s="3"/>
      <c r="F52" s="8">
        <f t="shared" si="28"/>
        <v>0</v>
      </c>
      <c r="G52" s="3"/>
      <c r="H52" s="7"/>
      <c r="I52" s="3"/>
      <c r="J52" s="8">
        <f t="shared" si="29"/>
        <v>0</v>
      </c>
      <c r="K52" s="3"/>
      <c r="L52" s="7">
        <f t="shared" si="30"/>
        <v>44</v>
      </c>
      <c r="M52" s="3"/>
      <c r="N52" s="8">
        <f t="shared" si="31"/>
        <v>0</v>
      </c>
      <c r="O52" s="12"/>
      <c r="P52" s="7">
        <v>44</v>
      </c>
      <c r="Q52" s="3"/>
      <c r="R52" s="8">
        <f t="shared" si="32"/>
        <v>0</v>
      </c>
      <c r="S52" s="3"/>
      <c r="T52" s="7"/>
      <c r="U52" s="3"/>
      <c r="V52" s="8">
        <f t="shared" si="33"/>
        <v>0</v>
      </c>
      <c r="W52" s="3"/>
      <c r="X52" s="7">
        <f t="shared" si="34"/>
        <v>44</v>
      </c>
      <c r="Y52" s="3"/>
      <c r="Z52" s="8">
        <f t="shared" si="35"/>
        <v>0</v>
      </c>
    </row>
    <row r="53" spans="1:26" s="24" customFormat="1" hidden="1" outlineLevel="2" x14ac:dyDescent="0.25">
      <c r="A53" s="27"/>
      <c r="B53" s="12" t="str">
        <f>CONCATENATE("          ", "6285", " - ", "JANITORIAL SERVICES")</f>
        <v xml:space="preserve">          6285 - JANITORIAL SERVICES</v>
      </c>
      <c r="C53" s="12"/>
      <c r="D53" s="7">
        <v>-157.5</v>
      </c>
      <c r="E53" s="3"/>
      <c r="F53" s="8">
        <f t="shared" si="28"/>
        <v>0</v>
      </c>
      <c r="G53" s="3"/>
      <c r="H53" s="7"/>
      <c r="I53" s="3"/>
      <c r="J53" s="8">
        <f t="shared" si="29"/>
        <v>0</v>
      </c>
      <c r="K53" s="3"/>
      <c r="L53" s="7">
        <f t="shared" si="30"/>
        <v>-157.5</v>
      </c>
      <c r="M53" s="3"/>
      <c r="N53" s="8">
        <f t="shared" si="31"/>
        <v>0</v>
      </c>
      <c r="O53" s="12"/>
      <c r="P53" s="7">
        <v>-157.5</v>
      </c>
      <c r="Q53" s="3"/>
      <c r="R53" s="8">
        <f t="shared" si="32"/>
        <v>0</v>
      </c>
      <c r="S53" s="3"/>
      <c r="T53" s="7"/>
      <c r="U53" s="3"/>
      <c r="V53" s="8">
        <f t="shared" si="33"/>
        <v>0</v>
      </c>
      <c r="W53" s="3"/>
      <c r="X53" s="7">
        <f t="shared" si="34"/>
        <v>-157.5</v>
      </c>
      <c r="Y53" s="3"/>
      <c r="Z53" s="8">
        <f t="shared" si="35"/>
        <v>0</v>
      </c>
    </row>
    <row r="54" spans="1:26" s="29" customFormat="1" outlineLevel="1" collapsed="1" x14ac:dyDescent="0.25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SUM(OSRRefD22_8x_0)</f>
        <v>444.3</v>
      </c>
      <c r="E54" s="1"/>
      <c r="F54" s="5">
        <f t="shared" ref="F54:F58" si="36">IF(D$12=0,0,D54/D$12)</f>
        <v>0</v>
      </c>
      <c r="G54" s="1"/>
      <c r="H54" s="1">
        <f>SUM(OSRRefH22_8x_0)</f>
        <v>0</v>
      </c>
      <c r="I54" s="1"/>
      <c r="J54" s="5">
        <f t="shared" ref="J54:J58" si="37">IF(H$12=0,0,H54/H$12)</f>
        <v>0</v>
      </c>
      <c r="K54" s="1"/>
      <c r="L54" s="1">
        <f t="shared" ref="L54:L58" si="38">+D54-H54</f>
        <v>444.3</v>
      </c>
      <c r="M54" s="1"/>
      <c r="N54" s="5">
        <f t="shared" ref="N54:N58" si="39">IF(H54=0,0,L54/H54)</f>
        <v>0</v>
      </c>
      <c r="O54" s="14"/>
      <c r="P54" s="1">
        <f>SUM(OSRRefP22_8x_0)</f>
        <v>444.3</v>
      </c>
      <c r="Q54" s="1"/>
      <c r="R54" s="5">
        <f t="shared" ref="R54:R58" si="40">IF(P$12=0,0,P54/P$12)</f>
        <v>0</v>
      </c>
      <c r="S54" s="1"/>
      <c r="T54" s="1">
        <f>SUM(OSRRefT22_8x_0)</f>
        <v>0</v>
      </c>
      <c r="U54" s="1"/>
      <c r="V54" s="5">
        <f t="shared" ref="V54:V58" si="41">IF(T$12=0,0,T54/T$12)</f>
        <v>0</v>
      </c>
      <c r="W54" s="1"/>
      <c r="X54" s="1">
        <f t="shared" ref="X54:X58" si="42">+P54-T54</f>
        <v>444.3</v>
      </c>
      <c r="Y54" s="1"/>
      <c r="Z54" s="5">
        <f t="shared" ref="Z54:Z58" si="43">IF(T54=0,0,X54/T54)</f>
        <v>0</v>
      </c>
    </row>
    <row r="55" spans="1:26" s="24" customFormat="1" hidden="1" outlineLevel="2" x14ac:dyDescent="0.25">
      <c r="A55" s="27"/>
      <c r="B55" s="12" t="str">
        <f>CONCATENATE("          ", "6235", " - ", "COVID-19 EXPENSES")</f>
        <v xml:space="preserve">          6235 - COVID-19 EXPENSES</v>
      </c>
      <c r="C55" s="12"/>
      <c r="D55" s="7">
        <v>444.3</v>
      </c>
      <c r="E55" s="3"/>
      <c r="F55" s="8">
        <f t="shared" si="36"/>
        <v>0</v>
      </c>
      <c r="G55" s="3"/>
      <c r="H55" s="7"/>
      <c r="I55" s="3"/>
      <c r="J55" s="8">
        <f t="shared" si="37"/>
        <v>0</v>
      </c>
      <c r="K55" s="3"/>
      <c r="L55" s="7">
        <f t="shared" si="38"/>
        <v>444.3</v>
      </c>
      <c r="M55" s="3"/>
      <c r="N55" s="8">
        <f t="shared" si="39"/>
        <v>0</v>
      </c>
      <c r="O55" s="12"/>
      <c r="P55" s="7">
        <v>444.3</v>
      </c>
      <c r="Q55" s="3"/>
      <c r="R55" s="8">
        <f t="shared" si="40"/>
        <v>0</v>
      </c>
      <c r="S55" s="3"/>
      <c r="T55" s="7"/>
      <c r="U55" s="3"/>
      <c r="V55" s="8">
        <f t="shared" si="41"/>
        <v>0</v>
      </c>
      <c r="W55" s="3"/>
      <c r="X55" s="7">
        <f t="shared" si="42"/>
        <v>444.3</v>
      </c>
      <c r="Y55" s="3"/>
      <c r="Z55" s="8">
        <f t="shared" si="43"/>
        <v>0</v>
      </c>
    </row>
    <row r="56" spans="1:26" s="29" customFormat="1" outlineLevel="1" collapsed="1" x14ac:dyDescent="0.25">
      <c r="A56" s="28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SUM(OSRRefD22_9x_0)</f>
        <v>53</v>
      </c>
      <c r="E56" s="1"/>
      <c r="F56" s="5">
        <f t="shared" si="36"/>
        <v>0</v>
      </c>
      <c r="G56" s="1"/>
      <c r="H56" s="1">
        <f>SUM(OSRRefH22_9x_0)</f>
        <v>100</v>
      </c>
      <c r="I56" s="1"/>
      <c r="J56" s="5">
        <f t="shared" si="37"/>
        <v>0</v>
      </c>
      <c r="K56" s="1"/>
      <c r="L56" s="1">
        <f t="shared" si="38"/>
        <v>-47</v>
      </c>
      <c r="M56" s="1"/>
      <c r="N56" s="5">
        <f t="shared" si="39"/>
        <v>-0.47</v>
      </c>
      <c r="O56" s="14"/>
      <c r="P56" s="1">
        <f>SUM(OSRRefP22_9x_0)</f>
        <v>53</v>
      </c>
      <c r="Q56" s="1"/>
      <c r="R56" s="5">
        <f t="shared" si="40"/>
        <v>0</v>
      </c>
      <c r="S56" s="1"/>
      <c r="T56" s="1">
        <f>SUM(OSRRefT22_9x_0)</f>
        <v>100</v>
      </c>
      <c r="U56" s="1"/>
      <c r="V56" s="5">
        <f t="shared" si="41"/>
        <v>0</v>
      </c>
      <c r="W56" s="1"/>
      <c r="X56" s="1">
        <f t="shared" si="42"/>
        <v>-47</v>
      </c>
      <c r="Y56" s="1"/>
      <c r="Z56" s="5">
        <f t="shared" si="43"/>
        <v>-0.47</v>
      </c>
    </row>
    <row r="57" spans="1:26" s="24" customFormat="1" hidden="1" outlineLevel="2" x14ac:dyDescent="0.25">
      <c r="A57" s="27"/>
      <c r="B57" s="12" t="str">
        <f>CONCATENATE("          ", "6303", " - ", "DATA PHONE LINES")</f>
        <v xml:space="preserve">          6303 - DATA PHONE LINES</v>
      </c>
      <c r="C57" s="12"/>
      <c r="D57" s="7"/>
      <c r="E57" s="3"/>
      <c r="F57" s="8">
        <f t="shared" si="36"/>
        <v>0</v>
      </c>
      <c r="G57" s="3"/>
      <c r="H57" s="7">
        <v>100</v>
      </c>
      <c r="I57" s="3"/>
      <c r="J57" s="8">
        <f t="shared" si="37"/>
        <v>0</v>
      </c>
      <c r="K57" s="3"/>
      <c r="L57" s="7">
        <f t="shared" si="38"/>
        <v>-100</v>
      </c>
      <c r="M57" s="3"/>
      <c r="N57" s="8">
        <f t="shared" si="39"/>
        <v>-1</v>
      </c>
      <c r="O57" s="12"/>
      <c r="P57" s="7"/>
      <c r="Q57" s="3"/>
      <c r="R57" s="8">
        <f t="shared" si="40"/>
        <v>0</v>
      </c>
      <c r="S57" s="3"/>
      <c r="T57" s="7">
        <v>100</v>
      </c>
      <c r="U57" s="3"/>
      <c r="V57" s="8">
        <f t="shared" si="41"/>
        <v>0</v>
      </c>
      <c r="W57" s="3"/>
      <c r="X57" s="7">
        <f t="shared" si="42"/>
        <v>-100</v>
      </c>
      <c r="Y57" s="3"/>
      <c r="Z57" s="8">
        <f t="shared" si="43"/>
        <v>-1</v>
      </c>
    </row>
    <row r="58" spans="1:26" s="24" customFormat="1" hidden="1" outlineLevel="2" x14ac:dyDescent="0.25">
      <c r="A58" s="27"/>
      <c r="B58" s="12" t="str">
        <f>CONCATENATE("          ", "6309", " - ", "TELEPHONE")</f>
        <v xml:space="preserve">          6309 - TELEPHONE</v>
      </c>
      <c r="C58" s="12"/>
      <c r="D58" s="7">
        <v>53</v>
      </c>
      <c r="E58" s="3"/>
      <c r="F58" s="8">
        <f t="shared" si="36"/>
        <v>0</v>
      </c>
      <c r="G58" s="3"/>
      <c r="H58" s="7"/>
      <c r="I58" s="3"/>
      <c r="J58" s="8">
        <f t="shared" si="37"/>
        <v>0</v>
      </c>
      <c r="K58" s="3"/>
      <c r="L58" s="7">
        <f t="shared" si="38"/>
        <v>53</v>
      </c>
      <c r="M58" s="3"/>
      <c r="N58" s="8">
        <f t="shared" si="39"/>
        <v>0</v>
      </c>
      <c r="O58" s="12"/>
      <c r="P58" s="7">
        <v>53</v>
      </c>
      <c r="Q58" s="3"/>
      <c r="R58" s="8">
        <f t="shared" si="40"/>
        <v>0</v>
      </c>
      <c r="S58" s="3"/>
      <c r="T58" s="7"/>
      <c r="U58" s="3"/>
      <c r="V58" s="8">
        <f t="shared" si="41"/>
        <v>0</v>
      </c>
      <c r="W58" s="3"/>
      <c r="X58" s="7">
        <f t="shared" si="42"/>
        <v>53</v>
      </c>
      <c r="Y58" s="3"/>
      <c r="Z58" s="8">
        <f t="shared" si="43"/>
        <v>0</v>
      </c>
    </row>
    <row r="59" spans="1:26" s="54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2" customFormat="1" x14ac:dyDescent="0.25">
      <c r="A60" s="10"/>
      <c r="B60" s="26" t="s">
        <v>0</v>
      </c>
      <c r="C60" s="10"/>
      <c r="D60" s="4">
        <f>SUM(0)</f>
        <v>0</v>
      </c>
      <c r="E60" s="4"/>
      <c r="F60" s="11">
        <f>IF(D$12=0,0,D60/D$12)</f>
        <v>0</v>
      </c>
      <c r="G60" s="4"/>
      <c r="H60" s="4">
        <f>SUM(0)</f>
        <v>0</v>
      </c>
      <c r="I60" s="4"/>
      <c r="J60" s="11">
        <f>IF(H$12=0,0,H60/H$12)</f>
        <v>0</v>
      </c>
      <c r="K60" s="4"/>
      <c r="L60" s="4">
        <f>+D60-H60</f>
        <v>0</v>
      </c>
      <c r="M60" s="4"/>
      <c r="N60" s="11">
        <f>IF(H60=0,0,L60/H60)</f>
        <v>0</v>
      </c>
      <c r="O60" s="10"/>
      <c r="P60" s="4">
        <f>SUM(0)</f>
        <v>0</v>
      </c>
      <c r="Q60" s="4"/>
      <c r="R60" s="11">
        <f>IF(P$12=0,0,P60/P$12)</f>
        <v>0</v>
      </c>
      <c r="S60" s="4"/>
      <c r="T60" s="4">
        <f>SUM(0)</f>
        <v>0</v>
      </c>
      <c r="U60" s="4"/>
      <c r="V60" s="11">
        <f>IF(T$12=0,0,T60/T$12)</f>
        <v>0</v>
      </c>
      <c r="W60" s="4"/>
      <c r="X60" s="4">
        <f>+P60-T60</f>
        <v>0</v>
      </c>
      <c r="Y60" s="4"/>
      <c r="Z60" s="11">
        <f>IF(T60=0,0,X60/T60)</f>
        <v>0</v>
      </c>
    </row>
    <row r="61" spans="1:26" x14ac:dyDescent="0.25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2" customFormat="1" x14ac:dyDescent="0.25">
      <c r="A62" s="10"/>
      <c r="B62" s="25" t="s">
        <v>3</v>
      </c>
      <c r="C62" s="25"/>
      <c r="D62" s="21">
        <f>+D18-D20+D60</f>
        <v>-1141.3999999999999</v>
      </c>
      <c r="E62" s="13"/>
      <c r="F62" s="20">
        <f>IF(D$12=0,0,D62/D$12)</f>
        <v>0</v>
      </c>
      <c r="G62" s="13"/>
      <c r="H62" s="21">
        <f>+H18-H20+H60</f>
        <v>-8819.8760000000002</v>
      </c>
      <c r="I62" s="13"/>
      <c r="J62" s="20">
        <f>IF(H$12=0,0,H62/H$12)</f>
        <v>0</v>
      </c>
      <c r="K62" s="15"/>
      <c r="L62" s="21">
        <f>+D62-H62</f>
        <v>7678.4760000000006</v>
      </c>
      <c r="M62" s="15"/>
      <c r="N62" s="20">
        <f>IF(H62=0,0,L62/H62)</f>
        <v>-0.87058774975974729</v>
      </c>
      <c r="O62" s="26"/>
      <c r="P62" s="21">
        <f>+P18-P20+P60</f>
        <v>-1141.3999999999999</v>
      </c>
      <c r="Q62" s="13"/>
      <c r="R62" s="20">
        <f>IF(P$12=0,0,P62/P$12)</f>
        <v>0</v>
      </c>
      <c r="S62" s="13"/>
      <c r="T62" s="21">
        <f>+T18-T20+T60</f>
        <v>-8819.8760000000002</v>
      </c>
      <c r="U62" s="13"/>
      <c r="V62" s="20">
        <f>IF(T$12=0,0,T62/T$12)</f>
        <v>0</v>
      </c>
      <c r="W62" s="15"/>
      <c r="X62" s="21">
        <f>+P62-T62</f>
        <v>7678.4760000000006</v>
      </c>
      <c r="Y62" s="15"/>
      <c r="Z62" s="20">
        <f>IF(T62=0,0,X62/T62)</f>
        <v>-0.87058774975974729</v>
      </c>
    </row>
    <row r="63" spans="1:26" x14ac:dyDescent="0.25">
      <c r="A63" s="9"/>
      <c r="B63" s="10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2" customFormat="1" x14ac:dyDescent="0.25">
      <c r="A64" s="52"/>
      <c r="B64" s="10" t="s">
        <v>14</v>
      </c>
      <c r="C64" s="10"/>
      <c r="D64" s="4"/>
      <c r="E64" s="4"/>
      <c r="F64" s="11">
        <f>IF(D$12=0,0,D64/D$12)</f>
        <v>0</v>
      </c>
      <c r="G64" s="4"/>
      <c r="H64" s="4">
        <v>2587</v>
      </c>
      <c r="I64" s="4"/>
      <c r="J64" s="11">
        <f>IF(H$12=0,0,H64/H$12)</f>
        <v>0</v>
      </c>
      <c r="K64" s="4"/>
      <c r="L64" s="4">
        <f>+D64-H64</f>
        <v>-2587</v>
      </c>
      <c r="M64" s="4"/>
      <c r="N64" s="11">
        <f>IF(H64=0,0,L64/H64)</f>
        <v>-1</v>
      </c>
      <c r="O64" s="10"/>
      <c r="P64" s="4"/>
      <c r="Q64" s="4"/>
      <c r="R64" s="11">
        <f>IF(P$12=0,0,P64/P$12)</f>
        <v>0</v>
      </c>
      <c r="S64" s="4"/>
      <c r="T64" s="4">
        <v>2587</v>
      </c>
      <c r="U64" s="4"/>
      <c r="V64" s="11">
        <f>IF(T$12=0,0,T64/T$12)</f>
        <v>0</v>
      </c>
      <c r="W64" s="4"/>
      <c r="X64" s="4">
        <f>+P64-T64</f>
        <v>-2587</v>
      </c>
      <c r="Y64" s="4"/>
      <c r="Z64" s="11">
        <f>IF(T64=0,0,X64/T64)</f>
        <v>-1</v>
      </c>
    </row>
    <row r="65" spans="1:26" x14ac:dyDescent="0.25">
      <c r="A65" s="9"/>
      <c r="B65" s="10"/>
      <c r="C65" s="10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10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2" customFormat="1" ht="15.75" thickBot="1" x14ac:dyDescent="0.3">
      <c r="A66" s="10"/>
      <c r="B66" s="25" t="s">
        <v>4</v>
      </c>
      <c r="C66" s="25"/>
      <c r="D66" s="34">
        <f>+D62-D64</f>
        <v>-1141.3999999999999</v>
      </c>
      <c r="E66" s="13"/>
      <c r="F66" s="30">
        <f>IF(D$12=0,0,D66/D$12)</f>
        <v>0</v>
      </c>
      <c r="G66" s="13"/>
      <c r="H66" s="34">
        <f>+H62-H64</f>
        <v>-11406.876</v>
      </c>
      <c r="I66" s="13"/>
      <c r="J66" s="30">
        <f>IF(H$12=0,0,H66/H$12)</f>
        <v>0</v>
      </c>
      <c r="K66" s="15"/>
      <c r="L66" s="34">
        <f>D66-H66</f>
        <v>10265.476000000001</v>
      </c>
      <c r="M66" s="15"/>
      <c r="N66" s="30">
        <f>IF(H66=0,0,L66/H66)</f>
        <v>-0.89993754644128687</v>
      </c>
      <c r="O66" s="26"/>
      <c r="P66" s="34">
        <f>+P62-P64</f>
        <v>-1141.3999999999999</v>
      </c>
      <c r="Q66" s="13"/>
      <c r="R66" s="30">
        <f>IF(P$12=0,0,P66/P$12)</f>
        <v>0</v>
      </c>
      <c r="S66" s="13"/>
      <c r="T66" s="34">
        <f>+T62-T64</f>
        <v>-11406.876</v>
      </c>
      <c r="U66" s="13"/>
      <c r="V66" s="30">
        <f>IF(T$12=0,0,T66/T$12)</f>
        <v>0</v>
      </c>
      <c r="W66" s="15"/>
      <c r="X66" s="34">
        <f>P66-T66</f>
        <v>10265.476000000001</v>
      </c>
      <c r="Y66" s="15"/>
      <c r="Z66" s="30">
        <f>IF(T66=0,0,X66/T66)</f>
        <v>-0.89993754644128687</v>
      </c>
    </row>
    <row r="67" spans="1:26" ht="15.75" thickTop="1" x14ac:dyDescent="0.25">
      <c r="A67" s="9"/>
      <c r="B67" s="9"/>
      <c r="C67" s="9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x14ac:dyDescent="0.25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2" customFormat="1" ht="15.75" thickBot="1" x14ac:dyDescent="0.3">
      <c r="A69" s="10"/>
      <c r="B69" s="25" t="s">
        <v>5</v>
      </c>
      <c r="C69" s="25"/>
      <c r="D69" s="32">
        <f>SUM(D66:D68)</f>
        <v>-1141.3999999999999</v>
      </c>
      <c r="E69" s="13"/>
      <c r="F69" s="33">
        <f>IF(D$12=0,0,D69/D$12)</f>
        <v>0</v>
      </c>
      <c r="G69" s="13"/>
      <c r="H69" s="32">
        <f>SUM(H66:H68)</f>
        <v>-11406.876</v>
      </c>
      <c r="I69" s="13"/>
      <c r="J69" s="33">
        <f>IF(H$12=0,0,H69/H$12)</f>
        <v>0</v>
      </c>
      <c r="K69" s="15"/>
      <c r="L69" s="32">
        <f>+D69-H69</f>
        <v>10265.476000000001</v>
      </c>
      <c r="M69" s="15"/>
      <c r="N69" s="33">
        <f>IF(H69=0,0,L69/H69)</f>
        <v>-0.89993754644128687</v>
      </c>
      <c r="O69" s="26"/>
      <c r="P69" s="32">
        <f>SUM(P66:P68)</f>
        <v>-1141.3999999999999</v>
      </c>
      <c r="Q69" s="13"/>
      <c r="R69" s="33">
        <f>IF(P$12=0,0,P69/P$12)</f>
        <v>0</v>
      </c>
      <c r="S69" s="13"/>
      <c r="T69" s="32">
        <f>SUM(T66:T68)</f>
        <v>-11406.876</v>
      </c>
      <c r="U69" s="13"/>
      <c r="V69" s="33">
        <f>IF(T$12=0,0,T69/T$12)</f>
        <v>0</v>
      </c>
      <c r="W69" s="15"/>
      <c r="X69" s="32">
        <f>+P69-T69</f>
        <v>10265.476000000001</v>
      </c>
      <c r="Y69" s="15"/>
      <c r="Z69" s="33">
        <f>IF(T69=0,0,X69/T69)</f>
        <v>-0.89993754644128687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8">
        <v>44104.685907210645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6" t="s">
        <v>314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2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48038.560000000005</v>
      </c>
      <c r="E12" s="4"/>
      <c r="F12" s="11"/>
      <c r="G12" s="4"/>
      <c r="H12" s="4">
        <f>SUM(OSRRefH13x_0)</f>
        <v>69040</v>
      </c>
      <c r="I12" s="4"/>
      <c r="J12" s="11"/>
      <c r="K12" s="4"/>
      <c r="L12" s="4">
        <f t="shared" ref="L12:L26" si="0">+D12-H12</f>
        <v>-21001.439999999995</v>
      </c>
      <c r="M12" s="4"/>
      <c r="N12" s="11">
        <f t="shared" ref="N12:N26" si="1">IF(H12=0,0,L12/H12)</f>
        <v>-0.3041923522595596</v>
      </c>
      <c r="O12" s="10"/>
      <c r="P12" s="4">
        <f>SUM(OSRRefP13x_0)</f>
        <v>48038.560000000005</v>
      </c>
      <c r="Q12" s="4"/>
      <c r="R12" s="11"/>
      <c r="S12" s="4"/>
      <c r="T12" s="4">
        <f>SUM(OSRRefT13x_0)</f>
        <v>69040</v>
      </c>
      <c r="U12" s="4"/>
      <c r="V12" s="11"/>
      <c r="W12" s="4"/>
      <c r="X12" s="4">
        <f t="shared" ref="X12:X26" si="2">+P12-T12</f>
        <v>-21001.439999999995</v>
      </c>
      <c r="Y12" s="4"/>
      <c r="Z12" s="11">
        <f t="shared" ref="Z12:Z26" si="3">IF(T12=0,0,X12/T12)</f>
        <v>-0.3041923522595596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-770.07</f>
        <v>-770.07</v>
      </c>
      <c r="E13" s="3"/>
      <c r="F13" s="23"/>
      <c r="G13" s="3"/>
      <c r="H13" s="3">
        <v>69040</v>
      </c>
      <c r="I13" s="3"/>
      <c r="J13" s="23"/>
      <c r="K13" s="3"/>
      <c r="L13" s="3">
        <f t="shared" si="0"/>
        <v>-69810.070000000007</v>
      </c>
      <c r="M13" s="3"/>
      <c r="N13" s="23">
        <f t="shared" si="1"/>
        <v>-1.0111539687137892</v>
      </c>
      <c r="O13" s="12"/>
      <c r="P13" s="3">
        <f>-770.07</f>
        <v>-770.07</v>
      </c>
      <c r="Q13" s="3"/>
      <c r="R13" s="23"/>
      <c r="S13" s="3"/>
      <c r="T13" s="3">
        <v>69040</v>
      </c>
      <c r="U13" s="3"/>
      <c r="V13" s="23"/>
      <c r="W13" s="3"/>
      <c r="X13" s="3">
        <f t="shared" si="2"/>
        <v>-69810.070000000007</v>
      </c>
      <c r="Y13" s="3"/>
      <c r="Z13" s="23">
        <f t="shared" si="3"/>
        <v>-1.0111539687137892</v>
      </c>
    </row>
    <row r="14" spans="1:26" s="24" customFormat="1" hidden="1" outlineLevel="1" x14ac:dyDescent="0.25">
      <c r="A14" s="51"/>
      <c r="B14" s="12" t="str">
        <f>CONCATENATE("          ", "4001", " - ", "TAXABLE SALES-NEW TEXT")</f>
        <v xml:space="preserve">          4001 - TAXABLE SALES-NEW TEXT</v>
      </c>
      <c r="C14" s="12"/>
      <c r="D14" s="3">
        <f>--11947.85</f>
        <v>11947.85</v>
      </c>
      <c r="E14" s="3"/>
      <c r="F14" s="23"/>
      <c r="G14" s="3"/>
      <c r="H14" s="3"/>
      <c r="I14" s="3"/>
      <c r="J14" s="23"/>
      <c r="K14" s="3"/>
      <c r="L14" s="3">
        <f t="shared" si="0"/>
        <v>11947.85</v>
      </c>
      <c r="M14" s="3"/>
      <c r="N14" s="23">
        <f t="shared" si="1"/>
        <v>0</v>
      </c>
      <c r="O14" s="12"/>
      <c r="P14" s="3">
        <f>--11947.85</f>
        <v>11947.85</v>
      </c>
      <c r="Q14" s="3"/>
      <c r="R14" s="23"/>
      <c r="S14" s="3"/>
      <c r="T14" s="3"/>
      <c r="U14" s="3"/>
      <c r="V14" s="23"/>
      <c r="W14" s="3"/>
      <c r="X14" s="3">
        <f t="shared" si="2"/>
        <v>11947.85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"4002", " - ", "TAXABLE SALES-USED TEXT")</f>
        <v xml:space="preserve">          4002 - TAXABLE SALES-USED TEXT</v>
      </c>
      <c r="C15" s="12"/>
      <c r="D15" s="3">
        <f>--13029.34</f>
        <v>13029.34</v>
      </c>
      <c r="E15" s="3"/>
      <c r="F15" s="23"/>
      <c r="G15" s="3"/>
      <c r="H15" s="3"/>
      <c r="I15" s="3"/>
      <c r="J15" s="23"/>
      <c r="K15" s="3"/>
      <c r="L15" s="3">
        <f t="shared" si="0"/>
        <v>13029.34</v>
      </c>
      <c r="M15" s="3"/>
      <c r="N15" s="23">
        <f t="shared" si="1"/>
        <v>0</v>
      </c>
      <c r="O15" s="12"/>
      <c r="P15" s="3">
        <f>--13029.34</f>
        <v>13029.34</v>
      </c>
      <c r="Q15" s="3"/>
      <c r="R15" s="23"/>
      <c r="S15" s="3"/>
      <c r="T15" s="3"/>
      <c r="U15" s="3"/>
      <c r="V15" s="23"/>
      <c r="W15" s="3"/>
      <c r="X15" s="3">
        <f t="shared" si="2"/>
        <v>13029.34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"4014", " - ", "TAXABLE SALES-REMAINDERS")</f>
        <v xml:space="preserve">          4014 - TAXABLE SALES-REMAINDERS</v>
      </c>
      <c r="C16" s="12"/>
      <c r="D16" s="3">
        <f>--31.84</f>
        <v>31.84</v>
      </c>
      <c r="E16" s="3"/>
      <c r="F16" s="23"/>
      <c r="G16" s="3"/>
      <c r="H16" s="3"/>
      <c r="I16" s="3"/>
      <c r="J16" s="23"/>
      <c r="K16" s="3"/>
      <c r="L16" s="3">
        <f t="shared" si="0"/>
        <v>31.84</v>
      </c>
      <c r="M16" s="3"/>
      <c r="N16" s="23">
        <f t="shared" si="1"/>
        <v>0</v>
      </c>
      <c r="O16" s="12"/>
      <c r="P16" s="3">
        <f>--31.84</f>
        <v>31.84</v>
      </c>
      <c r="Q16" s="3"/>
      <c r="R16" s="23"/>
      <c r="S16" s="3"/>
      <c r="T16" s="3"/>
      <c r="U16" s="3"/>
      <c r="V16" s="23"/>
      <c r="W16" s="3"/>
      <c r="X16" s="3">
        <f t="shared" si="2"/>
        <v>31.84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"4018", " - ", "TAXABLE SALES-STUDY GUIDES")</f>
        <v xml:space="preserve">          4018 - TAXABLE SALES-STUDY GUIDES</v>
      </c>
      <c r="C17" s="12"/>
      <c r="D17" s="3">
        <f>--16.99</f>
        <v>16.989999999999998</v>
      </c>
      <c r="E17" s="3"/>
      <c r="F17" s="23"/>
      <c r="G17" s="3"/>
      <c r="H17" s="3"/>
      <c r="I17" s="3"/>
      <c r="J17" s="23"/>
      <c r="K17" s="3"/>
      <c r="L17" s="3">
        <f t="shared" si="0"/>
        <v>16.989999999999998</v>
      </c>
      <c r="M17" s="3"/>
      <c r="N17" s="23">
        <f t="shared" si="1"/>
        <v>0</v>
      </c>
      <c r="O17" s="12"/>
      <c r="P17" s="3">
        <f>--16.99</f>
        <v>16.989999999999998</v>
      </c>
      <c r="Q17" s="3"/>
      <c r="R17" s="23"/>
      <c r="S17" s="3"/>
      <c r="T17" s="3"/>
      <c r="U17" s="3"/>
      <c r="V17" s="23"/>
      <c r="W17" s="3"/>
      <c r="X17" s="3">
        <f t="shared" si="2"/>
        <v>16.989999999999998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"4100", " - ", "NON-TAXABLE SALES")</f>
        <v xml:space="preserve">          4100 - NON-TAXABLE SALES</v>
      </c>
      <c r="C18" s="12"/>
      <c r="D18" s="3">
        <f>--3038.3</f>
        <v>3038.3</v>
      </c>
      <c r="E18" s="3"/>
      <c r="F18" s="23"/>
      <c r="G18" s="3"/>
      <c r="H18" s="3"/>
      <c r="I18" s="3"/>
      <c r="J18" s="23"/>
      <c r="K18" s="3"/>
      <c r="L18" s="3">
        <f t="shared" si="0"/>
        <v>3038.3</v>
      </c>
      <c r="M18" s="3"/>
      <c r="N18" s="23">
        <f t="shared" si="1"/>
        <v>0</v>
      </c>
      <c r="O18" s="12"/>
      <c r="P18" s="3">
        <f>--3038.3</f>
        <v>3038.3</v>
      </c>
      <c r="Q18" s="3"/>
      <c r="R18" s="23"/>
      <c r="S18" s="3"/>
      <c r="T18" s="3"/>
      <c r="U18" s="3"/>
      <c r="V18" s="23"/>
      <c r="W18" s="3"/>
      <c r="X18" s="3">
        <f t="shared" si="2"/>
        <v>3038.3</v>
      </c>
      <c r="Y18" s="3"/>
      <c r="Z18" s="23">
        <f t="shared" si="3"/>
        <v>0</v>
      </c>
    </row>
    <row r="19" spans="1:26" s="24" customFormat="1" hidden="1" outlineLevel="1" x14ac:dyDescent="0.25">
      <c r="A19" s="51"/>
      <c r="B19" s="12" t="str">
        <f>CONCATENATE("          ", "4101", " - ", "NON-TAXABLE SALES-NEW TEXT")</f>
        <v xml:space="preserve">          4101 - NON-TAXABLE SALES-NEW TEXT</v>
      </c>
      <c r="C19" s="12"/>
      <c r="D19" s="3">
        <f>--10341.86</f>
        <v>10341.86</v>
      </c>
      <c r="E19" s="3"/>
      <c r="F19" s="23"/>
      <c r="G19" s="3"/>
      <c r="H19" s="3"/>
      <c r="I19" s="3"/>
      <c r="J19" s="23"/>
      <c r="K19" s="3"/>
      <c r="L19" s="3">
        <f t="shared" si="0"/>
        <v>10341.86</v>
      </c>
      <c r="M19" s="3"/>
      <c r="N19" s="23">
        <f t="shared" si="1"/>
        <v>0</v>
      </c>
      <c r="O19" s="12"/>
      <c r="P19" s="3">
        <f>--10341.86</f>
        <v>10341.86</v>
      </c>
      <c r="Q19" s="3"/>
      <c r="R19" s="23"/>
      <c r="S19" s="3"/>
      <c r="T19" s="3"/>
      <c r="U19" s="3"/>
      <c r="V19" s="23"/>
      <c r="W19" s="3"/>
      <c r="X19" s="3">
        <f t="shared" si="2"/>
        <v>10341.86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"4102", " - ", "NON-TAXABLE SALES-USED TEXT")</f>
        <v xml:space="preserve">          4102 - NON-TAXABLE SALES-USED TEXT</v>
      </c>
      <c r="C20" s="12"/>
      <c r="D20" s="3">
        <f>--4190.44</f>
        <v>4190.4399999999996</v>
      </c>
      <c r="E20" s="3"/>
      <c r="F20" s="23"/>
      <c r="G20" s="3"/>
      <c r="H20" s="3"/>
      <c r="I20" s="3"/>
      <c r="J20" s="23"/>
      <c r="K20" s="3"/>
      <c r="L20" s="3">
        <f t="shared" si="0"/>
        <v>4190.4399999999996</v>
      </c>
      <c r="M20" s="3"/>
      <c r="N20" s="23">
        <f t="shared" si="1"/>
        <v>0</v>
      </c>
      <c r="O20" s="12"/>
      <c r="P20" s="3">
        <f>--4190.44</f>
        <v>4190.4399999999996</v>
      </c>
      <c r="Q20" s="3"/>
      <c r="R20" s="23"/>
      <c r="S20" s="3"/>
      <c r="T20" s="3"/>
      <c r="U20" s="3"/>
      <c r="V20" s="23"/>
      <c r="W20" s="3"/>
      <c r="X20" s="3">
        <f t="shared" si="2"/>
        <v>4190.4399999999996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"4104", " - ", "NON-TAXABLE SALES-DIGITAL TEXT")</f>
        <v xml:space="preserve">          4104 - NON-TAXABLE SALES-DIGITAL TEXT</v>
      </c>
      <c r="C21" s="12"/>
      <c r="D21" s="3">
        <f>--7485.52</f>
        <v>7485.52</v>
      </c>
      <c r="E21" s="3"/>
      <c r="F21" s="23"/>
      <c r="G21" s="3"/>
      <c r="H21" s="3"/>
      <c r="I21" s="3"/>
      <c r="J21" s="23"/>
      <c r="K21" s="3"/>
      <c r="L21" s="3">
        <f t="shared" si="0"/>
        <v>7485.52</v>
      </c>
      <c r="M21" s="3"/>
      <c r="N21" s="23">
        <f t="shared" si="1"/>
        <v>0</v>
      </c>
      <c r="O21" s="12"/>
      <c r="P21" s="3">
        <f>--7485.52</f>
        <v>7485.52</v>
      </c>
      <c r="Q21" s="3"/>
      <c r="R21" s="23"/>
      <c r="S21" s="3"/>
      <c r="T21" s="3"/>
      <c r="U21" s="3"/>
      <c r="V21" s="23"/>
      <c r="W21" s="3"/>
      <c r="X21" s="3">
        <f t="shared" si="2"/>
        <v>7485.52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"4118", " - ", "NON-TAXABLE SALES-STUDY GUIDES")</f>
        <v xml:space="preserve">          4118 - NON-TAXABLE SALES-STUDY GUIDES</v>
      </c>
      <c r="C22" s="12"/>
      <c r="D22" s="3">
        <f>--53.96</f>
        <v>53.96</v>
      </c>
      <c r="E22" s="3"/>
      <c r="F22" s="23"/>
      <c r="G22" s="3"/>
      <c r="H22" s="3"/>
      <c r="I22" s="3"/>
      <c r="J22" s="23"/>
      <c r="K22" s="3"/>
      <c r="L22" s="3">
        <f t="shared" si="0"/>
        <v>53.96</v>
      </c>
      <c r="M22" s="3"/>
      <c r="N22" s="23">
        <f t="shared" si="1"/>
        <v>0</v>
      </c>
      <c r="O22" s="12"/>
      <c r="P22" s="3">
        <f>--53.96</f>
        <v>53.96</v>
      </c>
      <c r="Q22" s="3"/>
      <c r="R22" s="23"/>
      <c r="S22" s="3"/>
      <c r="T22" s="3"/>
      <c r="U22" s="3"/>
      <c r="V22" s="23"/>
      <c r="W22" s="3"/>
      <c r="X22" s="3">
        <f t="shared" si="2"/>
        <v>53.96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"4201", " - ", "SALES RETURN TAXABLE-NEW TEXT")</f>
        <v xml:space="preserve">          4201 - SALES RETURN TAXABLE-NEW TEXT</v>
      </c>
      <c r="C23" s="12"/>
      <c r="D23" s="3">
        <f>-633.4</f>
        <v>-633.4</v>
      </c>
      <c r="E23" s="3"/>
      <c r="F23" s="23"/>
      <c r="G23" s="3"/>
      <c r="H23" s="3"/>
      <c r="I23" s="3"/>
      <c r="J23" s="23"/>
      <c r="K23" s="3"/>
      <c r="L23" s="3">
        <f t="shared" si="0"/>
        <v>-633.4</v>
      </c>
      <c r="M23" s="3"/>
      <c r="N23" s="23">
        <f t="shared" si="1"/>
        <v>0</v>
      </c>
      <c r="O23" s="12"/>
      <c r="P23" s="3">
        <f>-633.4</f>
        <v>-633.4</v>
      </c>
      <c r="Q23" s="3"/>
      <c r="R23" s="23"/>
      <c r="S23" s="3"/>
      <c r="T23" s="3"/>
      <c r="U23" s="3"/>
      <c r="V23" s="23"/>
      <c r="W23" s="3"/>
      <c r="X23" s="3">
        <f t="shared" si="2"/>
        <v>-633.4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"4202", " - ", "SALES RETURN TAXABLE-USED TEXT")</f>
        <v xml:space="preserve">          4202 - SALES RETURN TAXABLE-USED TEXT</v>
      </c>
      <c r="C24" s="12"/>
      <c r="D24" s="3">
        <f>-178.35</f>
        <v>-178.35</v>
      </c>
      <c r="E24" s="3"/>
      <c r="F24" s="23"/>
      <c r="G24" s="3"/>
      <c r="H24" s="3"/>
      <c r="I24" s="3"/>
      <c r="J24" s="23"/>
      <c r="K24" s="3"/>
      <c r="L24" s="3">
        <f t="shared" si="0"/>
        <v>-178.35</v>
      </c>
      <c r="M24" s="3"/>
      <c r="N24" s="23">
        <f t="shared" si="1"/>
        <v>0</v>
      </c>
      <c r="O24" s="12"/>
      <c r="P24" s="3">
        <f>-178.35</f>
        <v>-178.35</v>
      </c>
      <c r="Q24" s="3"/>
      <c r="R24" s="23"/>
      <c r="S24" s="3"/>
      <c r="T24" s="3"/>
      <c r="U24" s="3"/>
      <c r="V24" s="23"/>
      <c r="W24" s="3"/>
      <c r="X24" s="3">
        <f t="shared" si="2"/>
        <v>-178.35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"4302", " - ", "SALES RETURN NON TAXABLE-TEXT")</f>
        <v xml:space="preserve">          4302 - SALES RETURN NON TAXABLE-TEXT</v>
      </c>
      <c r="C25" s="12"/>
      <c r="D25" s="3">
        <f>-63.67</f>
        <v>-63.67</v>
      </c>
      <c r="E25" s="3"/>
      <c r="F25" s="23"/>
      <c r="G25" s="3"/>
      <c r="H25" s="3"/>
      <c r="I25" s="3"/>
      <c r="J25" s="23"/>
      <c r="K25" s="3"/>
      <c r="L25" s="3">
        <f t="shared" si="0"/>
        <v>-63.67</v>
      </c>
      <c r="M25" s="3"/>
      <c r="N25" s="23">
        <f t="shared" si="1"/>
        <v>0</v>
      </c>
      <c r="O25" s="12"/>
      <c r="P25" s="3">
        <f>-63.67</f>
        <v>-63.67</v>
      </c>
      <c r="Q25" s="3"/>
      <c r="R25" s="23"/>
      <c r="S25" s="3"/>
      <c r="T25" s="3"/>
      <c r="U25" s="3"/>
      <c r="V25" s="23"/>
      <c r="W25" s="3"/>
      <c r="X25" s="3">
        <f t="shared" si="2"/>
        <v>-63.67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"4304", " - ", "SALES RETURN NON TAXABLE-DIGIT")</f>
        <v xml:space="preserve">          4304 - SALES RETURN NON TAXABLE-DIGIT</v>
      </c>
      <c r="C26" s="12"/>
      <c r="D26" s="3">
        <f>-452.05</f>
        <v>-452.05</v>
      </c>
      <c r="E26" s="3"/>
      <c r="F26" s="23"/>
      <c r="G26" s="3"/>
      <c r="H26" s="3"/>
      <c r="I26" s="3"/>
      <c r="J26" s="23"/>
      <c r="K26" s="3"/>
      <c r="L26" s="3">
        <f t="shared" si="0"/>
        <v>-452.05</v>
      </c>
      <c r="M26" s="3"/>
      <c r="N26" s="23">
        <f t="shared" si="1"/>
        <v>0</v>
      </c>
      <c r="O26" s="12"/>
      <c r="P26" s="3">
        <f>-452.05</f>
        <v>-452.05</v>
      </c>
      <c r="Q26" s="3"/>
      <c r="R26" s="23"/>
      <c r="S26" s="3"/>
      <c r="T26" s="3"/>
      <c r="U26" s="3"/>
      <c r="V26" s="23"/>
      <c r="W26" s="3"/>
      <c r="X26" s="3">
        <f t="shared" si="2"/>
        <v>-452.05</v>
      </c>
      <c r="Y26" s="3"/>
      <c r="Z26" s="23">
        <f t="shared" si="3"/>
        <v>0</v>
      </c>
    </row>
    <row r="27" spans="1:26" x14ac:dyDescent="0.25">
      <c r="A27" s="9"/>
      <c r="B27" s="10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2" customFormat="1" collapsed="1" x14ac:dyDescent="0.25">
      <c r="A28" s="10"/>
      <c r="B28" s="26" t="s">
        <v>8</v>
      </c>
      <c r="C28" s="10"/>
      <c r="D28" s="4">
        <f>SUM(OSRRefD16x_0)</f>
        <v>30817.280000000042</v>
      </c>
      <c r="E28" s="4"/>
      <c r="F28" s="11">
        <f t="shared" ref="F28:F39" si="4">IF(D$12=0,0,D28/D$12)</f>
        <v>0.64151131924021121</v>
      </c>
      <c r="G28" s="4"/>
      <c r="H28" s="4">
        <f>SUM(OSRRefH16x_0)</f>
        <v>50333</v>
      </c>
      <c r="I28" s="4"/>
      <c r="J28" s="11">
        <f t="shared" ref="J28:J39" si="5">IF(H$12=0,0,H28/H$12)</f>
        <v>0.72904113557358052</v>
      </c>
      <c r="K28" s="4"/>
      <c r="L28" s="4">
        <f t="shared" ref="L28:L39" si="6">+D28-H28</f>
        <v>-19515.719999999958</v>
      </c>
      <c r="M28" s="4"/>
      <c r="N28" s="11">
        <f t="shared" ref="N28:N39" si="7">IF(H28=0,0,L28/H28)</f>
        <v>-0.38773210418611959</v>
      </c>
      <c r="O28" s="10"/>
      <c r="P28" s="4">
        <f>SUM(OSRRefP16x_0)</f>
        <v>30817.280000000042</v>
      </c>
      <c r="Q28" s="4"/>
      <c r="R28" s="11">
        <f t="shared" ref="R28:R39" si="8">IF(P$12=0,0,P28/P$12)</f>
        <v>0.64151131924021121</v>
      </c>
      <c r="S28" s="4"/>
      <c r="T28" s="4">
        <f>SUM(OSRRefT16x_0)</f>
        <v>50333</v>
      </c>
      <c r="U28" s="4"/>
      <c r="V28" s="11">
        <f t="shared" ref="V28:V39" si="9">IF(T$12=0,0,T28/T$12)</f>
        <v>0.72904113557358052</v>
      </c>
      <c r="W28" s="4"/>
      <c r="X28" s="4">
        <f t="shared" ref="X28:X39" si="10">+P28-T28</f>
        <v>-19515.719999999958</v>
      </c>
      <c r="Y28" s="4"/>
      <c r="Z28" s="11">
        <f t="shared" ref="Z28:Z39" si="11">IF(T28=0,0,X28/T28)</f>
        <v>-0.38773210418611959</v>
      </c>
    </row>
    <row r="29" spans="1:26" s="24" customFormat="1" hidden="1" outlineLevel="1" x14ac:dyDescent="0.25">
      <c r="A29" s="51"/>
      <c r="B29" s="12" t="str">
        <f>CONCATENATE("          ", "5000", " - ", "PURCHASES @ COST")</f>
        <v xml:space="preserve">          5000 - PURCHASES @ COST</v>
      </c>
      <c r="C29" s="12"/>
      <c r="D29" s="3"/>
      <c r="E29" s="3"/>
      <c r="F29" s="23">
        <f t="shared" si="4"/>
        <v>0</v>
      </c>
      <c r="G29" s="3"/>
      <c r="H29" s="3">
        <v>50333</v>
      </c>
      <c r="I29" s="3"/>
      <c r="J29" s="23">
        <f t="shared" si="5"/>
        <v>0.72904113557358052</v>
      </c>
      <c r="K29" s="3"/>
      <c r="L29" s="3">
        <f t="shared" si="6"/>
        <v>-50333</v>
      </c>
      <c r="M29" s="3"/>
      <c r="N29" s="23">
        <f t="shared" si="7"/>
        <v>-1</v>
      </c>
      <c r="O29" s="12"/>
      <c r="P29" s="3"/>
      <c r="Q29" s="3"/>
      <c r="R29" s="23">
        <f t="shared" si="8"/>
        <v>0</v>
      </c>
      <c r="S29" s="3"/>
      <c r="T29" s="3">
        <v>50333</v>
      </c>
      <c r="U29" s="3"/>
      <c r="V29" s="23">
        <f t="shared" si="9"/>
        <v>0.72904113557358052</v>
      </c>
      <c r="W29" s="3"/>
      <c r="X29" s="3">
        <f t="shared" si="10"/>
        <v>-50333</v>
      </c>
      <c r="Y29" s="3"/>
      <c r="Z29" s="23">
        <f t="shared" si="11"/>
        <v>-1</v>
      </c>
    </row>
    <row r="30" spans="1:26" s="24" customFormat="1" hidden="1" outlineLevel="1" x14ac:dyDescent="0.25">
      <c r="A30" s="51"/>
      <c r="B30" s="12" t="str">
        <f>CONCATENATE("          ", "5001", " - ", "PURCHASES @ COST-NEW TEXT")</f>
        <v xml:space="preserve">          5001 - PURCHASES @ COST-NEW TEXT</v>
      </c>
      <c r="C30" s="12"/>
      <c r="D30" s="3">
        <v>153110.63</v>
      </c>
      <c r="E30" s="3"/>
      <c r="F30" s="23">
        <f t="shared" si="4"/>
        <v>3.187244372021143</v>
      </c>
      <c r="G30" s="3"/>
      <c r="H30" s="3"/>
      <c r="I30" s="3"/>
      <c r="J30" s="23">
        <f t="shared" si="5"/>
        <v>0</v>
      </c>
      <c r="K30" s="3"/>
      <c r="L30" s="3">
        <f t="shared" si="6"/>
        <v>153110.63</v>
      </c>
      <c r="M30" s="3"/>
      <c r="N30" s="23">
        <f t="shared" si="7"/>
        <v>0</v>
      </c>
      <c r="O30" s="12"/>
      <c r="P30" s="3">
        <v>153110.63</v>
      </c>
      <c r="Q30" s="3"/>
      <c r="R30" s="23">
        <f t="shared" si="8"/>
        <v>3.187244372021143</v>
      </c>
      <c r="S30" s="3"/>
      <c r="T30" s="3"/>
      <c r="U30" s="3"/>
      <c r="V30" s="23">
        <f t="shared" si="9"/>
        <v>0</v>
      </c>
      <c r="W30" s="3"/>
      <c r="X30" s="3">
        <f t="shared" si="10"/>
        <v>153110.63</v>
      </c>
      <c r="Y30" s="3"/>
      <c r="Z30" s="23">
        <f t="shared" si="11"/>
        <v>0</v>
      </c>
    </row>
    <row r="31" spans="1:26" s="24" customFormat="1" hidden="1" outlineLevel="1" x14ac:dyDescent="0.25">
      <c r="A31" s="51"/>
      <c r="B31" s="12" t="str">
        <f>CONCATENATE("          ", "5002", " - ", "PURCHASES @ COST-USED TEXT")</f>
        <v xml:space="preserve">          5002 - PURCHASES @ COST-USED TEXT</v>
      </c>
      <c r="C31" s="12"/>
      <c r="D31" s="3">
        <v>60324.850000000006</v>
      </c>
      <c r="E31" s="3"/>
      <c r="F31" s="23">
        <f t="shared" si="4"/>
        <v>1.2557589153380118</v>
      </c>
      <c r="G31" s="3"/>
      <c r="H31" s="3"/>
      <c r="I31" s="3"/>
      <c r="J31" s="23">
        <f t="shared" si="5"/>
        <v>0</v>
      </c>
      <c r="K31" s="3"/>
      <c r="L31" s="3">
        <f t="shared" si="6"/>
        <v>60324.850000000006</v>
      </c>
      <c r="M31" s="3"/>
      <c r="N31" s="23">
        <f t="shared" si="7"/>
        <v>0</v>
      </c>
      <c r="O31" s="12"/>
      <c r="P31" s="3">
        <v>60324.850000000006</v>
      </c>
      <c r="Q31" s="3"/>
      <c r="R31" s="23">
        <f t="shared" si="8"/>
        <v>1.2557589153380118</v>
      </c>
      <c r="S31" s="3"/>
      <c r="T31" s="3"/>
      <c r="U31" s="3"/>
      <c r="V31" s="23">
        <f t="shared" si="9"/>
        <v>0</v>
      </c>
      <c r="W31" s="3"/>
      <c r="X31" s="3">
        <f t="shared" si="10"/>
        <v>60324.850000000006</v>
      </c>
      <c r="Y31" s="3"/>
      <c r="Z31" s="23">
        <f t="shared" si="11"/>
        <v>0</v>
      </c>
    </row>
    <row r="32" spans="1:26" s="24" customFormat="1" hidden="1" outlineLevel="1" x14ac:dyDescent="0.25">
      <c r="A32" s="51"/>
      <c r="B32" s="12" t="str">
        <f>CONCATENATE("          ", "5003", " - ", "PURCHASES @ COST-RENTAL TEXT")</f>
        <v xml:space="preserve">          5003 - PURCHASES @ COST-RENTAL TEXT</v>
      </c>
      <c r="C32" s="12"/>
      <c r="D32" s="3">
        <v>-11926.64</v>
      </c>
      <c r="E32" s="3"/>
      <c r="F32" s="23">
        <f t="shared" si="4"/>
        <v>-0.24827222131554313</v>
      </c>
      <c r="G32" s="3"/>
      <c r="H32" s="3"/>
      <c r="I32" s="3"/>
      <c r="J32" s="23">
        <f t="shared" si="5"/>
        <v>0</v>
      </c>
      <c r="K32" s="3"/>
      <c r="L32" s="3">
        <f t="shared" si="6"/>
        <v>-11926.64</v>
      </c>
      <c r="M32" s="3"/>
      <c r="N32" s="23">
        <f t="shared" si="7"/>
        <v>0</v>
      </c>
      <c r="O32" s="12"/>
      <c r="P32" s="3">
        <v>-11926.64</v>
      </c>
      <c r="Q32" s="3"/>
      <c r="R32" s="23">
        <f t="shared" si="8"/>
        <v>-0.24827222131554313</v>
      </c>
      <c r="S32" s="3"/>
      <c r="T32" s="3"/>
      <c r="U32" s="3"/>
      <c r="V32" s="23">
        <f t="shared" si="9"/>
        <v>0</v>
      </c>
      <c r="W32" s="3"/>
      <c r="X32" s="3">
        <f t="shared" si="10"/>
        <v>-11926.64</v>
      </c>
      <c r="Y32" s="3"/>
      <c r="Z32" s="23">
        <f t="shared" si="11"/>
        <v>0</v>
      </c>
    </row>
    <row r="33" spans="1:26" s="24" customFormat="1" hidden="1" outlineLevel="1" x14ac:dyDescent="0.25">
      <c r="A33" s="51"/>
      <c r="B33" s="12" t="str">
        <f>CONCATENATE("          ", "5004", " - ", "PURCHASES @ COST-DIGITAL TEXT")</f>
        <v xml:space="preserve">          5004 - PURCHASES @ COST-DIGITAL TEXT</v>
      </c>
      <c r="C33" s="12"/>
      <c r="D33" s="3">
        <v>4925.4799999999996</v>
      </c>
      <c r="E33" s="3"/>
      <c r="F33" s="23">
        <f t="shared" si="4"/>
        <v>0.10253179945443824</v>
      </c>
      <c r="G33" s="3"/>
      <c r="H33" s="3"/>
      <c r="I33" s="3"/>
      <c r="J33" s="23">
        <f t="shared" si="5"/>
        <v>0</v>
      </c>
      <c r="K33" s="3"/>
      <c r="L33" s="3">
        <f t="shared" si="6"/>
        <v>4925.4799999999996</v>
      </c>
      <c r="M33" s="3"/>
      <c r="N33" s="23">
        <f t="shared" si="7"/>
        <v>0</v>
      </c>
      <c r="O33" s="12"/>
      <c r="P33" s="3">
        <v>4925.4799999999996</v>
      </c>
      <c r="Q33" s="3"/>
      <c r="R33" s="23">
        <f t="shared" si="8"/>
        <v>0.10253179945443824</v>
      </c>
      <c r="S33" s="3"/>
      <c r="T33" s="3"/>
      <c r="U33" s="3"/>
      <c r="V33" s="23">
        <f t="shared" si="9"/>
        <v>0</v>
      </c>
      <c r="W33" s="3"/>
      <c r="X33" s="3">
        <f t="shared" si="10"/>
        <v>4925.4799999999996</v>
      </c>
      <c r="Y33" s="3"/>
      <c r="Z33" s="23">
        <f t="shared" si="11"/>
        <v>0</v>
      </c>
    </row>
    <row r="34" spans="1:26" s="24" customFormat="1" hidden="1" outlineLevel="1" x14ac:dyDescent="0.25">
      <c r="A34" s="51"/>
      <c r="B34" s="12" t="str">
        <f>CONCATENATE("          ", "5013", " - ", "PURCHASES @ COST-TRADE BOOKS")</f>
        <v xml:space="preserve">          5013 - PURCHASES @ COST-TRADE BOOKS</v>
      </c>
      <c r="C34" s="12"/>
      <c r="D34" s="3">
        <v>108.54</v>
      </c>
      <c r="E34" s="3"/>
      <c r="F34" s="23">
        <f t="shared" si="4"/>
        <v>2.2594349206137734E-3</v>
      </c>
      <c r="G34" s="3"/>
      <c r="H34" s="3"/>
      <c r="I34" s="3"/>
      <c r="J34" s="23">
        <f t="shared" si="5"/>
        <v>0</v>
      </c>
      <c r="K34" s="3"/>
      <c r="L34" s="3">
        <f t="shared" si="6"/>
        <v>108.54</v>
      </c>
      <c r="M34" s="3"/>
      <c r="N34" s="23">
        <f t="shared" si="7"/>
        <v>0</v>
      </c>
      <c r="O34" s="12"/>
      <c r="P34" s="3">
        <v>108.54</v>
      </c>
      <c r="Q34" s="3"/>
      <c r="R34" s="23">
        <f t="shared" si="8"/>
        <v>2.2594349206137734E-3</v>
      </c>
      <c r="S34" s="3"/>
      <c r="T34" s="3"/>
      <c r="U34" s="3"/>
      <c r="V34" s="23">
        <f t="shared" si="9"/>
        <v>0</v>
      </c>
      <c r="W34" s="3"/>
      <c r="X34" s="3">
        <f t="shared" si="10"/>
        <v>108.54</v>
      </c>
      <c r="Y34" s="3"/>
      <c r="Z34" s="23">
        <f t="shared" si="11"/>
        <v>0</v>
      </c>
    </row>
    <row r="35" spans="1:26" s="24" customFormat="1" hidden="1" outlineLevel="1" x14ac:dyDescent="0.25">
      <c r="A35" s="51"/>
      <c r="B35" s="12" t="str">
        <f>CONCATENATE("          ", "5014", " - ", "PURCHASES @ COST-REMAINDERS")</f>
        <v xml:space="preserve">          5014 - PURCHASES @ COST-REMAINDERS</v>
      </c>
      <c r="C35" s="12"/>
      <c r="D35" s="3">
        <v>-12.51</v>
      </c>
      <c r="E35" s="3"/>
      <c r="F35" s="23">
        <f t="shared" si="4"/>
        <v>-2.6041579930788931E-4</v>
      </c>
      <c r="G35" s="3"/>
      <c r="H35" s="3"/>
      <c r="I35" s="3"/>
      <c r="J35" s="23">
        <f t="shared" si="5"/>
        <v>0</v>
      </c>
      <c r="K35" s="3"/>
      <c r="L35" s="3">
        <f t="shared" si="6"/>
        <v>-12.51</v>
      </c>
      <c r="M35" s="3"/>
      <c r="N35" s="23">
        <f t="shared" si="7"/>
        <v>0</v>
      </c>
      <c r="O35" s="12"/>
      <c r="P35" s="3">
        <v>-12.51</v>
      </c>
      <c r="Q35" s="3"/>
      <c r="R35" s="23">
        <f t="shared" si="8"/>
        <v>-2.6041579930788931E-4</v>
      </c>
      <c r="S35" s="3"/>
      <c r="T35" s="3"/>
      <c r="U35" s="3"/>
      <c r="V35" s="23">
        <f t="shared" si="9"/>
        <v>0</v>
      </c>
      <c r="W35" s="3"/>
      <c r="X35" s="3">
        <f t="shared" si="10"/>
        <v>-12.51</v>
      </c>
      <c r="Y35" s="3"/>
      <c r="Z35" s="23">
        <f t="shared" si="11"/>
        <v>0</v>
      </c>
    </row>
    <row r="36" spans="1:26" s="24" customFormat="1" hidden="1" outlineLevel="1" x14ac:dyDescent="0.25">
      <c r="A36" s="51"/>
      <c r="B36" s="12" t="str">
        <f>CONCATENATE("          ", "5200", " - ", "PURCHASES OFFSET")</f>
        <v xml:space="preserve">          5200 - PURCHASES OFFSET</v>
      </c>
      <c r="C36" s="12"/>
      <c r="D36" s="3">
        <v>-202651.68</v>
      </c>
      <c r="E36" s="3"/>
      <c r="F36" s="23">
        <f t="shared" si="4"/>
        <v>-4.2185211213658356</v>
      </c>
      <c r="G36" s="3"/>
      <c r="H36" s="3"/>
      <c r="I36" s="3"/>
      <c r="J36" s="23">
        <f t="shared" si="5"/>
        <v>0</v>
      </c>
      <c r="K36" s="3"/>
      <c r="L36" s="3">
        <f t="shared" si="6"/>
        <v>-202651.68</v>
      </c>
      <c r="M36" s="3"/>
      <c r="N36" s="23">
        <f t="shared" si="7"/>
        <v>0</v>
      </c>
      <c r="O36" s="12"/>
      <c r="P36" s="3">
        <v>-202651.68</v>
      </c>
      <c r="Q36" s="3"/>
      <c r="R36" s="23">
        <f t="shared" si="8"/>
        <v>-4.2185211213658356</v>
      </c>
      <c r="S36" s="3"/>
      <c r="T36" s="3"/>
      <c r="U36" s="3"/>
      <c r="V36" s="23">
        <f t="shared" si="9"/>
        <v>0</v>
      </c>
      <c r="W36" s="3"/>
      <c r="X36" s="3">
        <f t="shared" si="10"/>
        <v>-202651.68</v>
      </c>
      <c r="Y36" s="3"/>
      <c r="Z36" s="23">
        <f t="shared" si="11"/>
        <v>0</v>
      </c>
    </row>
    <row r="37" spans="1:26" s="24" customFormat="1" hidden="1" outlineLevel="1" x14ac:dyDescent="0.25">
      <c r="A37" s="51"/>
      <c r="B37" s="12" t="str">
        <f>CONCATENATE("          ", "5300", " - ", "COG$ OFFSET")</f>
        <v xml:space="preserve">          5300 - COG$ OFFSET</v>
      </c>
      <c r="C37" s="12"/>
      <c r="D37" s="3">
        <v>26088</v>
      </c>
      <c r="E37" s="3"/>
      <c r="F37" s="23">
        <f t="shared" si="4"/>
        <v>0.54306373879650005</v>
      </c>
      <c r="G37" s="3"/>
      <c r="H37" s="3"/>
      <c r="I37" s="3"/>
      <c r="J37" s="23">
        <f t="shared" si="5"/>
        <v>0</v>
      </c>
      <c r="K37" s="3"/>
      <c r="L37" s="3">
        <f t="shared" si="6"/>
        <v>26088</v>
      </c>
      <c r="M37" s="3"/>
      <c r="N37" s="23">
        <f t="shared" si="7"/>
        <v>0</v>
      </c>
      <c r="O37" s="12"/>
      <c r="P37" s="3">
        <v>26088</v>
      </c>
      <c r="Q37" s="3"/>
      <c r="R37" s="23">
        <f t="shared" si="8"/>
        <v>0.54306373879650005</v>
      </c>
      <c r="S37" s="3"/>
      <c r="T37" s="3"/>
      <c r="U37" s="3"/>
      <c r="V37" s="23">
        <f t="shared" si="9"/>
        <v>0</v>
      </c>
      <c r="W37" s="3"/>
      <c r="X37" s="3">
        <f t="shared" si="10"/>
        <v>26088</v>
      </c>
      <c r="Y37" s="3"/>
      <c r="Z37" s="23">
        <f t="shared" si="11"/>
        <v>0</v>
      </c>
    </row>
    <row r="38" spans="1:26" s="24" customFormat="1" hidden="1" outlineLevel="1" x14ac:dyDescent="0.25">
      <c r="A38" s="51"/>
      <c r="B38" s="12" t="str">
        <f>CONCATENATE("          ", "5501", " - ", "FREIGHT-IN-NEW TEXT")</f>
        <v xml:space="preserve">          5501 - FREIGHT-IN-NEW TEXT</v>
      </c>
      <c r="C38" s="12"/>
      <c r="D38" s="3">
        <v>802.72</v>
      </c>
      <c r="E38" s="3"/>
      <c r="F38" s="23">
        <f t="shared" si="4"/>
        <v>1.6709909705869618E-2</v>
      </c>
      <c r="G38" s="3"/>
      <c r="H38" s="3"/>
      <c r="I38" s="3"/>
      <c r="J38" s="23">
        <f t="shared" si="5"/>
        <v>0</v>
      </c>
      <c r="K38" s="3"/>
      <c r="L38" s="3">
        <f t="shared" si="6"/>
        <v>802.72</v>
      </c>
      <c r="M38" s="3"/>
      <c r="N38" s="23">
        <f t="shared" si="7"/>
        <v>0</v>
      </c>
      <c r="O38" s="12"/>
      <c r="P38" s="3">
        <v>802.72</v>
      </c>
      <c r="Q38" s="3"/>
      <c r="R38" s="23">
        <f t="shared" si="8"/>
        <v>1.6709909705869618E-2</v>
      </c>
      <c r="S38" s="3"/>
      <c r="T38" s="3"/>
      <c r="U38" s="3"/>
      <c r="V38" s="23">
        <f t="shared" si="9"/>
        <v>0</v>
      </c>
      <c r="W38" s="3"/>
      <c r="X38" s="3">
        <f t="shared" si="10"/>
        <v>802.72</v>
      </c>
      <c r="Y38" s="3"/>
      <c r="Z38" s="23">
        <f t="shared" si="11"/>
        <v>0</v>
      </c>
    </row>
    <row r="39" spans="1:26" s="24" customFormat="1" hidden="1" outlineLevel="1" x14ac:dyDescent="0.25">
      <c r="A39" s="51"/>
      <c r="B39" s="12" t="str">
        <f>CONCATENATE("          ", "5502", " - ", "FREIGHT-IN-USED TEXT")</f>
        <v xml:space="preserve">          5502 - FREIGHT-IN-USED TEXT</v>
      </c>
      <c r="C39" s="12"/>
      <c r="D39" s="3">
        <v>47.89</v>
      </c>
      <c r="E39" s="3"/>
      <c r="F39" s="23">
        <f t="shared" si="4"/>
        <v>9.9690748432092885E-4</v>
      </c>
      <c r="G39" s="3"/>
      <c r="H39" s="3"/>
      <c r="I39" s="3"/>
      <c r="J39" s="23">
        <f t="shared" si="5"/>
        <v>0</v>
      </c>
      <c r="K39" s="3"/>
      <c r="L39" s="3">
        <f t="shared" si="6"/>
        <v>47.89</v>
      </c>
      <c r="M39" s="3"/>
      <c r="N39" s="23">
        <f t="shared" si="7"/>
        <v>0</v>
      </c>
      <c r="O39" s="12"/>
      <c r="P39" s="3">
        <v>47.89</v>
      </c>
      <c r="Q39" s="3"/>
      <c r="R39" s="23">
        <f t="shared" si="8"/>
        <v>9.9690748432092885E-4</v>
      </c>
      <c r="S39" s="3"/>
      <c r="T39" s="3"/>
      <c r="U39" s="3"/>
      <c r="V39" s="23">
        <f t="shared" si="9"/>
        <v>0</v>
      </c>
      <c r="W39" s="3"/>
      <c r="X39" s="3">
        <f t="shared" si="10"/>
        <v>47.89</v>
      </c>
      <c r="Y39" s="3"/>
      <c r="Z39" s="23">
        <f t="shared" si="11"/>
        <v>0</v>
      </c>
    </row>
    <row r="40" spans="1:26" x14ac:dyDescent="0.25">
      <c r="A40" s="9"/>
      <c r="B40" s="10"/>
      <c r="C40" s="10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O40" s="10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22" customFormat="1" x14ac:dyDescent="0.25">
      <c r="A41" s="10"/>
      <c r="B41" s="25" t="s">
        <v>6</v>
      </c>
      <c r="C41" s="25"/>
      <c r="D41" s="21">
        <f>D12-D28</f>
        <v>17221.279999999962</v>
      </c>
      <c r="E41" s="13"/>
      <c r="F41" s="20">
        <f>IF(D$12=0,0,D41/D$12)</f>
        <v>0.35848868075978879</v>
      </c>
      <c r="G41" s="13"/>
      <c r="H41" s="21">
        <f>H12-H28</f>
        <v>18707</v>
      </c>
      <c r="I41" s="13"/>
      <c r="J41" s="20">
        <f>IF(H$12=0,0,H41/H$12)</f>
        <v>0.27095886442641948</v>
      </c>
      <c r="K41" s="15"/>
      <c r="L41" s="21">
        <f>+D41-H41</f>
        <v>-1485.7200000000375</v>
      </c>
      <c r="M41" s="15"/>
      <c r="N41" s="20">
        <f>IF(H41=0,0,L41/H41)</f>
        <v>-7.9420537766613439E-2</v>
      </c>
      <c r="O41" s="26"/>
      <c r="P41" s="21">
        <f>P12-P28</f>
        <v>17221.279999999962</v>
      </c>
      <c r="Q41" s="13"/>
      <c r="R41" s="20">
        <f>IF(P$12=0,0,P41/P$12)</f>
        <v>0.35848868075978879</v>
      </c>
      <c r="S41" s="13"/>
      <c r="T41" s="21">
        <f>T12-T28</f>
        <v>18707</v>
      </c>
      <c r="U41" s="13"/>
      <c r="V41" s="20">
        <f>IF(T$12=0,0,T41/T$12)</f>
        <v>0.27095886442641948</v>
      </c>
      <c r="W41" s="15"/>
      <c r="X41" s="21">
        <f>+P41-T41</f>
        <v>-1485.7200000000375</v>
      </c>
      <c r="Y41" s="15"/>
      <c r="Z41" s="20">
        <f>IF(T41=0,0,X41/T41)</f>
        <v>-7.9420537766613439E-2</v>
      </c>
    </row>
    <row r="42" spans="1:26" x14ac:dyDescent="0.25">
      <c r="A42" s="9"/>
      <c r="B42" s="10"/>
      <c r="C42" s="9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6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2" customFormat="1" x14ac:dyDescent="0.25">
      <c r="A43" s="10"/>
      <c r="B43" s="26" t="s">
        <v>9</v>
      </c>
      <c r="C43" s="10"/>
      <c r="D43" s="19">
        <f>SUM(OSRRefD22x_0)</f>
        <v>40144.11</v>
      </c>
      <c r="E43" s="19"/>
      <c r="F43" s="31">
        <f t="shared" ref="F43:F54" si="12">IF(D$12=0,0,D43/D$12)</f>
        <v>0.83566430800590186</v>
      </c>
      <c r="G43" s="19"/>
      <c r="H43" s="19">
        <f>SUM(OSRRefH22x_0)</f>
        <v>45788.394117326941</v>
      </c>
      <c r="I43" s="19"/>
      <c r="J43" s="31">
        <f t="shared" ref="J43:J54" si="13">IF(H$12=0,0,H43/H$12)</f>
        <v>0.66321544202385485</v>
      </c>
      <c r="K43" s="4"/>
      <c r="L43" s="19">
        <f t="shared" ref="L43:L54" si="14">+D43-H43</f>
        <v>-5644.2841173269408</v>
      </c>
      <c r="M43" s="4"/>
      <c r="N43" s="31">
        <f t="shared" ref="N43:N54" si="15">IF(H43=0,0,L43/H43)</f>
        <v>-0.12326888125545919</v>
      </c>
      <c r="O43" s="10"/>
      <c r="P43" s="19">
        <f>SUM(OSRRefP22x_0)</f>
        <v>40144.11</v>
      </c>
      <c r="Q43" s="19"/>
      <c r="R43" s="31">
        <f t="shared" ref="R43:R54" si="16">IF(P$12=0,0,P43/P$12)</f>
        <v>0.83566430800590186</v>
      </c>
      <c r="S43" s="19"/>
      <c r="T43" s="19">
        <f>SUM(OSRRefT22x_0)</f>
        <v>45788.394117326941</v>
      </c>
      <c r="U43" s="19"/>
      <c r="V43" s="31">
        <f t="shared" ref="V43:V54" si="17">IF(T$12=0,0,T43/T$12)</f>
        <v>0.66321544202385485</v>
      </c>
      <c r="W43" s="4"/>
      <c r="X43" s="19">
        <f t="shared" ref="X43:X54" si="18">+P43-T43</f>
        <v>-5644.2841173269408</v>
      </c>
      <c r="Y43" s="4"/>
      <c r="Z43" s="31">
        <f t="shared" ref="Z43:Z54" si="19">IF(T43=0,0,X43/T43)</f>
        <v>-0.12326888125545919</v>
      </c>
    </row>
    <row r="44" spans="1:26" s="29" customFormat="1" outlineLevel="1" collapsed="1" x14ac:dyDescent="0.25">
      <c r="A44" s="28"/>
      <c r="B44" s="14" t="str">
        <f>CONCATENATE("     ","*Benefits                                         ")</f>
        <v xml:space="preserve">     *Benefits                                         </v>
      </c>
      <c r="C44" s="14"/>
      <c r="D44" s="1">
        <f>SUM(OSRRefD22_0x_0)</f>
        <v>11154.429999999998</v>
      </c>
      <c r="E44" s="1"/>
      <c r="F44" s="5">
        <f t="shared" si="12"/>
        <v>0.2321974264007913</v>
      </c>
      <c r="G44" s="1"/>
      <c r="H44" s="1">
        <f>SUM(OSRRefH22_0x_0)</f>
        <v>13030.641437711543</v>
      </c>
      <c r="I44" s="1"/>
      <c r="J44" s="5">
        <f t="shared" si="13"/>
        <v>0.18874046114877671</v>
      </c>
      <c r="K44" s="1"/>
      <c r="L44" s="1">
        <f t="shared" si="14"/>
        <v>-1876.2114377115449</v>
      </c>
      <c r="M44" s="1"/>
      <c r="N44" s="5">
        <f t="shared" si="15"/>
        <v>-0.14398458024343025</v>
      </c>
      <c r="O44" s="14"/>
      <c r="P44" s="1">
        <f>SUM(OSRRefP22_0x_0)</f>
        <v>11154.429999999998</v>
      </c>
      <c r="Q44" s="1"/>
      <c r="R44" s="5">
        <f t="shared" si="16"/>
        <v>0.2321974264007913</v>
      </c>
      <c r="S44" s="1"/>
      <c r="T44" s="1">
        <f>SUM(OSRRefT22_0x_0)</f>
        <v>13030.641437711543</v>
      </c>
      <c r="U44" s="1"/>
      <c r="V44" s="5">
        <f t="shared" si="17"/>
        <v>0.18874046114877671</v>
      </c>
      <c r="W44" s="1"/>
      <c r="X44" s="1">
        <f t="shared" si="18"/>
        <v>-1876.2114377115449</v>
      </c>
      <c r="Y44" s="1"/>
      <c r="Z44" s="5">
        <f t="shared" si="19"/>
        <v>-0.14398458024343025</v>
      </c>
    </row>
    <row r="45" spans="1:26" s="24" customFormat="1" hidden="1" outlineLevel="2" x14ac:dyDescent="0.25">
      <c r="A45" s="27"/>
      <c r="B45" s="12" t="str">
        <f>CONCATENATE("          ", "6111", " - ", "F.I.C.A.")</f>
        <v xml:space="preserve">          6111 - F.I.C.A.</v>
      </c>
      <c r="C45" s="12"/>
      <c r="D45" s="7">
        <v>1802.45</v>
      </c>
      <c r="E45" s="3"/>
      <c r="F45" s="8">
        <f t="shared" si="12"/>
        <v>3.752089987709873E-2</v>
      </c>
      <c r="G45" s="3"/>
      <c r="H45" s="7">
        <v>2065.6252036730798</v>
      </c>
      <c r="I45" s="3"/>
      <c r="J45" s="8">
        <f t="shared" si="13"/>
        <v>2.991925266038644E-2</v>
      </c>
      <c r="K45" s="3"/>
      <c r="L45" s="7">
        <f t="shared" si="14"/>
        <v>-263.17520367307975</v>
      </c>
      <c r="M45" s="3"/>
      <c r="N45" s="8">
        <f t="shared" si="15"/>
        <v>-0.12740704519150112</v>
      </c>
      <c r="O45" s="12"/>
      <c r="P45" s="7">
        <v>1802.45</v>
      </c>
      <c r="Q45" s="3"/>
      <c r="R45" s="8">
        <f t="shared" si="16"/>
        <v>3.752089987709873E-2</v>
      </c>
      <c r="S45" s="3"/>
      <c r="T45" s="7">
        <v>2065.6252036730798</v>
      </c>
      <c r="U45" s="3"/>
      <c r="V45" s="8">
        <f t="shared" si="17"/>
        <v>2.991925266038644E-2</v>
      </c>
      <c r="W45" s="3"/>
      <c r="X45" s="7">
        <f t="shared" si="18"/>
        <v>-263.17520367307975</v>
      </c>
      <c r="Y45" s="3"/>
      <c r="Z45" s="8">
        <f t="shared" si="19"/>
        <v>-0.12740704519150112</v>
      </c>
    </row>
    <row r="46" spans="1:26" s="24" customFormat="1" hidden="1" outlineLevel="2" x14ac:dyDescent="0.25">
      <c r="A46" s="27"/>
      <c r="B46" s="12" t="str">
        <f>CONCATENATE("          ", "6112", " - ", "COMPENSATION INSURANCE")</f>
        <v xml:space="preserve">          6112 - COMPENSATION INSURANCE</v>
      </c>
      <c r="C46" s="12"/>
      <c r="D46" s="7">
        <v>147.41999999999999</v>
      </c>
      <c r="E46" s="3"/>
      <c r="F46" s="8">
        <f t="shared" si="12"/>
        <v>3.0687847429231845E-3</v>
      </c>
      <c r="G46" s="3"/>
      <c r="H46" s="7">
        <v>567.34971057692303</v>
      </c>
      <c r="I46" s="3"/>
      <c r="J46" s="8">
        <f t="shared" si="13"/>
        <v>8.2176956920180042E-3</v>
      </c>
      <c r="K46" s="3"/>
      <c r="L46" s="7">
        <f t="shared" si="14"/>
        <v>-419.92971057692307</v>
      </c>
      <c r="M46" s="3"/>
      <c r="N46" s="8">
        <f t="shared" si="15"/>
        <v>-0.74016026226559206</v>
      </c>
      <c r="O46" s="12"/>
      <c r="P46" s="7">
        <v>147.41999999999999</v>
      </c>
      <c r="Q46" s="3"/>
      <c r="R46" s="8">
        <f t="shared" si="16"/>
        <v>3.0687847429231845E-3</v>
      </c>
      <c r="S46" s="3"/>
      <c r="T46" s="7">
        <v>567.34971057692303</v>
      </c>
      <c r="U46" s="3"/>
      <c r="V46" s="8">
        <f t="shared" si="17"/>
        <v>8.2176956920180042E-3</v>
      </c>
      <c r="W46" s="3"/>
      <c r="X46" s="7">
        <f t="shared" si="18"/>
        <v>-419.92971057692307</v>
      </c>
      <c r="Y46" s="3"/>
      <c r="Z46" s="8">
        <f t="shared" si="19"/>
        <v>-0.74016026226559206</v>
      </c>
    </row>
    <row r="47" spans="1:26" s="24" customFormat="1" hidden="1" outlineLevel="2" x14ac:dyDescent="0.25">
      <c r="A47" s="27"/>
      <c r="B47" s="12" t="str">
        <f>CONCATENATE("          ", "6113", " - ", "GROUP INSURANCE")</f>
        <v xml:space="preserve">          6113 - GROUP INSURANCE</v>
      </c>
      <c r="C47" s="12"/>
      <c r="D47" s="7">
        <v>4248.21</v>
      </c>
      <c r="E47" s="3"/>
      <c r="F47" s="8">
        <f t="shared" si="12"/>
        <v>8.8433333555377178E-2</v>
      </c>
      <c r="G47" s="3"/>
      <c r="H47" s="7">
        <v>4969.6153846153802</v>
      </c>
      <c r="I47" s="3"/>
      <c r="J47" s="8">
        <f t="shared" si="13"/>
        <v>7.198168285943482E-2</v>
      </c>
      <c r="K47" s="3"/>
      <c r="L47" s="7">
        <f t="shared" si="14"/>
        <v>-721.40538461538017</v>
      </c>
      <c r="M47" s="3"/>
      <c r="N47" s="8">
        <f t="shared" si="15"/>
        <v>-0.14516322266078399</v>
      </c>
      <c r="O47" s="12"/>
      <c r="P47" s="7">
        <v>4248.21</v>
      </c>
      <c r="Q47" s="3"/>
      <c r="R47" s="8">
        <f t="shared" si="16"/>
        <v>8.8433333555377178E-2</v>
      </c>
      <c r="S47" s="3"/>
      <c r="T47" s="7">
        <v>4969.6153846153802</v>
      </c>
      <c r="U47" s="3"/>
      <c r="V47" s="8">
        <f t="shared" si="17"/>
        <v>7.198168285943482E-2</v>
      </c>
      <c r="W47" s="3"/>
      <c r="X47" s="7">
        <f t="shared" si="18"/>
        <v>-721.40538461538017</v>
      </c>
      <c r="Y47" s="3"/>
      <c r="Z47" s="8">
        <f t="shared" si="19"/>
        <v>-0.14516322266078399</v>
      </c>
    </row>
    <row r="48" spans="1:26" s="24" customFormat="1" hidden="1" outlineLevel="2" x14ac:dyDescent="0.25">
      <c r="A48" s="27"/>
      <c r="B48" s="12" t="str">
        <f>CONCATENATE("          ", "6114", " - ", "STATE UNEMPLOYMENT INSURANCE")</f>
        <v xml:space="preserve">          6114 - STATE UNEMPLOYMENT INSURANCE</v>
      </c>
      <c r="C48" s="12"/>
      <c r="D48" s="7">
        <v>61.43</v>
      </c>
      <c r="E48" s="3"/>
      <c r="F48" s="8">
        <f t="shared" si="12"/>
        <v>1.2787643926046074E-3</v>
      </c>
      <c r="G48" s="3"/>
      <c r="H48" s="7">
        <v>79.735635000000002</v>
      </c>
      <c r="I48" s="3"/>
      <c r="J48" s="8">
        <f t="shared" si="13"/>
        <v>1.1549193945538819E-3</v>
      </c>
      <c r="K48" s="3"/>
      <c r="L48" s="7">
        <f t="shared" si="14"/>
        <v>-18.305635000000002</v>
      </c>
      <c r="M48" s="3"/>
      <c r="N48" s="8">
        <f t="shared" si="15"/>
        <v>-0.22957909597133078</v>
      </c>
      <c r="O48" s="12"/>
      <c r="P48" s="7">
        <v>61.43</v>
      </c>
      <c r="Q48" s="3"/>
      <c r="R48" s="8">
        <f t="shared" si="16"/>
        <v>1.2787643926046074E-3</v>
      </c>
      <c r="S48" s="3"/>
      <c r="T48" s="7">
        <v>79.735635000000002</v>
      </c>
      <c r="U48" s="3"/>
      <c r="V48" s="8">
        <f t="shared" si="17"/>
        <v>1.1549193945538819E-3</v>
      </c>
      <c r="W48" s="3"/>
      <c r="X48" s="7">
        <f t="shared" si="18"/>
        <v>-18.305635000000002</v>
      </c>
      <c r="Y48" s="3"/>
      <c r="Z48" s="8">
        <f t="shared" si="19"/>
        <v>-0.22957909597133078</v>
      </c>
    </row>
    <row r="49" spans="1:26" s="24" customFormat="1" hidden="1" outlineLevel="2" x14ac:dyDescent="0.25">
      <c r="A49" s="27"/>
      <c r="B49" s="12" t="str">
        <f>CONCATENATE("          ", "6115", " - ", "P.E.R.S.")</f>
        <v xml:space="preserve">          6115 - P.E.R.S.</v>
      </c>
      <c r="C49" s="12"/>
      <c r="D49" s="7">
        <v>2220.3200000000002</v>
      </c>
      <c r="E49" s="3"/>
      <c r="F49" s="8">
        <f t="shared" si="12"/>
        <v>4.6219536971965854E-2</v>
      </c>
      <c r="G49" s="3"/>
      <c r="H49" s="7">
        <v>1585.67246538462</v>
      </c>
      <c r="I49" s="3"/>
      <c r="J49" s="8">
        <f t="shared" si="13"/>
        <v>2.296744590649797E-2</v>
      </c>
      <c r="K49" s="3"/>
      <c r="L49" s="7">
        <f t="shared" si="14"/>
        <v>634.64753461538021</v>
      </c>
      <c r="M49" s="3"/>
      <c r="N49" s="8">
        <f t="shared" si="15"/>
        <v>0.40023873055110432</v>
      </c>
      <c r="O49" s="12"/>
      <c r="P49" s="7">
        <v>2220.3200000000002</v>
      </c>
      <c r="Q49" s="3"/>
      <c r="R49" s="8">
        <f t="shared" si="16"/>
        <v>4.6219536971965854E-2</v>
      </c>
      <c r="S49" s="3"/>
      <c r="T49" s="7">
        <v>1585.67246538462</v>
      </c>
      <c r="U49" s="3"/>
      <c r="V49" s="8">
        <f t="shared" si="17"/>
        <v>2.296744590649797E-2</v>
      </c>
      <c r="W49" s="3"/>
      <c r="X49" s="7">
        <f t="shared" si="18"/>
        <v>634.64753461538021</v>
      </c>
      <c r="Y49" s="3"/>
      <c r="Z49" s="8">
        <f t="shared" si="19"/>
        <v>0.40023873055110432</v>
      </c>
    </row>
    <row r="50" spans="1:26" s="24" customFormat="1" hidden="1" outlineLevel="2" x14ac:dyDescent="0.25">
      <c r="A50" s="27"/>
      <c r="B50" s="12" t="str">
        <f>CONCATENATE("          ", "6116", " - ", "EDUCATIONAL BENEFITS")</f>
        <v xml:space="preserve">          6116 - EDUCATIONAL BENEFITS</v>
      </c>
      <c r="C50" s="12"/>
      <c r="D50" s="7"/>
      <c r="E50" s="3"/>
      <c r="F50" s="8">
        <f t="shared" si="12"/>
        <v>0</v>
      </c>
      <c r="G50" s="3"/>
      <c r="H50" s="7">
        <v>0</v>
      </c>
      <c r="I50" s="3"/>
      <c r="J50" s="8">
        <f t="shared" si="13"/>
        <v>0</v>
      </c>
      <c r="K50" s="3"/>
      <c r="L50" s="7">
        <f t="shared" si="14"/>
        <v>0</v>
      </c>
      <c r="M50" s="3"/>
      <c r="N50" s="8">
        <f t="shared" si="15"/>
        <v>0</v>
      </c>
      <c r="O50" s="12"/>
      <c r="P50" s="7"/>
      <c r="Q50" s="3"/>
      <c r="R50" s="8">
        <f t="shared" si="16"/>
        <v>0</v>
      </c>
      <c r="S50" s="3"/>
      <c r="T50" s="7">
        <v>0</v>
      </c>
      <c r="U50" s="3"/>
      <c r="V50" s="8">
        <f t="shared" si="17"/>
        <v>0</v>
      </c>
      <c r="W50" s="3"/>
      <c r="X50" s="7">
        <f t="shared" si="18"/>
        <v>0</v>
      </c>
      <c r="Y50" s="3"/>
      <c r="Z50" s="8">
        <f t="shared" si="19"/>
        <v>0</v>
      </c>
    </row>
    <row r="51" spans="1:26" s="24" customFormat="1" hidden="1" outlineLevel="2" x14ac:dyDescent="0.25">
      <c r="A51" s="27"/>
      <c r="B51" s="12" t="str">
        <f>CONCATENATE("          ", "6117", " - ", "RETIREMENT STAFF HOURLY")</f>
        <v xml:space="preserve">          6117 - RETIREMENT STAFF HOURLY</v>
      </c>
      <c r="C51" s="12"/>
      <c r="D51" s="7">
        <v>333.14</v>
      </c>
      <c r="E51" s="3"/>
      <c r="F51" s="8">
        <f t="shared" si="12"/>
        <v>6.9348456739752387E-3</v>
      </c>
      <c r="G51" s="3"/>
      <c r="H51" s="7"/>
      <c r="I51" s="3"/>
      <c r="J51" s="8">
        <f t="shared" si="13"/>
        <v>0</v>
      </c>
      <c r="K51" s="3"/>
      <c r="L51" s="7">
        <f t="shared" si="14"/>
        <v>333.14</v>
      </c>
      <c r="M51" s="3"/>
      <c r="N51" s="8">
        <f t="shared" si="15"/>
        <v>0</v>
      </c>
      <c r="O51" s="12"/>
      <c r="P51" s="7">
        <v>333.14</v>
      </c>
      <c r="Q51" s="3"/>
      <c r="R51" s="8">
        <f t="shared" si="16"/>
        <v>6.9348456739752387E-3</v>
      </c>
      <c r="S51" s="3"/>
      <c r="T51" s="7"/>
      <c r="U51" s="3"/>
      <c r="V51" s="8">
        <f t="shared" si="17"/>
        <v>0</v>
      </c>
      <c r="W51" s="3"/>
      <c r="X51" s="7">
        <f t="shared" si="18"/>
        <v>333.14</v>
      </c>
      <c r="Y51" s="3"/>
      <c r="Z51" s="8">
        <f t="shared" si="19"/>
        <v>0</v>
      </c>
    </row>
    <row r="52" spans="1:26" s="24" customFormat="1" hidden="1" outlineLevel="2" x14ac:dyDescent="0.25">
      <c r="A52" s="27"/>
      <c r="B52" s="12" t="str">
        <f>CONCATENATE("          ", "6118", " - ", "VACATION")</f>
        <v xml:space="preserve">          6118 - VACATION</v>
      </c>
      <c r="C52" s="12"/>
      <c r="D52" s="7">
        <v>967.81</v>
      </c>
      <c r="E52" s="3"/>
      <c r="F52" s="8">
        <f t="shared" si="12"/>
        <v>2.0146523959086199E-2</v>
      </c>
      <c r="G52" s="3"/>
      <c r="H52" s="7">
        <v>1682.75965</v>
      </c>
      <c r="I52" s="3"/>
      <c r="J52" s="8">
        <f t="shared" si="13"/>
        <v>2.4373691338354576E-2</v>
      </c>
      <c r="K52" s="3"/>
      <c r="L52" s="7">
        <f t="shared" si="14"/>
        <v>-714.94965000000002</v>
      </c>
      <c r="M52" s="3"/>
      <c r="N52" s="8">
        <f t="shared" si="15"/>
        <v>-0.42486735999404313</v>
      </c>
      <c r="O52" s="12"/>
      <c r="P52" s="7">
        <v>967.81</v>
      </c>
      <c r="Q52" s="3"/>
      <c r="R52" s="8">
        <f t="shared" si="16"/>
        <v>2.0146523959086199E-2</v>
      </c>
      <c r="S52" s="3"/>
      <c r="T52" s="7">
        <v>1682.75965</v>
      </c>
      <c r="U52" s="3"/>
      <c r="V52" s="8">
        <f t="shared" si="17"/>
        <v>2.4373691338354576E-2</v>
      </c>
      <c r="W52" s="3"/>
      <c r="X52" s="7">
        <f t="shared" si="18"/>
        <v>-714.94965000000002</v>
      </c>
      <c r="Y52" s="3"/>
      <c r="Z52" s="8">
        <f t="shared" si="19"/>
        <v>-0.42486735999404313</v>
      </c>
    </row>
    <row r="53" spans="1:26" s="24" customFormat="1" hidden="1" outlineLevel="2" x14ac:dyDescent="0.25">
      <c r="A53" s="27"/>
      <c r="B53" s="12" t="str">
        <f>CONCATENATE("          ", "6119", " - ", "SICK LEAVE")</f>
        <v xml:space="preserve">          6119 - SICK LEAVE</v>
      </c>
      <c r="C53" s="12"/>
      <c r="D53" s="7">
        <v>944.6</v>
      </c>
      <c r="E53" s="3"/>
      <c r="F53" s="8">
        <f t="shared" si="12"/>
        <v>1.9663370425757973E-2</v>
      </c>
      <c r="G53" s="3"/>
      <c r="H53" s="7">
        <v>1329.8833884615401</v>
      </c>
      <c r="I53" s="3"/>
      <c r="J53" s="8">
        <f t="shared" si="13"/>
        <v>1.9262505626615585E-2</v>
      </c>
      <c r="K53" s="3"/>
      <c r="L53" s="7">
        <f t="shared" si="14"/>
        <v>-385.28338846154008</v>
      </c>
      <c r="M53" s="3"/>
      <c r="N53" s="8">
        <f t="shared" si="15"/>
        <v>-0.28971215958058594</v>
      </c>
      <c r="O53" s="12"/>
      <c r="P53" s="7">
        <v>944.6</v>
      </c>
      <c r="Q53" s="3"/>
      <c r="R53" s="8">
        <f t="shared" si="16"/>
        <v>1.9663370425757973E-2</v>
      </c>
      <c r="S53" s="3"/>
      <c r="T53" s="7">
        <v>1329.8833884615401</v>
      </c>
      <c r="U53" s="3"/>
      <c r="V53" s="8">
        <f t="shared" si="17"/>
        <v>1.9262505626615585E-2</v>
      </c>
      <c r="W53" s="3"/>
      <c r="X53" s="7">
        <f t="shared" si="18"/>
        <v>-385.28338846154008</v>
      </c>
      <c r="Y53" s="3"/>
      <c r="Z53" s="8">
        <f t="shared" si="19"/>
        <v>-0.28971215958058594</v>
      </c>
    </row>
    <row r="54" spans="1:26" s="24" customFormat="1" hidden="1" outlineLevel="2" x14ac:dyDescent="0.25">
      <c r="A54" s="27"/>
      <c r="B54" s="12" t="str">
        <f>CONCATENATE("          ", "6156", " - ", "EMPLOYEE MEALS")</f>
        <v xml:space="preserve">          6156 - EMPLOYEE MEALS</v>
      </c>
      <c r="C54" s="12"/>
      <c r="D54" s="7">
        <v>429.05</v>
      </c>
      <c r="E54" s="3"/>
      <c r="F54" s="8">
        <f t="shared" si="12"/>
        <v>8.9313668020023912E-3</v>
      </c>
      <c r="G54" s="3"/>
      <c r="H54" s="7">
        <v>750</v>
      </c>
      <c r="I54" s="3"/>
      <c r="J54" s="8">
        <f t="shared" si="13"/>
        <v>1.0863267670915411E-2</v>
      </c>
      <c r="K54" s="3"/>
      <c r="L54" s="7">
        <f t="shared" si="14"/>
        <v>-320.95</v>
      </c>
      <c r="M54" s="3"/>
      <c r="N54" s="8">
        <f t="shared" si="15"/>
        <v>-0.42793333333333333</v>
      </c>
      <c r="O54" s="12"/>
      <c r="P54" s="7">
        <v>429.05</v>
      </c>
      <c r="Q54" s="3"/>
      <c r="R54" s="8">
        <f t="shared" si="16"/>
        <v>8.9313668020023912E-3</v>
      </c>
      <c r="S54" s="3"/>
      <c r="T54" s="7">
        <v>750</v>
      </c>
      <c r="U54" s="3"/>
      <c r="V54" s="8">
        <f t="shared" si="17"/>
        <v>1.0863267670915411E-2</v>
      </c>
      <c r="W54" s="3"/>
      <c r="X54" s="7">
        <f t="shared" si="18"/>
        <v>-320.95</v>
      </c>
      <c r="Y54" s="3"/>
      <c r="Z54" s="8">
        <f t="shared" si="19"/>
        <v>-0.42793333333333333</v>
      </c>
    </row>
    <row r="55" spans="1:26" s="29" customFormat="1" outlineLevel="1" collapsed="1" x14ac:dyDescent="0.25">
      <c r="A55" s="28"/>
      <c r="B55" s="14" t="str">
        <f>CONCATENATE("     ","*Payroll                                          ")</f>
        <v xml:space="preserve">     *Payroll                                          </v>
      </c>
      <c r="C55" s="14"/>
      <c r="D55" s="1">
        <f>SUM(OSRRefD22_1x_0)</f>
        <v>29301.230000000003</v>
      </c>
      <c r="E55" s="1"/>
      <c r="F55" s="5">
        <f t="shared" ref="F55:F65" si="20">IF(D$12=0,0,D55/D$12)</f>
        <v>0.60995229665502049</v>
      </c>
      <c r="G55" s="1"/>
      <c r="H55" s="1">
        <f>SUM(OSRRefH22_1x_0)</f>
        <v>28042.752679615402</v>
      </c>
      <c r="I55" s="1"/>
      <c r="J55" s="5">
        <f t="shared" ref="J55:J65" si="21">IF(H$12=0,0,H55/H$12)</f>
        <v>0.4061812381172567</v>
      </c>
      <c r="K55" s="1"/>
      <c r="L55" s="1">
        <f t="shared" ref="L55:L65" si="22">+D55-H55</f>
        <v>1258.4773203846016</v>
      </c>
      <c r="M55" s="1"/>
      <c r="N55" s="5">
        <f t="shared" ref="N55:N65" si="23">IF(H55=0,0,L55/H55)</f>
        <v>4.4877096580443872E-2</v>
      </c>
      <c r="O55" s="14"/>
      <c r="P55" s="1">
        <f>SUM(OSRRefP22_1x_0)</f>
        <v>29301.230000000003</v>
      </c>
      <c r="Q55" s="1"/>
      <c r="R55" s="5">
        <f t="shared" ref="R55:R65" si="24">IF(P$12=0,0,P55/P$12)</f>
        <v>0.60995229665502049</v>
      </c>
      <c r="S55" s="1"/>
      <c r="T55" s="1">
        <f>SUM(OSRRefT22_1x_0)</f>
        <v>28042.752679615402</v>
      </c>
      <c r="U55" s="1"/>
      <c r="V55" s="5">
        <f t="shared" ref="V55:V65" si="25">IF(T$12=0,0,T55/T$12)</f>
        <v>0.4061812381172567</v>
      </c>
      <c r="W55" s="1"/>
      <c r="X55" s="1">
        <f t="shared" ref="X55:X65" si="26">+P55-T55</f>
        <v>1258.4773203846016</v>
      </c>
      <c r="Y55" s="1"/>
      <c r="Z55" s="5">
        <f t="shared" ref="Z55:Z65" si="27">IF(T55=0,0,X55/T55)</f>
        <v>4.4877096580443872E-2</v>
      </c>
    </row>
    <row r="56" spans="1:26" s="24" customFormat="1" hidden="1" outlineLevel="2" x14ac:dyDescent="0.25">
      <c r="A56" s="27"/>
      <c r="B56" s="12" t="str">
        <f>CONCATENATE("          ", "6001", " - ", "ADMINISTRATIVE SALARIES")</f>
        <v xml:space="preserve">          6001 - ADMINISTRATIVE SALARIES</v>
      </c>
      <c r="C56" s="12"/>
      <c r="D56" s="7">
        <v>-311.32</v>
      </c>
      <c r="E56" s="3"/>
      <c r="F56" s="8">
        <f t="shared" si="20"/>
        <v>-6.4806272294590005E-3</v>
      </c>
      <c r="G56" s="3"/>
      <c r="H56" s="7">
        <v>0</v>
      </c>
      <c r="I56" s="3"/>
      <c r="J56" s="8">
        <f t="shared" si="21"/>
        <v>0</v>
      </c>
      <c r="K56" s="3"/>
      <c r="L56" s="7">
        <f t="shared" si="22"/>
        <v>-311.32</v>
      </c>
      <c r="M56" s="3"/>
      <c r="N56" s="8">
        <f t="shared" si="23"/>
        <v>0</v>
      </c>
      <c r="O56" s="12"/>
      <c r="P56" s="7">
        <v>-311.32</v>
      </c>
      <c r="Q56" s="3"/>
      <c r="R56" s="8">
        <f t="shared" si="24"/>
        <v>-6.4806272294590005E-3</v>
      </c>
      <c r="S56" s="3"/>
      <c r="T56" s="7">
        <v>0</v>
      </c>
      <c r="U56" s="3"/>
      <c r="V56" s="8">
        <f t="shared" si="25"/>
        <v>0</v>
      </c>
      <c r="W56" s="3"/>
      <c r="X56" s="7">
        <f t="shared" si="26"/>
        <v>-311.32</v>
      </c>
      <c r="Y56" s="3"/>
      <c r="Z56" s="8">
        <f t="shared" si="27"/>
        <v>0</v>
      </c>
    </row>
    <row r="57" spans="1:26" s="24" customFormat="1" hidden="1" outlineLevel="2" x14ac:dyDescent="0.25">
      <c r="A57" s="27"/>
      <c r="B57" s="12" t="str">
        <f>CONCATENATE("          ", "6002", " - ", "STAFF SALARIES")</f>
        <v xml:space="preserve">          6002 - STAFF SALARIES</v>
      </c>
      <c r="C57" s="12"/>
      <c r="D57" s="7">
        <v>18429.759999999998</v>
      </c>
      <c r="E57" s="3"/>
      <c r="F57" s="8">
        <f t="shared" si="20"/>
        <v>0.38364513840548087</v>
      </c>
      <c r="G57" s="3"/>
      <c r="H57" s="7">
        <v>16384.0650796154</v>
      </c>
      <c r="I57" s="3"/>
      <c r="J57" s="8">
        <f t="shared" si="21"/>
        <v>0.23731264599674681</v>
      </c>
      <c r="K57" s="3"/>
      <c r="L57" s="7">
        <f t="shared" si="22"/>
        <v>2045.6949203845979</v>
      </c>
      <c r="M57" s="3"/>
      <c r="N57" s="8">
        <f t="shared" si="23"/>
        <v>0.12485881314825799</v>
      </c>
      <c r="O57" s="12"/>
      <c r="P57" s="7">
        <v>18429.759999999998</v>
      </c>
      <c r="Q57" s="3"/>
      <c r="R57" s="8">
        <f t="shared" si="24"/>
        <v>0.38364513840548087</v>
      </c>
      <c r="S57" s="3"/>
      <c r="T57" s="7">
        <v>16384.0650796154</v>
      </c>
      <c r="U57" s="3"/>
      <c r="V57" s="8">
        <f t="shared" si="25"/>
        <v>0.23731264599674681</v>
      </c>
      <c r="W57" s="3"/>
      <c r="X57" s="7">
        <f t="shared" si="26"/>
        <v>2045.6949203845979</v>
      </c>
      <c r="Y57" s="3"/>
      <c r="Z57" s="8">
        <f t="shared" si="27"/>
        <v>0.12485881314825799</v>
      </c>
    </row>
    <row r="58" spans="1:26" s="24" customFormat="1" hidden="1" outlineLevel="2" x14ac:dyDescent="0.25">
      <c r="A58" s="27"/>
      <c r="B58" s="12" t="str">
        <f>CONCATENATE("          ", "6003", " - ", "STAFF HOURLY-9 MONTH")</f>
        <v xml:space="preserve">          6003 - STAFF HOURLY-9 MONTH</v>
      </c>
      <c r="C58" s="12"/>
      <c r="D58" s="7"/>
      <c r="E58" s="3"/>
      <c r="F58" s="8">
        <f t="shared" si="20"/>
        <v>0</v>
      </c>
      <c r="G58" s="3"/>
      <c r="H58" s="7">
        <v>0</v>
      </c>
      <c r="I58" s="3"/>
      <c r="J58" s="8">
        <f t="shared" si="21"/>
        <v>0</v>
      </c>
      <c r="K58" s="3"/>
      <c r="L58" s="7">
        <f t="shared" si="22"/>
        <v>0</v>
      </c>
      <c r="M58" s="3"/>
      <c r="N58" s="8">
        <f t="shared" si="23"/>
        <v>0</v>
      </c>
      <c r="O58" s="12"/>
      <c r="P58" s="7"/>
      <c r="Q58" s="3"/>
      <c r="R58" s="8">
        <f t="shared" si="24"/>
        <v>0</v>
      </c>
      <c r="S58" s="3"/>
      <c r="T58" s="7">
        <v>0</v>
      </c>
      <c r="U58" s="3"/>
      <c r="V58" s="8">
        <f t="shared" si="25"/>
        <v>0</v>
      </c>
      <c r="W58" s="3"/>
      <c r="X58" s="7">
        <f t="shared" si="26"/>
        <v>0</v>
      </c>
      <c r="Y58" s="3"/>
      <c r="Z58" s="8">
        <f t="shared" si="27"/>
        <v>0</v>
      </c>
    </row>
    <row r="59" spans="1:26" s="24" customFormat="1" hidden="1" outlineLevel="2" x14ac:dyDescent="0.25">
      <c r="A59" s="27"/>
      <c r="B59" s="12" t="str">
        <f>CONCATENATE("          ", "6004", " - ", "STAFF HOURLY")</f>
        <v xml:space="preserve">          6004 - STAFF HOURLY</v>
      </c>
      <c r="C59" s="12"/>
      <c r="D59" s="7">
        <v>5507.97</v>
      </c>
      <c r="E59" s="3"/>
      <c r="F59" s="8">
        <f t="shared" si="20"/>
        <v>0.1146572669955136</v>
      </c>
      <c r="G59" s="3"/>
      <c r="H59" s="7">
        <v>6607.1876000000002</v>
      </c>
      <c r="I59" s="3"/>
      <c r="J59" s="8">
        <f t="shared" si="21"/>
        <v>9.5700863267670924E-2</v>
      </c>
      <c r="K59" s="3"/>
      <c r="L59" s="7">
        <f t="shared" si="22"/>
        <v>-1099.2175999999999</v>
      </c>
      <c r="M59" s="3"/>
      <c r="N59" s="8">
        <f t="shared" si="23"/>
        <v>-0.16636694257023971</v>
      </c>
      <c r="O59" s="12"/>
      <c r="P59" s="7">
        <v>5507.97</v>
      </c>
      <c r="Q59" s="3"/>
      <c r="R59" s="8">
        <f t="shared" si="24"/>
        <v>0.1146572669955136</v>
      </c>
      <c r="S59" s="3"/>
      <c r="T59" s="7">
        <v>6607.1876000000002</v>
      </c>
      <c r="U59" s="3"/>
      <c r="V59" s="8">
        <f t="shared" si="25"/>
        <v>9.5700863267670924E-2</v>
      </c>
      <c r="W59" s="3"/>
      <c r="X59" s="7">
        <f t="shared" si="26"/>
        <v>-1099.2175999999999</v>
      </c>
      <c r="Y59" s="3"/>
      <c r="Z59" s="8">
        <f t="shared" si="27"/>
        <v>-0.16636694257023971</v>
      </c>
    </row>
    <row r="60" spans="1:26" s="24" customFormat="1" hidden="1" outlineLevel="2" x14ac:dyDescent="0.25">
      <c r="A60" s="27"/>
      <c r="B60" s="12" t="str">
        <f>CONCATENATE("          ", "6005", " - ", "TEMPORARY WAGES-HOURLY")</f>
        <v xml:space="preserve">          6005 - TEMPORARY WAGES-HOURLY</v>
      </c>
      <c r="C60" s="12"/>
      <c r="D60" s="7">
        <v>1986.02</v>
      </c>
      <c r="E60" s="3"/>
      <c r="F60" s="8">
        <f t="shared" si="20"/>
        <v>4.1342205095240149E-2</v>
      </c>
      <c r="G60" s="3"/>
      <c r="H60" s="7">
        <v>3676.5</v>
      </c>
      <c r="I60" s="3"/>
      <c r="J60" s="8">
        <f t="shared" si="21"/>
        <v>5.3251738122827345E-2</v>
      </c>
      <c r="K60" s="3"/>
      <c r="L60" s="7">
        <f t="shared" si="22"/>
        <v>-1690.48</v>
      </c>
      <c r="M60" s="3"/>
      <c r="N60" s="8">
        <f t="shared" si="23"/>
        <v>-0.45980688154494764</v>
      </c>
      <c r="O60" s="12"/>
      <c r="P60" s="7">
        <v>1986.02</v>
      </c>
      <c r="Q60" s="3"/>
      <c r="R60" s="8">
        <f t="shared" si="24"/>
        <v>4.1342205095240149E-2</v>
      </c>
      <c r="S60" s="3"/>
      <c r="T60" s="7">
        <v>3676.5</v>
      </c>
      <c r="U60" s="3"/>
      <c r="V60" s="8">
        <f t="shared" si="25"/>
        <v>5.3251738122827345E-2</v>
      </c>
      <c r="W60" s="3"/>
      <c r="X60" s="7">
        <f t="shared" si="26"/>
        <v>-1690.48</v>
      </c>
      <c r="Y60" s="3"/>
      <c r="Z60" s="8">
        <f t="shared" si="27"/>
        <v>-0.45980688154494764</v>
      </c>
    </row>
    <row r="61" spans="1:26" s="24" customFormat="1" hidden="1" outlineLevel="2" x14ac:dyDescent="0.25">
      <c r="A61" s="27"/>
      <c r="B61" s="12" t="str">
        <f>CONCATENATE("          ", "6006", " - ", "TEMPORARY PART TIME")</f>
        <v xml:space="preserve">          6006 - TEMPORARY PART TIME</v>
      </c>
      <c r="C61" s="12"/>
      <c r="D61" s="7">
        <v>502.29</v>
      </c>
      <c r="E61" s="3"/>
      <c r="F61" s="8">
        <f t="shared" si="20"/>
        <v>1.0455975366455613E-2</v>
      </c>
      <c r="G61" s="3"/>
      <c r="H61" s="7">
        <v>0</v>
      </c>
      <c r="I61" s="3"/>
      <c r="J61" s="8">
        <f t="shared" si="21"/>
        <v>0</v>
      </c>
      <c r="K61" s="3"/>
      <c r="L61" s="7">
        <f t="shared" si="22"/>
        <v>502.29</v>
      </c>
      <c r="M61" s="3"/>
      <c r="N61" s="8">
        <f t="shared" si="23"/>
        <v>0</v>
      </c>
      <c r="O61" s="12"/>
      <c r="P61" s="7">
        <v>502.29</v>
      </c>
      <c r="Q61" s="3"/>
      <c r="R61" s="8">
        <f t="shared" si="24"/>
        <v>1.0455975366455613E-2</v>
      </c>
      <c r="S61" s="3"/>
      <c r="T61" s="7">
        <v>0</v>
      </c>
      <c r="U61" s="3"/>
      <c r="V61" s="8">
        <f t="shared" si="25"/>
        <v>0</v>
      </c>
      <c r="W61" s="3"/>
      <c r="X61" s="7">
        <f t="shared" si="26"/>
        <v>502.29</v>
      </c>
      <c r="Y61" s="3"/>
      <c r="Z61" s="8">
        <f t="shared" si="27"/>
        <v>0</v>
      </c>
    </row>
    <row r="62" spans="1:26" s="24" customFormat="1" hidden="1" outlineLevel="2" x14ac:dyDescent="0.25">
      <c r="A62" s="27"/>
      <c r="B62" s="12" t="str">
        <f>CONCATENATE("          ", "6007", " - ", "STUDENT HOURLY")</f>
        <v xml:space="preserve">          6007 - STUDENT HOURLY</v>
      </c>
      <c r="C62" s="12"/>
      <c r="D62" s="7">
        <v>3186.51</v>
      </c>
      <c r="E62" s="3"/>
      <c r="F62" s="8">
        <f t="shared" si="20"/>
        <v>6.6332338021789158E-2</v>
      </c>
      <c r="G62" s="3"/>
      <c r="H62" s="7">
        <v>1375</v>
      </c>
      <c r="I62" s="3"/>
      <c r="J62" s="8">
        <f t="shared" si="21"/>
        <v>1.9915990730011587E-2</v>
      </c>
      <c r="K62" s="3"/>
      <c r="L62" s="7">
        <f t="shared" si="22"/>
        <v>1811.5100000000002</v>
      </c>
      <c r="M62" s="3"/>
      <c r="N62" s="8">
        <f t="shared" si="23"/>
        <v>1.3174618181818183</v>
      </c>
      <c r="O62" s="12"/>
      <c r="P62" s="7">
        <v>3186.51</v>
      </c>
      <c r="Q62" s="3"/>
      <c r="R62" s="8">
        <f t="shared" si="24"/>
        <v>6.6332338021789158E-2</v>
      </c>
      <c r="S62" s="3"/>
      <c r="T62" s="7">
        <v>1375</v>
      </c>
      <c r="U62" s="3"/>
      <c r="V62" s="8">
        <f t="shared" si="25"/>
        <v>1.9915990730011587E-2</v>
      </c>
      <c r="W62" s="3"/>
      <c r="X62" s="7">
        <f t="shared" si="26"/>
        <v>1811.5100000000002</v>
      </c>
      <c r="Y62" s="3"/>
      <c r="Z62" s="8">
        <f t="shared" si="27"/>
        <v>1.3174618181818183</v>
      </c>
    </row>
    <row r="63" spans="1:26" s="24" customFormat="1" hidden="1" outlineLevel="2" x14ac:dyDescent="0.25">
      <c r="A63" s="27"/>
      <c r="B63" s="12" t="str">
        <f>CONCATENATE("          ", "6008", " - ", "STUDENT HOURLY-FICA EXEMPT")</f>
        <v xml:space="preserve">          6008 - STUDENT HOURLY-FICA EXEMPT</v>
      </c>
      <c r="C63" s="12"/>
      <c r="D63" s="7"/>
      <c r="E63" s="3"/>
      <c r="F63" s="8">
        <f t="shared" si="20"/>
        <v>0</v>
      </c>
      <c r="G63" s="3"/>
      <c r="H63" s="7">
        <v>0</v>
      </c>
      <c r="I63" s="3"/>
      <c r="J63" s="8">
        <f t="shared" si="21"/>
        <v>0</v>
      </c>
      <c r="K63" s="3"/>
      <c r="L63" s="7">
        <f t="shared" si="22"/>
        <v>0</v>
      </c>
      <c r="M63" s="3"/>
      <c r="N63" s="8">
        <f t="shared" si="23"/>
        <v>0</v>
      </c>
      <c r="O63" s="12"/>
      <c r="P63" s="7"/>
      <c r="Q63" s="3"/>
      <c r="R63" s="8">
        <f t="shared" si="24"/>
        <v>0</v>
      </c>
      <c r="S63" s="3"/>
      <c r="T63" s="7">
        <v>0</v>
      </c>
      <c r="U63" s="3"/>
      <c r="V63" s="8">
        <f t="shared" si="25"/>
        <v>0</v>
      </c>
      <c r="W63" s="3"/>
      <c r="X63" s="7">
        <f t="shared" si="26"/>
        <v>0</v>
      </c>
      <c r="Y63" s="3"/>
      <c r="Z63" s="8">
        <f t="shared" si="27"/>
        <v>0</v>
      </c>
    </row>
    <row r="64" spans="1:26" s="24" customFormat="1" hidden="1" outlineLevel="2" x14ac:dyDescent="0.25">
      <c r="A64" s="27"/>
      <c r="B64" s="12" t="str">
        <f>CONCATENATE("          ", "6009", " - ", "TEMPORARY-SEASONAL")</f>
        <v xml:space="preserve">          6009 - TEMPORARY-SEASONAL</v>
      </c>
      <c r="C64" s="12"/>
      <c r="D64" s="7"/>
      <c r="E64" s="3"/>
      <c r="F64" s="8">
        <f t="shared" si="20"/>
        <v>0</v>
      </c>
      <c r="G64" s="3"/>
      <c r="H64" s="7">
        <v>0</v>
      </c>
      <c r="I64" s="3"/>
      <c r="J64" s="8">
        <f t="shared" si="21"/>
        <v>0</v>
      </c>
      <c r="K64" s="3"/>
      <c r="L64" s="7">
        <f t="shared" si="22"/>
        <v>0</v>
      </c>
      <c r="M64" s="3"/>
      <c r="N64" s="8">
        <f t="shared" si="23"/>
        <v>0</v>
      </c>
      <c r="O64" s="12"/>
      <c r="P64" s="7"/>
      <c r="Q64" s="3"/>
      <c r="R64" s="8">
        <f t="shared" si="24"/>
        <v>0</v>
      </c>
      <c r="S64" s="3"/>
      <c r="T64" s="7">
        <v>0</v>
      </c>
      <c r="U64" s="3"/>
      <c r="V64" s="8">
        <f t="shared" si="25"/>
        <v>0</v>
      </c>
      <c r="W64" s="3"/>
      <c r="X64" s="7">
        <f t="shared" si="26"/>
        <v>0</v>
      </c>
      <c r="Y64" s="3"/>
      <c r="Z64" s="8">
        <f t="shared" si="27"/>
        <v>0</v>
      </c>
    </row>
    <row r="65" spans="1:26" s="24" customFormat="1" hidden="1" outlineLevel="2" x14ac:dyDescent="0.25">
      <c r="A65" s="27"/>
      <c r="B65" s="12" t="str">
        <f>CONCATENATE("          ", "6010", " - ", "GRATUITY")</f>
        <v xml:space="preserve">          6010 - GRATUITY</v>
      </c>
      <c r="C65" s="12"/>
      <c r="D65" s="7"/>
      <c r="E65" s="3"/>
      <c r="F65" s="8">
        <f t="shared" si="20"/>
        <v>0</v>
      </c>
      <c r="G65" s="3"/>
      <c r="H65" s="7">
        <v>0</v>
      </c>
      <c r="I65" s="3"/>
      <c r="J65" s="8">
        <f t="shared" si="21"/>
        <v>0</v>
      </c>
      <c r="K65" s="3"/>
      <c r="L65" s="7">
        <f t="shared" si="22"/>
        <v>0</v>
      </c>
      <c r="M65" s="3"/>
      <c r="N65" s="8">
        <f t="shared" si="23"/>
        <v>0</v>
      </c>
      <c r="O65" s="12"/>
      <c r="P65" s="7"/>
      <c r="Q65" s="3"/>
      <c r="R65" s="8">
        <f t="shared" si="24"/>
        <v>0</v>
      </c>
      <c r="S65" s="3"/>
      <c r="T65" s="7">
        <v>0</v>
      </c>
      <c r="U65" s="3"/>
      <c r="V65" s="8">
        <f t="shared" si="25"/>
        <v>0</v>
      </c>
      <c r="W65" s="3"/>
      <c r="X65" s="7">
        <f t="shared" si="26"/>
        <v>0</v>
      </c>
      <c r="Y65" s="3"/>
      <c r="Z65" s="8">
        <f t="shared" si="27"/>
        <v>0</v>
      </c>
    </row>
    <row r="66" spans="1:26" s="29" customFormat="1" outlineLevel="1" collapsed="1" x14ac:dyDescent="0.25">
      <c r="A66" s="28"/>
      <c r="B66" s="14" t="str">
        <f>CONCATENATE("     ","Advertising/Promo                                 ")</f>
        <v xml:space="preserve">     Advertising/Promo                                 </v>
      </c>
      <c r="C66" s="14"/>
      <c r="D66" s="1">
        <f>SUM(OSRRefD22_2x_0)</f>
        <v>1249.9000000000001</v>
      </c>
      <c r="E66" s="1"/>
      <c r="F66" s="5">
        <f t="shared" ref="F66:F82" si="28">IF(D$12=0,0,D66/D$12)</f>
        <v>2.6018681659067216E-2</v>
      </c>
      <c r="G66" s="1"/>
      <c r="H66" s="1">
        <f>SUM(OSRRefH22_2x_0)</f>
        <v>100</v>
      </c>
      <c r="I66" s="1"/>
      <c r="J66" s="5">
        <f t="shared" ref="J66:J82" si="29">IF(H$12=0,0,H66/H$12)</f>
        <v>1.4484356894553883E-3</v>
      </c>
      <c r="K66" s="1"/>
      <c r="L66" s="1">
        <f t="shared" ref="L66:L82" si="30">+D66-H66</f>
        <v>1149.9000000000001</v>
      </c>
      <c r="M66" s="1"/>
      <c r="N66" s="5">
        <f t="shared" ref="N66:N82" si="31">IF(H66=0,0,L66/H66)</f>
        <v>11.499000000000001</v>
      </c>
      <c r="O66" s="14"/>
      <c r="P66" s="1">
        <f>SUM(OSRRefP22_2x_0)</f>
        <v>1249.9000000000001</v>
      </c>
      <c r="Q66" s="1"/>
      <c r="R66" s="5">
        <f t="shared" ref="R66:R82" si="32">IF(P$12=0,0,P66/P$12)</f>
        <v>2.6018681659067216E-2</v>
      </c>
      <c r="S66" s="1"/>
      <c r="T66" s="1">
        <f>SUM(OSRRefT22_2x_0)</f>
        <v>100</v>
      </c>
      <c r="U66" s="1"/>
      <c r="V66" s="5">
        <f t="shared" ref="V66:V82" si="33">IF(T$12=0,0,T66/T$12)</f>
        <v>1.4484356894553883E-3</v>
      </c>
      <c r="W66" s="1"/>
      <c r="X66" s="1">
        <f t="shared" ref="X66:X82" si="34">+P66-T66</f>
        <v>1149.9000000000001</v>
      </c>
      <c r="Y66" s="1"/>
      <c r="Z66" s="5">
        <f t="shared" ref="Z66:Z82" si="35">IF(T66=0,0,X66/T66)</f>
        <v>11.499000000000001</v>
      </c>
    </row>
    <row r="67" spans="1:26" s="24" customFormat="1" hidden="1" outlineLevel="2" x14ac:dyDescent="0.25">
      <c r="A67" s="27"/>
      <c r="B67" s="12" t="str">
        <f>CONCATENATE("          ", "6362", " - ", "ADVERTISING EXPENSE")</f>
        <v xml:space="preserve">          6362 - ADVERTISING EXPENSE</v>
      </c>
      <c r="C67" s="12"/>
      <c r="D67" s="7">
        <v>1249.9000000000001</v>
      </c>
      <c r="E67" s="3"/>
      <c r="F67" s="8">
        <f t="shared" si="28"/>
        <v>2.6018681659067216E-2</v>
      </c>
      <c r="G67" s="3"/>
      <c r="H67" s="7">
        <v>100</v>
      </c>
      <c r="I67" s="3"/>
      <c r="J67" s="8">
        <f t="shared" si="29"/>
        <v>1.4484356894553883E-3</v>
      </c>
      <c r="K67" s="3"/>
      <c r="L67" s="7">
        <f t="shared" si="30"/>
        <v>1149.9000000000001</v>
      </c>
      <c r="M67" s="3"/>
      <c r="N67" s="8">
        <f t="shared" si="31"/>
        <v>11.499000000000001</v>
      </c>
      <c r="O67" s="12"/>
      <c r="P67" s="7">
        <v>1249.9000000000001</v>
      </c>
      <c r="Q67" s="3"/>
      <c r="R67" s="8">
        <f t="shared" si="32"/>
        <v>2.6018681659067216E-2</v>
      </c>
      <c r="S67" s="3"/>
      <c r="T67" s="7">
        <v>100</v>
      </c>
      <c r="U67" s="3"/>
      <c r="V67" s="8">
        <f t="shared" si="33"/>
        <v>1.4484356894553883E-3</v>
      </c>
      <c r="W67" s="3"/>
      <c r="X67" s="7">
        <f t="shared" si="34"/>
        <v>1149.9000000000001</v>
      </c>
      <c r="Y67" s="3"/>
      <c r="Z67" s="8">
        <f t="shared" si="35"/>
        <v>11.499000000000001</v>
      </c>
    </row>
    <row r="68" spans="1:26" s="29" customFormat="1" outlineLevel="1" collapsed="1" x14ac:dyDescent="0.25">
      <c r="A68" s="28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SUM(OSRRefD22_3x_0)</f>
        <v>0</v>
      </c>
      <c r="E68" s="1"/>
      <c r="F68" s="5">
        <f t="shared" si="28"/>
        <v>0</v>
      </c>
      <c r="G68" s="1"/>
      <c r="H68" s="1">
        <f>SUM(OSRRefH22_3x_0)</f>
        <v>1000</v>
      </c>
      <c r="I68" s="1"/>
      <c r="J68" s="5">
        <f t="shared" si="29"/>
        <v>1.4484356894553883E-2</v>
      </c>
      <c r="K68" s="1"/>
      <c r="L68" s="1">
        <f t="shared" si="30"/>
        <v>-1000</v>
      </c>
      <c r="M68" s="1"/>
      <c r="N68" s="5">
        <f t="shared" si="31"/>
        <v>-1</v>
      </c>
      <c r="O68" s="14"/>
      <c r="P68" s="1">
        <f>SUM(OSRRefP22_3x_0)</f>
        <v>0</v>
      </c>
      <c r="Q68" s="1"/>
      <c r="R68" s="5">
        <f t="shared" si="32"/>
        <v>0</v>
      </c>
      <c r="S68" s="1"/>
      <c r="T68" s="1">
        <f>SUM(OSRRefT22_3x_0)</f>
        <v>1000</v>
      </c>
      <c r="U68" s="1"/>
      <c r="V68" s="5">
        <f t="shared" si="33"/>
        <v>1.4484356894553883E-2</v>
      </c>
      <c r="W68" s="1"/>
      <c r="X68" s="1">
        <f t="shared" si="34"/>
        <v>-1000</v>
      </c>
      <c r="Y68" s="1"/>
      <c r="Z68" s="5">
        <f t="shared" si="35"/>
        <v>-1</v>
      </c>
    </row>
    <row r="69" spans="1:26" s="24" customFormat="1" hidden="1" outlineLevel="2" x14ac:dyDescent="0.25">
      <c r="A69" s="27"/>
      <c r="B69" s="12" t="str">
        <f>CONCATENATE("          ", "6382", " - ", "DISCOUNTS/MARK DOWNS")</f>
        <v xml:space="preserve">          6382 - DISCOUNTS/MARK DOWNS</v>
      </c>
      <c r="C69" s="12"/>
      <c r="D69" s="7"/>
      <c r="E69" s="3"/>
      <c r="F69" s="8">
        <f t="shared" si="28"/>
        <v>0</v>
      </c>
      <c r="G69" s="3"/>
      <c r="H69" s="7">
        <v>1000</v>
      </c>
      <c r="I69" s="3"/>
      <c r="J69" s="8">
        <f t="shared" si="29"/>
        <v>1.4484356894553883E-2</v>
      </c>
      <c r="K69" s="3"/>
      <c r="L69" s="7">
        <f t="shared" si="30"/>
        <v>-1000</v>
      </c>
      <c r="M69" s="3"/>
      <c r="N69" s="8">
        <f t="shared" si="31"/>
        <v>-1</v>
      </c>
      <c r="O69" s="12"/>
      <c r="P69" s="7"/>
      <c r="Q69" s="3"/>
      <c r="R69" s="8">
        <f t="shared" si="32"/>
        <v>0</v>
      </c>
      <c r="S69" s="3"/>
      <c r="T69" s="7">
        <v>1000</v>
      </c>
      <c r="U69" s="3"/>
      <c r="V69" s="8">
        <f t="shared" si="33"/>
        <v>1.4484356894553883E-2</v>
      </c>
      <c r="W69" s="3"/>
      <c r="X69" s="7">
        <f t="shared" si="34"/>
        <v>-1000</v>
      </c>
      <c r="Y69" s="3"/>
      <c r="Z69" s="8">
        <f t="shared" si="35"/>
        <v>-1</v>
      </c>
    </row>
    <row r="70" spans="1:26" s="29" customFormat="1" outlineLevel="1" collapsed="1" x14ac:dyDescent="0.25">
      <c r="A70" s="28"/>
      <c r="B70" s="14" t="str">
        <f>CONCATENATE("     ","Employees' Appreciation                           ")</f>
        <v xml:space="preserve">     Employees' Appreciation                           </v>
      </c>
      <c r="C70" s="14"/>
      <c r="D70" s="1">
        <f>SUM(OSRRefD22_4x_0)</f>
        <v>107.7</v>
      </c>
      <c r="E70" s="1"/>
      <c r="F70" s="5">
        <f t="shared" si="28"/>
        <v>2.2419489676626441E-3</v>
      </c>
      <c r="G70" s="1"/>
      <c r="H70" s="1">
        <f>SUM(OSRRefH22_4x_0)</f>
        <v>75</v>
      </c>
      <c r="I70" s="1"/>
      <c r="J70" s="5">
        <f t="shared" si="29"/>
        <v>1.0863267670915412E-3</v>
      </c>
      <c r="K70" s="1"/>
      <c r="L70" s="1">
        <f t="shared" si="30"/>
        <v>32.700000000000003</v>
      </c>
      <c r="M70" s="1"/>
      <c r="N70" s="5">
        <f t="shared" si="31"/>
        <v>0.43600000000000005</v>
      </c>
      <c r="O70" s="14"/>
      <c r="P70" s="1">
        <f>SUM(OSRRefP22_4x_0)</f>
        <v>107.7</v>
      </c>
      <c r="Q70" s="1"/>
      <c r="R70" s="5">
        <f t="shared" si="32"/>
        <v>2.2419489676626441E-3</v>
      </c>
      <c r="S70" s="1"/>
      <c r="T70" s="1">
        <f>SUM(OSRRefT22_4x_0)</f>
        <v>75</v>
      </c>
      <c r="U70" s="1"/>
      <c r="V70" s="5">
        <f t="shared" si="33"/>
        <v>1.0863267670915412E-3</v>
      </c>
      <c r="W70" s="1"/>
      <c r="X70" s="1">
        <f t="shared" si="34"/>
        <v>32.700000000000003</v>
      </c>
      <c r="Y70" s="1"/>
      <c r="Z70" s="5">
        <f t="shared" si="35"/>
        <v>0.43600000000000005</v>
      </c>
    </row>
    <row r="71" spans="1:26" s="24" customFormat="1" hidden="1" outlineLevel="2" x14ac:dyDescent="0.25">
      <c r="A71" s="27"/>
      <c r="B71" s="12" t="str">
        <f>CONCATENATE("          ", "6277", " - ", "EMPLOYEE APPRECIATION")</f>
        <v xml:space="preserve">          6277 - EMPLOYEE APPRECIATION</v>
      </c>
      <c r="C71" s="12"/>
      <c r="D71" s="7">
        <v>107.7</v>
      </c>
      <c r="E71" s="3"/>
      <c r="F71" s="8">
        <f t="shared" si="28"/>
        <v>2.2419489676626441E-3</v>
      </c>
      <c r="G71" s="3"/>
      <c r="H71" s="7">
        <v>75</v>
      </c>
      <c r="I71" s="3"/>
      <c r="J71" s="8">
        <f t="shared" si="29"/>
        <v>1.0863267670915412E-3</v>
      </c>
      <c r="K71" s="3"/>
      <c r="L71" s="7">
        <f t="shared" si="30"/>
        <v>32.700000000000003</v>
      </c>
      <c r="M71" s="3"/>
      <c r="N71" s="8">
        <f t="shared" si="31"/>
        <v>0.43600000000000005</v>
      </c>
      <c r="O71" s="12"/>
      <c r="P71" s="7">
        <v>107.7</v>
      </c>
      <c r="Q71" s="3"/>
      <c r="R71" s="8">
        <f t="shared" si="32"/>
        <v>2.2419489676626441E-3</v>
      </c>
      <c r="S71" s="3"/>
      <c r="T71" s="7">
        <v>75</v>
      </c>
      <c r="U71" s="3"/>
      <c r="V71" s="8">
        <f t="shared" si="33"/>
        <v>1.0863267670915412E-3</v>
      </c>
      <c r="W71" s="3"/>
      <c r="X71" s="7">
        <f t="shared" si="34"/>
        <v>32.700000000000003</v>
      </c>
      <c r="Y71" s="3"/>
      <c r="Z71" s="8">
        <f t="shared" si="35"/>
        <v>0.43600000000000005</v>
      </c>
    </row>
    <row r="72" spans="1:26" s="29" customFormat="1" outlineLevel="1" collapsed="1" x14ac:dyDescent="0.25">
      <c r="A72" s="28"/>
      <c r="B72" s="14" t="str">
        <f>CONCATENATE("     ","Equipment Rental                                  ")</f>
        <v xml:space="preserve">     Equipment Rental                                  </v>
      </c>
      <c r="C72" s="14"/>
      <c r="D72" s="1">
        <f>SUM(OSRRefD22_5x_0)</f>
        <v>91.26</v>
      </c>
      <c r="E72" s="1"/>
      <c r="F72" s="5">
        <f t="shared" si="28"/>
        <v>1.8997238884762573E-3</v>
      </c>
      <c r="G72" s="1"/>
      <c r="H72" s="1">
        <f>SUM(OSRRefH22_5x_0)</f>
        <v>100</v>
      </c>
      <c r="I72" s="1"/>
      <c r="J72" s="5">
        <f t="shared" si="29"/>
        <v>1.4484356894553883E-3</v>
      </c>
      <c r="K72" s="1"/>
      <c r="L72" s="1">
        <f t="shared" si="30"/>
        <v>-8.7399999999999949</v>
      </c>
      <c r="M72" s="1"/>
      <c r="N72" s="5">
        <f t="shared" si="31"/>
        <v>-8.739999999999995E-2</v>
      </c>
      <c r="O72" s="14"/>
      <c r="P72" s="1">
        <f>SUM(OSRRefP22_5x_0)</f>
        <v>91.26</v>
      </c>
      <c r="Q72" s="1"/>
      <c r="R72" s="5">
        <f t="shared" si="32"/>
        <v>1.8997238884762573E-3</v>
      </c>
      <c r="S72" s="1"/>
      <c r="T72" s="1">
        <f>SUM(OSRRefT22_5x_0)</f>
        <v>100</v>
      </c>
      <c r="U72" s="1"/>
      <c r="V72" s="5">
        <f t="shared" si="33"/>
        <v>1.4484356894553883E-3</v>
      </c>
      <c r="W72" s="1"/>
      <c r="X72" s="1">
        <f t="shared" si="34"/>
        <v>-8.7399999999999949</v>
      </c>
      <c r="Y72" s="1"/>
      <c r="Z72" s="5">
        <f t="shared" si="35"/>
        <v>-8.739999999999995E-2</v>
      </c>
    </row>
    <row r="73" spans="1:26" s="24" customFormat="1" hidden="1" outlineLevel="2" x14ac:dyDescent="0.25">
      <c r="A73" s="27"/>
      <c r="B73" s="12" t="str">
        <f>CONCATENATE("          ", "6351", " - ", "EQUIPMENT RENTAL")</f>
        <v xml:space="preserve">          6351 - EQUIPMENT RENTAL</v>
      </c>
      <c r="C73" s="12"/>
      <c r="D73" s="7">
        <v>91.26</v>
      </c>
      <c r="E73" s="3"/>
      <c r="F73" s="8">
        <f t="shared" si="28"/>
        <v>1.8997238884762573E-3</v>
      </c>
      <c r="G73" s="3"/>
      <c r="H73" s="7">
        <v>100</v>
      </c>
      <c r="I73" s="3"/>
      <c r="J73" s="8">
        <f t="shared" si="29"/>
        <v>1.4484356894553883E-3</v>
      </c>
      <c r="K73" s="3"/>
      <c r="L73" s="7">
        <f t="shared" si="30"/>
        <v>-8.7399999999999949</v>
      </c>
      <c r="M73" s="3"/>
      <c r="N73" s="8">
        <f t="shared" si="31"/>
        <v>-8.739999999999995E-2</v>
      </c>
      <c r="O73" s="12"/>
      <c r="P73" s="7">
        <v>91.26</v>
      </c>
      <c r="Q73" s="3"/>
      <c r="R73" s="8">
        <f t="shared" si="32"/>
        <v>1.8997238884762573E-3</v>
      </c>
      <c r="S73" s="3"/>
      <c r="T73" s="7">
        <v>100</v>
      </c>
      <c r="U73" s="3"/>
      <c r="V73" s="8">
        <f t="shared" si="33"/>
        <v>1.4484356894553883E-3</v>
      </c>
      <c r="W73" s="3"/>
      <c r="X73" s="7">
        <f t="shared" si="34"/>
        <v>-8.7399999999999949</v>
      </c>
      <c r="Y73" s="3"/>
      <c r="Z73" s="8">
        <f t="shared" si="35"/>
        <v>-8.739999999999995E-2</v>
      </c>
    </row>
    <row r="74" spans="1:26" s="29" customFormat="1" outlineLevel="1" collapsed="1" x14ac:dyDescent="0.25">
      <c r="A74" s="28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SUM(OSRRefD22_6x_0)</f>
        <v>167.5</v>
      </c>
      <c r="E74" s="1"/>
      <c r="F74" s="5">
        <f t="shared" si="28"/>
        <v>3.4867822848977984E-3</v>
      </c>
      <c r="G74" s="1"/>
      <c r="H74" s="1">
        <f>SUM(OSRRefH22_6x_0)</f>
        <v>500</v>
      </c>
      <c r="I74" s="1"/>
      <c r="J74" s="5">
        <f t="shared" si="29"/>
        <v>7.2421784472769413E-3</v>
      </c>
      <c r="K74" s="1"/>
      <c r="L74" s="1">
        <f t="shared" si="30"/>
        <v>-332.5</v>
      </c>
      <c r="M74" s="1"/>
      <c r="N74" s="5">
        <f t="shared" si="31"/>
        <v>-0.66500000000000004</v>
      </c>
      <c r="O74" s="14"/>
      <c r="P74" s="1">
        <f>SUM(OSRRefP22_6x_0)</f>
        <v>167.5</v>
      </c>
      <c r="Q74" s="1"/>
      <c r="R74" s="5">
        <f t="shared" si="32"/>
        <v>3.4867822848977984E-3</v>
      </c>
      <c r="S74" s="1"/>
      <c r="T74" s="1">
        <f>SUM(OSRRefT22_6x_0)</f>
        <v>500</v>
      </c>
      <c r="U74" s="1"/>
      <c r="V74" s="5">
        <f t="shared" si="33"/>
        <v>7.2421784472769413E-3</v>
      </c>
      <c r="W74" s="1"/>
      <c r="X74" s="1">
        <f t="shared" si="34"/>
        <v>-332.5</v>
      </c>
      <c r="Y74" s="1"/>
      <c r="Z74" s="5">
        <f t="shared" si="35"/>
        <v>-0.66500000000000004</v>
      </c>
    </row>
    <row r="75" spans="1:26" s="24" customFormat="1" hidden="1" outlineLevel="2" x14ac:dyDescent="0.25">
      <c r="A75" s="27"/>
      <c r="B75" s="12" t="str">
        <f>CONCATENATE("          ", "6305", " - ", "FREIGHT OUT")</f>
        <v xml:space="preserve">          6305 - FREIGHT OUT</v>
      </c>
      <c r="C75" s="12"/>
      <c r="D75" s="7">
        <v>167.5</v>
      </c>
      <c r="E75" s="3"/>
      <c r="F75" s="8">
        <f t="shared" si="28"/>
        <v>3.4867822848977984E-3</v>
      </c>
      <c r="G75" s="3"/>
      <c r="H75" s="7">
        <v>500</v>
      </c>
      <c r="I75" s="3"/>
      <c r="J75" s="8">
        <f t="shared" si="29"/>
        <v>7.2421784472769413E-3</v>
      </c>
      <c r="K75" s="3"/>
      <c r="L75" s="7">
        <f t="shared" si="30"/>
        <v>-332.5</v>
      </c>
      <c r="M75" s="3"/>
      <c r="N75" s="8">
        <f t="shared" si="31"/>
        <v>-0.66500000000000004</v>
      </c>
      <c r="O75" s="12"/>
      <c r="P75" s="7">
        <v>167.5</v>
      </c>
      <c r="Q75" s="3"/>
      <c r="R75" s="8">
        <f t="shared" si="32"/>
        <v>3.4867822848977984E-3</v>
      </c>
      <c r="S75" s="3"/>
      <c r="T75" s="7">
        <v>500</v>
      </c>
      <c r="U75" s="3"/>
      <c r="V75" s="8">
        <f t="shared" si="33"/>
        <v>7.2421784472769413E-3</v>
      </c>
      <c r="W75" s="3"/>
      <c r="X75" s="7">
        <f t="shared" si="34"/>
        <v>-332.5</v>
      </c>
      <c r="Y75" s="3"/>
      <c r="Z75" s="8">
        <f t="shared" si="35"/>
        <v>-0.66500000000000004</v>
      </c>
    </row>
    <row r="76" spans="1:26" s="29" customFormat="1" outlineLevel="1" collapsed="1" x14ac:dyDescent="0.25">
      <c r="A76" s="28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SUM(OSRRefD22_7x_0)</f>
        <v>-4794.1899999999996</v>
      </c>
      <c r="E76" s="1"/>
      <c r="F76" s="5">
        <f t="shared" si="28"/>
        <v>-9.979878664139806E-2</v>
      </c>
      <c r="G76" s="1"/>
      <c r="H76" s="1">
        <f>SUM(OSRRefH22_7x_0)</f>
        <v>0</v>
      </c>
      <c r="I76" s="1"/>
      <c r="J76" s="5">
        <f t="shared" si="29"/>
        <v>0</v>
      </c>
      <c r="K76" s="1"/>
      <c r="L76" s="1">
        <f t="shared" si="30"/>
        <v>-4794.1899999999996</v>
      </c>
      <c r="M76" s="1"/>
      <c r="N76" s="5">
        <f t="shared" si="31"/>
        <v>0</v>
      </c>
      <c r="O76" s="14"/>
      <c r="P76" s="1">
        <f>SUM(OSRRefP22_7x_0)</f>
        <v>-4794.1899999999996</v>
      </c>
      <c r="Q76" s="1"/>
      <c r="R76" s="5">
        <f t="shared" si="32"/>
        <v>-9.979878664139806E-2</v>
      </c>
      <c r="S76" s="1"/>
      <c r="T76" s="1">
        <f>SUM(OSRRefT22_7x_0)</f>
        <v>0</v>
      </c>
      <c r="U76" s="1"/>
      <c r="V76" s="5">
        <f t="shared" si="33"/>
        <v>0</v>
      </c>
      <c r="W76" s="1"/>
      <c r="X76" s="1">
        <f t="shared" si="34"/>
        <v>-4794.1899999999996</v>
      </c>
      <c r="Y76" s="1"/>
      <c r="Z76" s="5">
        <f t="shared" si="35"/>
        <v>0</v>
      </c>
    </row>
    <row r="77" spans="1:26" s="24" customFormat="1" hidden="1" outlineLevel="2" x14ac:dyDescent="0.25">
      <c r="A77" s="27"/>
      <c r="B77" s="12" t="str">
        <f>CONCATENATE("          ", "6279", " - ", "GENERAL EXPENSE")</f>
        <v xml:space="preserve">          6279 - GENERAL EXPENSE</v>
      </c>
      <c r="C77" s="12"/>
      <c r="D77" s="7">
        <v>-4794.1899999999996</v>
      </c>
      <c r="E77" s="3"/>
      <c r="F77" s="8">
        <f t="shared" si="28"/>
        <v>-9.979878664139806E-2</v>
      </c>
      <c r="G77" s="3"/>
      <c r="H77" s="7"/>
      <c r="I77" s="3"/>
      <c r="J77" s="8">
        <f t="shared" si="29"/>
        <v>0</v>
      </c>
      <c r="K77" s="3"/>
      <c r="L77" s="7">
        <f t="shared" si="30"/>
        <v>-4794.1899999999996</v>
      </c>
      <c r="M77" s="3"/>
      <c r="N77" s="8">
        <f t="shared" si="31"/>
        <v>0</v>
      </c>
      <c r="O77" s="12"/>
      <c r="P77" s="7">
        <v>-4794.1899999999996</v>
      </c>
      <c r="Q77" s="3"/>
      <c r="R77" s="8">
        <f t="shared" si="32"/>
        <v>-9.979878664139806E-2</v>
      </c>
      <c r="S77" s="3"/>
      <c r="T77" s="7"/>
      <c r="U77" s="3"/>
      <c r="V77" s="8">
        <f t="shared" si="33"/>
        <v>0</v>
      </c>
      <c r="W77" s="3"/>
      <c r="X77" s="7">
        <f t="shared" si="34"/>
        <v>-4794.1899999999996</v>
      </c>
      <c r="Y77" s="3"/>
      <c r="Z77" s="8">
        <f t="shared" si="35"/>
        <v>0</v>
      </c>
    </row>
    <row r="78" spans="1:26" s="29" customFormat="1" outlineLevel="1" collapsed="1" x14ac:dyDescent="0.25">
      <c r="A78" s="28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SUM(OSRRefD22_8x_0)</f>
        <v>1000</v>
      </c>
      <c r="E78" s="1"/>
      <c r="F78" s="5">
        <f t="shared" si="28"/>
        <v>2.0816610656106259E-2</v>
      </c>
      <c r="G78" s="1"/>
      <c r="H78" s="1">
        <f>SUM(OSRRefH22_8x_0)</f>
        <v>1000</v>
      </c>
      <c r="I78" s="1"/>
      <c r="J78" s="5">
        <f t="shared" si="29"/>
        <v>1.4484356894553883E-2</v>
      </c>
      <c r="K78" s="1"/>
      <c r="L78" s="1">
        <f t="shared" si="30"/>
        <v>0</v>
      </c>
      <c r="M78" s="1"/>
      <c r="N78" s="5">
        <f t="shared" si="31"/>
        <v>0</v>
      </c>
      <c r="O78" s="14"/>
      <c r="P78" s="1">
        <f>SUM(OSRRefP22_8x_0)</f>
        <v>1000</v>
      </c>
      <c r="Q78" s="1"/>
      <c r="R78" s="5">
        <f t="shared" si="32"/>
        <v>2.0816610656106259E-2</v>
      </c>
      <c r="S78" s="1"/>
      <c r="T78" s="1">
        <f>SUM(OSRRefT22_8x_0)</f>
        <v>1000</v>
      </c>
      <c r="U78" s="1"/>
      <c r="V78" s="5">
        <f t="shared" si="33"/>
        <v>1.4484356894553883E-2</v>
      </c>
      <c r="W78" s="1"/>
      <c r="X78" s="1">
        <f t="shared" si="34"/>
        <v>0</v>
      </c>
      <c r="Y78" s="1"/>
      <c r="Z78" s="5">
        <f t="shared" si="35"/>
        <v>0</v>
      </c>
    </row>
    <row r="79" spans="1:26" s="24" customFormat="1" hidden="1" outlineLevel="2" x14ac:dyDescent="0.25">
      <c r="A79" s="27"/>
      <c r="B79" s="12" t="str">
        <f>CONCATENATE("          ", "6408", " - ", "INVENTORY ADJUSTMENT")</f>
        <v xml:space="preserve">          6408 - INVENTORY ADJUSTMENT</v>
      </c>
      <c r="C79" s="12"/>
      <c r="D79" s="7">
        <v>1000</v>
      </c>
      <c r="E79" s="3"/>
      <c r="F79" s="8">
        <f t="shared" si="28"/>
        <v>2.0816610656106259E-2</v>
      </c>
      <c r="G79" s="3"/>
      <c r="H79" s="7">
        <v>1000</v>
      </c>
      <c r="I79" s="3"/>
      <c r="J79" s="8">
        <f t="shared" si="29"/>
        <v>1.4484356894553883E-2</v>
      </c>
      <c r="K79" s="3"/>
      <c r="L79" s="7">
        <f t="shared" si="30"/>
        <v>0</v>
      </c>
      <c r="M79" s="3"/>
      <c r="N79" s="8">
        <f t="shared" si="31"/>
        <v>0</v>
      </c>
      <c r="O79" s="12"/>
      <c r="P79" s="7">
        <v>1000</v>
      </c>
      <c r="Q79" s="3"/>
      <c r="R79" s="8">
        <f t="shared" si="32"/>
        <v>2.0816610656106259E-2</v>
      </c>
      <c r="S79" s="3"/>
      <c r="T79" s="7">
        <v>1000</v>
      </c>
      <c r="U79" s="3"/>
      <c r="V79" s="8">
        <f t="shared" si="33"/>
        <v>1.4484356894553883E-2</v>
      </c>
      <c r="W79" s="3"/>
      <c r="X79" s="7">
        <f t="shared" si="34"/>
        <v>0</v>
      </c>
      <c r="Y79" s="3"/>
      <c r="Z79" s="8">
        <f t="shared" si="35"/>
        <v>0</v>
      </c>
    </row>
    <row r="80" spans="1:26" s="29" customFormat="1" outlineLevel="1" collapsed="1" x14ac:dyDescent="0.25">
      <c r="A80" s="28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SUM(OSRRefD22_9x_0)</f>
        <v>22.86</v>
      </c>
      <c r="E80" s="1"/>
      <c r="F80" s="5">
        <f t="shared" si="28"/>
        <v>4.7586771959858909E-4</v>
      </c>
      <c r="G80" s="1"/>
      <c r="H80" s="1">
        <f>SUM(OSRRefH22_9x_0)</f>
        <v>140</v>
      </c>
      <c r="I80" s="1"/>
      <c r="J80" s="5">
        <f t="shared" si="29"/>
        <v>2.0278099652375433E-3</v>
      </c>
      <c r="K80" s="1"/>
      <c r="L80" s="1">
        <f t="shared" si="30"/>
        <v>-117.14</v>
      </c>
      <c r="M80" s="1"/>
      <c r="N80" s="5">
        <f t="shared" si="31"/>
        <v>-0.83671428571428574</v>
      </c>
      <c r="O80" s="14"/>
      <c r="P80" s="1">
        <f>SUM(OSRRefP22_9x_0)</f>
        <v>22.86</v>
      </c>
      <c r="Q80" s="1"/>
      <c r="R80" s="5">
        <f t="shared" si="32"/>
        <v>4.7586771959858909E-4</v>
      </c>
      <c r="S80" s="1"/>
      <c r="T80" s="1">
        <f>SUM(OSRRefT22_9x_0)</f>
        <v>140</v>
      </c>
      <c r="U80" s="1"/>
      <c r="V80" s="5">
        <f t="shared" si="33"/>
        <v>2.0278099652375433E-3</v>
      </c>
      <c r="W80" s="1"/>
      <c r="X80" s="1">
        <f t="shared" si="34"/>
        <v>-117.14</v>
      </c>
      <c r="Y80" s="1"/>
      <c r="Z80" s="5">
        <f t="shared" si="35"/>
        <v>-0.83671428571428574</v>
      </c>
    </row>
    <row r="81" spans="1:26" s="24" customFormat="1" hidden="1" outlineLevel="2" x14ac:dyDescent="0.25">
      <c r="A81" s="27"/>
      <c r="B81" s="12" t="str">
        <f>CONCATENATE("          ", "6373", " - ", "MAINTENANCE CONTRACTS")</f>
        <v xml:space="preserve">          6373 - MAINTENANCE CONTRACTS</v>
      </c>
      <c r="C81" s="12"/>
      <c r="D81" s="7">
        <v>22.86</v>
      </c>
      <c r="E81" s="3"/>
      <c r="F81" s="8">
        <f t="shared" si="28"/>
        <v>4.7586771959858909E-4</v>
      </c>
      <c r="G81" s="3"/>
      <c r="H81" s="7">
        <v>40</v>
      </c>
      <c r="I81" s="3"/>
      <c r="J81" s="8">
        <f t="shared" si="29"/>
        <v>5.7937427578215526E-4</v>
      </c>
      <c r="K81" s="3"/>
      <c r="L81" s="7">
        <f t="shared" si="30"/>
        <v>-17.14</v>
      </c>
      <c r="M81" s="3"/>
      <c r="N81" s="8">
        <f t="shared" si="31"/>
        <v>-0.42849999999999999</v>
      </c>
      <c r="O81" s="12"/>
      <c r="P81" s="7">
        <v>22.86</v>
      </c>
      <c r="Q81" s="3"/>
      <c r="R81" s="8">
        <f t="shared" si="32"/>
        <v>4.7586771959858909E-4</v>
      </c>
      <c r="S81" s="3"/>
      <c r="T81" s="7">
        <v>40</v>
      </c>
      <c r="U81" s="3"/>
      <c r="V81" s="8">
        <f t="shared" si="33"/>
        <v>5.7937427578215526E-4</v>
      </c>
      <c r="W81" s="3"/>
      <c r="X81" s="7">
        <f t="shared" si="34"/>
        <v>-17.14</v>
      </c>
      <c r="Y81" s="3"/>
      <c r="Z81" s="8">
        <f t="shared" si="35"/>
        <v>-0.42849999999999999</v>
      </c>
    </row>
    <row r="82" spans="1:26" s="24" customFormat="1" hidden="1" outlineLevel="2" x14ac:dyDescent="0.25">
      <c r="A82" s="27"/>
      <c r="B82" s="12" t="str">
        <f>CONCATENATE("          ", "6375", " - ", "OUTSIDE REPAIRS &amp; MAINTENANCE")</f>
        <v xml:space="preserve">          6375 - OUTSIDE REPAIRS &amp; MAINTENANCE</v>
      </c>
      <c r="C82" s="12"/>
      <c r="D82" s="7"/>
      <c r="E82" s="3"/>
      <c r="F82" s="8">
        <f t="shared" si="28"/>
        <v>0</v>
      </c>
      <c r="G82" s="3"/>
      <c r="H82" s="7">
        <v>100</v>
      </c>
      <c r="I82" s="3"/>
      <c r="J82" s="8">
        <f t="shared" si="29"/>
        <v>1.4484356894553883E-3</v>
      </c>
      <c r="K82" s="3"/>
      <c r="L82" s="7">
        <f t="shared" si="30"/>
        <v>-100</v>
      </c>
      <c r="M82" s="3"/>
      <c r="N82" s="8">
        <f t="shared" si="31"/>
        <v>-1</v>
      </c>
      <c r="O82" s="12"/>
      <c r="P82" s="7"/>
      <c r="Q82" s="3"/>
      <c r="R82" s="8">
        <f t="shared" si="32"/>
        <v>0</v>
      </c>
      <c r="S82" s="3"/>
      <c r="T82" s="7">
        <v>100</v>
      </c>
      <c r="U82" s="3"/>
      <c r="V82" s="8">
        <f t="shared" si="33"/>
        <v>1.4484356894553883E-3</v>
      </c>
      <c r="W82" s="3"/>
      <c r="X82" s="7">
        <f t="shared" si="34"/>
        <v>-100</v>
      </c>
      <c r="Y82" s="3"/>
      <c r="Z82" s="8">
        <f t="shared" si="35"/>
        <v>-1</v>
      </c>
    </row>
    <row r="83" spans="1:26" s="29" customFormat="1" outlineLevel="1" collapsed="1" x14ac:dyDescent="0.25">
      <c r="A83" s="28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SUM(OSRRefD22_10x_0)</f>
        <v>290</v>
      </c>
      <c r="E83" s="1"/>
      <c r="F83" s="5">
        <f t="shared" ref="F83:F88" si="36">IF(D$12=0,0,D83/D$12)</f>
        <v>6.036817090270815E-3</v>
      </c>
      <c r="G83" s="1"/>
      <c r="H83" s="1">
        <f>SUM(OSRRefH22_10x_0)</f>
        <v>300</v>
      </c>
      <c r="I83" s="1"/>
      <c r="J83" s="5">
        <f t="shared" ref="J83:J88" si="37">IF(H$12=0,0,H83/H$12)</f>
        <v>4.3453070683661648E-3</v>
      </c>
      <c r="K83" s="1"/>
      <c r="L83" s="1">
        <f t="shared" ref="L83:L88" si="38">+D83-H83</f>
        <v>-10</v>
      </c>
      <c r="M83" s="1"/>
      <c r="N83" s="5">
        <f t="shared" ref="N83:N88" si="39">IF(H83=0,0,L83/H83)</f>
        <v>-3.3333333333333333E-2</v>
      </c>
      <c r="O83" s="14"/>
      <c r="P83" s="1">
        <f>SUM(OSRRefP22_10x_0)</f>
        <v>290</v>
      </c>
      <c r="Q83" s="1"/>
      <c r="R83" s="5">
        <f t="shared" ref="R83:R88" si="40">IF(P$12=0,0,P83/P$12)</f>
        <v>6.036817090270815E-3</v>
      </c>
      <c r="S83" s="1"/>
      <c r="T83" s="1">
        <f>SUM(OSRRefT22_10x_0)</f>
        <v>300</v>
      </c>
      <c r="U83" s="1"/>
      <c r="V83" s="5">
        <f t="shared" ref="V83:V88" si="41">IF(T$12=0,0,T83/T$12)</f>
        <v>4.3453070683661648E-3</v>
      </c>
      <c r="W83" s="1"/>
      <c r="X83" s="1">
        <f t="shared" ref="X83:X88" si="42">+P83-T83</f>
        <v>-10</v>
      </c>
      <c r="Y83" s="1"/>
      <c r="Z83" s="5">
        <f t="shared" ref="Z83:Z88" si="43">IF(T83=0,0,X83/T83)</f>
        <v>-3.3333333333333333E-2</v>
      </c>
    </row>
    <row r="84" spans="1:26" s="24" customFormat="1" hidden="1" outlineLevel="2" x14ac:dyDescent="0.25">
      <c r="A84" s="27"/>
      <c r="B84" s="12" t="str">
        <f>CONCATENATE("          ", "6258", " - ", "MEMBERSHIP DUES")</f>
        <v xml:space="preserve">          6258 - MEMBERSHIP DUES</v>
      </c>
      <c r="C84" s="12"/>
      <c r="D84" s="7">
        <v>290</v>
      </c>
      <c r="E84" s="3"/>
      <c r="F84" s="8">
        <f t="shared" si="36"/>
        <v>6.036817090270815E-3</v>
      </c>
      <c r="G84" s="3"/>
      <c r="H84" s="7">
        <v>300</v>
      </c>
      <c r="I84" s="3"/>
      <c r="J84" s="8">
        <f t="shared" si="37"/>
        <v>4.3453070683661648E-3</v>
      </c>
      <c r="K84" s="3"/>
      <c r="L84" s="7">
        <f t="shared" si="38"/>
        <v>-10</v>
      </c>
      <c r="M84" s="3"/>
      <c r="N84" s="8">
        <f t="shared" si="39"/>
        <v>-3.3333333333333333E-2</v>
      </c>
      <c r="O84" s="12"/>
      <c r="P84" s="7">
        <v>290</v>
      </c>
      <c r="Q84" s="3"/>
      <c r="R84" s="8">
        <f t="shared" si="40"/>
        <v>6.036817090270815E-3</v>
      </c>
      <c r="S84" s="3"/>
      <c r="T84" s="7">
        <v>300</v>
      </c>
      <c r="U84" s="3"/>
      <c r="V84" s="8">
        <f t="shared" si="41"/>
        <v>4.3453070683661648E-3</v>
      </c>
      <c r="W84" s="3"/>
      <c r="X84" s="7">
        <f t="shared" si="42"/>
        <v>-10</v>
      </c>
      <c r="Y84" s="3"/>
      <c r="Z84" s="8">
        <f t="shared" si="43"/>
        <v>-3.3333333333333333E-2</v>
      </c>
    </row>
    <row r="85" spans="1:26" s="29" customFormat="1" outlineLevel="1" collapsed="1" x14ac:dyDescent="0.25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SUM(OSRRefD22_11x_0)</f>
        <v>792.76</v>
      </c>
      <c r="E85" s="1"/>
      <c r="F85" s="5">
        <f t="shared" si="36"/>
        <v>1.6502576263734799E-2</v>
      </c>
      <c r="G85" s="1"/>
      <c r="H85" s="1">
        <f>SUM(OSRRefH22_11x_0)</f>
        <v>900</v>
      </c>
      <c r="I85" s="1"/>
      <c r="J85" s="5">
        <f t="shared" si="37"/>
        <v>1.3035921205098494E-2</v>
      </c>
      <c r="K85" s="1"/>
      <c r="L85" s="1">
        <f t="shared" si="38"/>
        <v>-107.24000000000001</v>
      </c>
      <c r="M85" s="1"/>
      <c r="N85" s="5">
        <f t="shared" si="39"/>
        <v>-0.11915555555555557</v>
      </c>
      <c r="O85" s="14"/>
      <c r="P85" s="1">
        <f>SUM(OSRRefP22_11x_0)</f>
        <v>792.76</v>
      </c>
      <c r="Q85" s="1"/>
      <c r="R85" s="5">
        <f t="shared" si="40"/>
        <v>1.6502576263734799E-2</v>
      </c>
      <c r="S85" s="1"/>
      <c r="T85" s="1">
        <f>SUM(OSRRefT22_11x_0)</f>
        <v>900</v>
      </c>
      <c r="U85" s="1"/>
      <c r="V85" s="5">
        <f t="shared" si="41"/>
        <v>1.3035921205098494E-2</v>
      </c>
      <c r="W85" s="1"/>
      <c r="X85" s="1">
        <f t="shared" si="42"/>
        <v>-107.24000000000001</v>
      </c>
      <c r="Y85" s="1"/>
      <c r="Z85" s="5">
        <f t="shared" si="43"/>
        <v>-0.11915555555555557</v>
      </c>
    </row>
    <row r="86" spans="1:26" s="24" customFormat="1" hidden="1" outlineLevel="2" x14ac:dyDescent="0.25">
      <c r="A86" s="27"/>
      <c r="B86" s="12" t="str">
        <f>CONCATENATE("          ", "6241", " - ", "OFFICE EXPENSE")</f>
        <v xml:space="preserve">          6241 - OFFICE EXPENSE</v>
      </c>
      <c r="C86" s="12"/>
      <c r="D86" s="7">
        <v>159.66</v>
      </c>
      <c r="E86" s="3"/>
      <c r="F86" s="8">
        <f t="shared" si="36"/>
        <v>3.3235800573539255E-3</v>
      </c>
      <c r="G86" s="3"/>
      <c r="H86" s="7">
        <v>300</v>
      </c>
      <c r="I86" s="3"/>
      <c r="J86" s="8">
        <f t="shared" si="37"/>
        <v>4.3453070683661648E-3</v>
      </c>
      <c r="K86" s="3"/>
      <c r="L86" s="7">
        <f t="shared" si="38"/>
        <v>-140.34</v>
      </c>
      <c r="M86" s="3"/>
      <c r="N86" s="8">
        <f t="shared" si="39"/>
        <v>-0.46779999999999999</v>
      </c>
      <c r="O86" s="12"/>
      <c r="P86" s="7">
        <v>159.66</v>
      </c>
      <c r="Q86" s="3"/>
      <c r="R86" s="8">
        <f t="shared" si="40"/>
        <v>3.3235800573539255E-3</v>
      </c>
      <c r="S86" s="3"/>
      <c r="T86" s="7">
        <v>300</v>
      </c>
      <c r="U86" s="3"/>
      <c r="V86" s="8">
        <f t="shared" si="41"/>
        <v>4.3453070683661648E-3</v>
      </c>
      <c r="W86" s="3"/>
      <c r="X86" s="7">
        <f t="shared" si="42"/>
        <v>-140.34</v>
      </c>
      <c r="Y86" s="3"/>
      <c r="Z86" s="8">
        <f t="shared" si="43"/>
        <v>-0.46779999999999999</v>
      </c>
    </row>
    <row r="87" spans="1:26" s="24" customFormat="1" hidden="1" outlineLevel="2" x14ac:dyDescent="0.25">
      <c r="A87" s="27"/>
      <c r="B87" s="12" t="str">
        <f>CONCATENATE("          ", "6245", " - ", "PRINTING")</f>
        <v xml:space="preserve">          6245 - PRINTING</v>
      </c>
      <c r="C87" s="12"/>
      <c r="D87" s="7"/>
      <c r="E87" s="3"/>
      <c r="F87" s="8">
        <f t="shared" si="36"/>
        <v>0</v>
      </c>
      <c r="G87" s="3"/>
      <c r="H87" s="7">
        <v>100</v>
      </c>
      <c r="I87" s="3"/>
      <c r="J87" s="8">
        <f t="shared" si="37"/>
        <v>1.4484356894553883E-3</v>
      </c>
      <c r="K87" s="3"/>
      <c r="L87" s="7">
        <f t="shared" si="38"/>
        <v>-100</v>
      </c>
      <c r="M87" s="3"/>
      <c r="N87" s="8">
        <f t="shared" si="39"/>
        <v>-1</v>
      </c>
      <c r="O87" s="12"/>
      <c r="P87" s="7"/>
      <c r="Q87" s="3"/>
      <c r="R87" s="8">
        <f t="shared" si="40"/>
        <v>0</v>
      </c>
      <c r="S87" s="3"/>
      <c r="T87" s="7">
        <v>100</v>
      </c>
      <c r="U87" s="3"/>
      <c r="V87" s="8">
        <f t="shared" si="41"/>
        <v>1.4484356894553883E-3</v>
      </c>
      <c r="W87" s="3"/>
      <c r="X87" s="7">
        <f t="shared" si="42"/>
        <v>-100</v>
      </c>
      <c r="Y87" s="3"/>
      <c r="Z87" s="8">
        <f t="shared" si="43"/>
        <v>-1</v>
      </c>
    </row>
    <row r="88" spans="1:26" s="24" customFormat="1" hidden="1" outlineLevel="2" x14ac:dyDescent="0.25">
      <c r="A88" s="27"/>
      <c r="B88" s="12" t="str">
        <f>CONCATENATE("          ", "6247", " - ", "STORE SUPPLIES")</f>
        <v xml:space="preserve">          6247 - STORE SUPPLIES</v>
      </c>
      <c r="C88" s="12"/>
      <c r="D88" s="7">
        <v>633.1</v>
      </c>
      <c r="E88" s="3"/>
      <c r="F88" s="8">
        <f t="shared" si="36"/>
        <v>1.3178996206380873E-2</v>
      </c>
      <c r="G88" s="3"/>
      <c r="H88" s="7">
        <v>500</v>
      </c>
      <c r="I88" s="3"/>
      <c r="J88" s="8">
        <f t="shared" si="37"/>
        <v>7.2421784472769413E-3</v>
      </c>
      <c r="K88" s="3"/>
      <c r="L88" s="7">
        <f t="shared" si="38"/>
        <v>133.10000000000002</v>
      </c>
      <c r="M88" s="3"/>
      <c r="N88" s="8">
        <f t="shared" si="39"/>
        <v>0.26620000000000005</v>
      </c>
      <c r="O88" s="12"/>
      <c r="P88" s="7">
        <v>633.1</v>
      </c>
      <c r="Q88" s="3"/>
      <c r="R88" s="8">
        <f t="shared" si="40"/>
        <v>1.3178996206380873E-2</v>
      </c>
      <c r="S88" s="3"/>
      <c r="T88" s="7">
        <v>500</v>
      </c>
      <c r="U88" s="3"/>
      <c r="V88" s="8">
        <f t="shared" si="41"/>
        <v>7.2421784472769413E-3</v>
      </c>
      <c r="W88" s="3"/>
      <c r="X88" s="7">
        <f t="shared" si="42"/>
        <v>133.10000000000002</v>
      </c>
      <c r="Y88" s="3"/>
      <c r="Z88" s="8">
        <f t="shared" si="43"/>
        <v>0.26620000000000005</v>
      </c>
    </row>
    <row r="89" spans="1:26" s="29" customFormat="1" outlineLevel="1" collapsed="1" x14ac:dyDescent="0.25">
      <c r="A89" s="28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SUM(OSRRefD22_12x_0)</f>
        <v>760.5</v>
      </c>
      <c r="E89" s="1"/>
      <c r="F89" s="5">
        <f t="shared" ref="F89:F91" si="44">IF(D$12=0,0,D89/D$12)</f>
        <v>1.5831032403968812E-2</v>
      </c>
      <c r="G89" s="1"/>
      <c r="H89" s="1">
        <f>SUM(OSRRefH22_12x_0)</f>
        <v>600</v>
      </c>
      <c r="I89" s="1"/>
      <c r="J89" s="5">
        <f t="shared" ref="J89:J91" si="45">IF(H$12=0,0,H89/H$12)</f>
        <v>8.6906141367323296E-3</v>
      </c>
      <c r="K89" s="1"/>
      <c r="L89" s="1">
        <f t="shared" ref="L89:L91" si="46">+D89-H89</f>
        <v>160.5</v>
      </c>
      <c r="M89" s="1"/>
      <c r="N89" s="5">
        <f t="shared" ref="N89:N91" si="47">IF(H89=0,0,L89/H89)</f>
        <v>0.26750000000000002</v>
      </c>
      <c r="O89" s="14"/>
      <c r="P89" s="1">
        <f>SUM(OSRRefP22_12x_0)</f>
        <v>760.5</v>
      </c>
      <c r="Q89" s="1"/>
      <c r="R89" s="5">
        <f t="shared" ref="R89:R91" si="48">IF(P$12=0,0,P89/P$12)</f>
        <v>1.5831032403968812E-2</v>
      </c>
      <c r="S89" s="1"/>
      <c r="T89" s="1">
        <f>SUM(OSRRefT22_12x_0)</f>
        <v>600</v>
      </c>
      <c r="U89" s="1"/>
      <c r="V89" s="5">
        <f t="shared" ref="V89:V91" si="49">IF(T$12=0,0,T89/T$12)</f>
        <v>8.6906141367323296E-3</v>
      </c>
      <c r="W89" s="1"/>
      <c r="X89" s="1">
        <f t="shared" ref="X89:X91" si="50">+P89-T89</f>
        <v>160.5</v>
      </c>
      <c r="Y89" s="1"/>
      <c r="Z89" s="5">
        <f t="shared" ref="Z89:Z91" si="51">IF(T89=0,0,X89/T89)</f>
        <v>0.26750000000000002</v>
      </c>
    </row>
    <row r="90" spans="1:26" s="24" customFormat="1" hidden="1" outlineLevel="2" x14ac:dyDescent="0.25">
      <c r="A90" s="27"/>
      <c r="B90" s="12" t="str">
        <f>CONCATENATE("          ", "6303", " - ", "DATA PHONE LINES")</f>
        <v xml:space="preserve">          6303 - DATA PHONE LINES</v>
      </c>
      <c r="C90" s="12"/>
      <c r="D90" s="7">
        <v>295</v>
      </c>
      <c r="E90" s="3"/>
      <c r="F90" s="8">
        <f t="shared" si="44"/>
        <v>6.1409001435513465E-3</v>
      </c>
      <c r="G90" s="3"/>
      <c r="H90" s="7">
        <v>300</v>
      </c>
      <c r="I90" s="3"/>
      <c r="J90" s="8">
        <f t="shared" si="45"/>
        <v>4.3453070683661648E-3</v>
      </c>
      <c r="K90" s="3"/>
      <c r="L90" s="7">
        <f t="shared" si="46"/>
        <v>-5</v>
      </c>
      <c r="M90" s="3"/>
      <c r="N90" s="8">
        <f t="shared" si="47"/>
        <v>-1.6666666666666666E-2</v>
      </c>
      <c r="O90" s="12"/>
      <c r="P90" s="7">
        <v>295</v>
      </c>
      <c r="Q90" s="3"/>
      <c r="R90" s="8">
        <f t="shared" si="48"/>
        <v>6.1409001435513465E-3</v>
      </c>
      <c r="S90" s="3"/>
      <c r="T90" s="7">
        <v>300</v>
      </c>
      <c r="U90" s="3"/>
      <c r="V90" s="8">
        <f t="shared" si="49"/>
        <v>4.3453070683661648E-3</v>
      </c>
      <c r="W90" s="3"/>
      <c r="X90" s="7">
        <f t="shared" si="50"/>
        <v>-5</v>
      </c>
      <c r="Y90" s="3"/>
      <c r="Z90" s="8">
        <f t="shared" si="51"/>
        <v>-1.6666666666666666E-2</v>
      </c>
    </row>
    <row r="91" spans="1:26" s="24" customFormat="1" hidden="1" outlineLevel="2" x14ac:dyDescent="0.25">
      <c r="A91" s="27"/>
      <c r="B91" s="12" t="str">
        <f>CONCATENATE("          ", "6309", " - ", "TELEPHONE")</f>
        <v xml:space="preserve">          6309 - TELEPHONE</v>
      </c>
      <c r="C91" s="12"/>
      <c r="D91" s="7">
        <v>465.5</v>
      </c>
      <c r="E91" s="3"/>
      <c r="F91" s="8">
        <f t="shared" si="44"/>
        <v>9.6901322604174642E-3</v>
      </c>
      <c r="G91" s="3"/>
      <c r="H91" s="7">
        <v>300</v>
      </c>
      <c r="I91" s="3"/>
      <c r="J91" s="8">
        <f t="shared" si="45"/>
        <v>4.3453070683661648E-3</v>
      </c>
      <c r="K91" s="3"/>
      <c r="L91" s="7">
        <f t="shared" si="46"/>
        <v>165.5</v>
      </c>
      <c r="M91" s="3"/>
      <c r="N91" s="8">
        <f t="shared" si="47"/>
        <v>0.55166666666666664</v>
      </c>
      <c r="O91" s="12"/>
      <c r="P91" s="7">
        <v>465.5</v>
      </c>
      <c r="Q91" s="3"/>
      <c r="R91" s="8">
        <f t="shared" si="48"/>
        <v>9.6901322604174642E-3</v>
      </c>
      <c r="S91" s="3"/>
      <c r="T91" s="7">
        <v>300</v>
      </c>
      <c r="U91" s="3"/>
      <c r="V91" s="8">
        <f t="shared" si="49"/>
        <v>4.3453070683661648E-3</v>
      </c>
      <c r="W91" s="3"/>
      <c r="X91" s="7">
        <f t="shared" si="50"/>
        <v>165.5</v>
      </c>
      <c r="Y91" s="3"/>
      <c r="Z91" s="8">
        <f t="shared" si="51"/>
        <v>0.55166666666666664</v>
      </c>
    </row>
    <row r="92" spans="1:26" s="29" customFormat="1" outlineLevel="1" collapsed="1" x14ac:dyDescent="0.25">
      <c r="A92" s="28"/>
      <c r="B92" s="14" t="str">
        <f>CONCATENATE("     ","Travel                                            ")</f>
        <v xml:space="preserve">     Travel                                            </v>
      </c>
      <c r="C92" s="14"/>
      <c r="D92" s="1">
        <f>SUM(OSRRefD22_13x_0)</f>
        <v>0.16</v>
      </c>
      <c r="E92" s="1"/>
      <c r="F92" s="5">
        <f t="shared" ref="F92:F93" si="52">IF(D$12=0,0,D92/D$12)</f>
        <v>3.3306577049770017E-6</v>
      </c>
      <c r="G92" s="1"/>
      <c r="H92" s="1">
        <f>SUM(OSRRefH22_13x_0)</f>
        <v>0</v>
      </c>
      <c r="I92" s="1"/>
      <c r="J92" s="5">
        <f t="shared" ref="J92:J93" si="53">IF(H$12=0,0,H92/H$12)</f>
        <v>0</v>
      </c>
      <c r="K92" s="1"/>
      <c r="L92" s="1">
        <f t="shared" ref="L92:L93" si="54">+D92-H92</f>
        <v>0.16</v>
      </c>
      <c r="M92" s="1"/>
      <c r="N92" s="5">
        <f t="shared" ref="N92:N93" si="55">IF(H92=0,0,L92/H92)</f>
        <v>0</v>
      </c>
      <c r="O92" s="14"/>
      <c r="P92" s="1">
        <f>SUM(OSRRefP22_13x_0)</f>
        <v>0.16</v>
      </c>
      <c r="Q92" s="1"/>
      <c r="R92" s="5">
        <f t="shared" ref="R92:R93" si="56">IF(P$12=0,0,P92/P$12)</f>
        <v>3.3306577049770017E-6</v>
      </c>
      <c r="S92" s="1"/>
      <c r="T92" s="1">
        <f>SUM(OSRRefT22_13x_0)</f>
        <v>0</v>
      </c>
      <c r="U92" s="1"/>
      <c r="V92" s="5">
        <f t="shared" ref="V92:V93" si="57">IF(T$12=0,0,T92/T$12)</f>
        <v>0</v>
      </c>
      <c r="W92" s="1"/>
      <c r="X92" s="1">
        <f t="shared" ref="X92:X93" si="58">+P92-T92</f>
        <v>0.16</v>
      </c>
      <c r="Y92" s="1"/>
      <c r="Z92" s="5">
        <f t="shared" ref="Z92:Z93" si="59">IF(T92=0,0,X92/T92)</f>
        <v>0</v>
      </c>
    </row>
    <row r="93" spans="1:26" s="24" customFormat="1" hidden="1" outlineLevel="2" x14ac:dyDescent="0.25">
      <c r="A93" s="27"/>
      <c r="B93" s="12" t="str">
        <f>CONCATENATE("          ", "6292", " - ", "TRAVEL/CONFERENCE")</f>
        <v xml:space="preserve">          6292 - TRAVEL/CONFERENCE</v>
      </c>
      <c r="C93" s="12"/>
      <c r="D93" s="7">
        <v>0.16</v>
      </c>
      <c r="E93" s="3"/>
      <c r="F93" s="8">
        <f t="shared" si="52"/>
        <v>3.3306577049770017E-6</v>
      </c>
      <c r="G93" s="3"/>
      <c r="H93" s="7"/>
      <c r="I93" s="3"/>
      <c r="J93" s="8">
        <f t="shared" si="53"/>
        <v>0</v>
      </c>
      <c r="K93" s="3"/>
      <c r="L93" s="7">
        <f t="shared" si="54"/>
        <v>0.16</v>
      </c>
      <c r="M93" s="3"/>
      <c r="N93" s="8">
        <f t="shared" si="55"/>
        <v>0</v>
      </c>
      <c r="O93" s="12"/>
      <c r="P93" s="7">
        <v>0.16</v>
      </c>
      <c r="Q93" s="3"/>
      <c r="R93" s="8">
        <f t="shared" si="56"/>
        <v>3.3306577049770017E-6</v>
      </c>
      <c r="S93" s="3"/>
      <c r="T93" s="7"/>
      <c r="U93" s="3"/>
      <c r="V93" s="8">
        <f t="shared" si="57"/>
        <v>0</v>
      </c>
      <c r="W93" s="3"/>
      <c r="X93" s="7">
        <f t="shared" si="58"/>
        <v>0.16</v>
      </c>
      <c r="Y93" s="3"/>
      <c r="Z93" s="8">
        <f t="shared" si="59"/>
        <v>0</v>
      </c>
    </row>
    <row r="94" spans="1:26" s="54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2" customFormat="1" collapsed="1" x14ac:dyDescent="0.25">
      <c r="A95" s="10"/>
      <c r="B95" s="26" t="s">
        <v>0</v>
      </c>
      <c r="C95" s="10"/>
      <c r="D95" s="4">
        <f>SUM(OSRRefD25x_0)</f>
        <v>2056.9300000000003</v>
      </c>
      <c r="E95" s="4"/>
      <c r="F95" s="11">
        <f t="shared" ref="F95:F98" si="60">IF(D$12=0,0,D95/D$12)</f>
        <v>4.2818310956864655E-2</v>
      </c>
      <c r="G95" s="4"/>
      <c r="H95" s="4">
        <f>SUM(OSRRefH25x_0)</f>
        <v>200</v>
      </c>
      <c r="I95" s="4"/>
      <c r="J95" s="11">
        <f t="shared" ref="J95:J98" si="61">IF(H$12=0,0,H95/H$12)</f>
        <v>2.8968713789107765E-3</v>
      </c>
      <c r="K95" s="4"/>
      <c r="L95" s="4">
        <f t="shared" ref="L95:L98" si="62">+D95-H95</f>
        <v>1856.9300000000003</v>
      </c>
      <c r="M95" s="4"/>
      <c r="N95" s="11">
        <f t="shared" ref="N95:N98" si="63">IF(H95=0,0,L95/H95)</f>
        <v>9.284650000000001</v>
      </c>
      <c r="O95" s="10"/>
      <c r="P95" s="4">
        <f>SUM(OSRRefP25x_0)</f>
        <v>2056.9300000000003</v>
      </c>
      <c r="Q95" s="4"/>
      <c r="R95" s="11">
        <f t="shared" ref="R95:R98" si="64">IF(P$12=0,0,P95/P$12)</f>
        <v>4.2818310956864655E-2</v>
      </c>
      <c r="S95" s="4"/>
      <c r="T95" s="4">
        <f>SUM(OSRRefT25x_0)</f>
        <v>200</v>
      </c>
      <c r="U95" s="4"/>
      <c r="V95" s="11">
        <f t="shared" ref="V95:V98" si="65">IF(T$12=0,0,T95/T$12)</f>
        <v>2.8968713789107765E-3</v>
      </c>
      <c r="W95" s="4"/>
      <c r="X95" s="4">
        <f t="shared" ref="X95:X98" si="66">+P95-T95</f>
        <v>1856.9300000000003</v>
      </c>
      <c r="Y95" s="4"/>
      <c r="Z95" s="11">
        <f t="shared" ref="Z95:Z98" si="67">IF(T95=0,0,X95/T95)</f>
        <v>9.284650000000001</v>
      </c>
    </row>
    <row r="96" spans="1:26" s="24" customFormat="1" hidden="1" outlineLevel="1" x14ac:dyDescent="0.25">
      <c r="A96" s="51"/>
      <c r="B96" s="12" t="str">
        <f>CONCATENATE("          ", "9150", " - ", "MISC. INCOME")</f>
        <v xml:space="preserve">          9150 - MISC. INCOME</v>
      </c>
      <c r="C96" s="12"/>
      <c r="D96" s="3">
        <f>--582.54</f>
        <v>582.54</v>
      </c>
      <c r="E96" s="3"/>
      <c r="F96" s="23">
        <f t="shared" si="60"/>
        <v>1.2126508371608139E-2</v>
      </c>
      <c r="G96" s="3"/>
      <c r="H96" s="3"/>
      <c r="I96" s="3"/>
      <c r="J96" s="23">
        <f t="shared" si="61"/>
        <v>0</v>
      </c>
      <c r="K96" s="3"/>
      <c r="L96" s="3">
        <f t="shared" si="62"/>
        <v>582.54</v>
      </c>
      <c r="M96" s="3"/>
      <c r="N96" s="23">
        <f t="shared" si="63"/>
        <v>0</v>
      </c>
      <c r="O96" s="12"/>
      <c r="P96" s="3">
        <f>--582.54</f>
        <v>582.54</v>
      </c>
      <c r="Q96" s="3"/>
      <c r="R96" s="23">
        <f t="shared" si="64"/>
        <v>1.2126508371608139E-2</v>
      </c>
      <c r="S96" s="3"/>
      <c r="T96" s="3"/>
      <c r="U96" s="3"/>
      <c r="V96" s="23">
        <f t="shared" si="65"/>
        <v>0</v>
      </c>
      <c r="W96" s="3"/>
      <c r="X96" s="3">
        <f t="shared" si="66"/>
        <v>582.54</v>
      </c>
      <c r="Y96" s="3"/>
      <c r="Z96" s="23">
        <f t="shared" si="67"/>
        <v>0</v>
      </c>
    </row>
    <row r="97" spans="1:26" s="24" customFormat="1" hidden="1" outlineLevel="1" x14ac:dyDescent="0.25">
      <c r="A97" s="51"/>
      <c r="B97" s="12" t="str">
        <f>CONCATENATE("          ", "9151", " - ", "MISC. INCOME")</f>
        <v xml:space="preserve">          9151 - MISC. INCOME</v>
      </c>
      <c r="C97" s="12"/>
      <c r="D97" s="3">
        <f>0</f>
        <v>0</v>
      </c>
      <c r="E97" s="3"/>
      <c r="F97" s="23">
        <f t="shared" si="60"/>
        <v>0</v>
      </c>
      <c r="G97" s="3"/>
      <c r="H97" s="3">
        <v>200</v>
      </c>
      <c r="I97" s="3"/>
      <c r="J97" s="23">
        <f t="shared" si="61"/>
        <v>2.8968713789107765E-3</v>
      </c>
      <c r="K97" s="3"/>
      <c r="L97" s="3">
        <f t="shared" si="62"/>
        <v>-200</v>
      </c>
      <c r="M97" s="3"/>
      <c r="N97" s="23">
        <f t="shared" si="63"/>
        <v>-1</v>
      </c>
      <c r="O97" s="12"/>
      <c r="P97" s="3">
        <f>0</f>
        <v>0</v>
      </c>
      <c r="Q97" s="3"/>
      <c r="R97" s="23">
        <f t="shared" si="64"/>
        <v>0</v>
      </c>
      <c r="S97" s="3"/>
      <c r="T97" s="3">
        <v>200</v>
      </c>
      <c r="U97" s="3"/>
      <c r="V97" s="23">
        <f t="shared" si="65"/>
        <v>2.8968713789107765E-3</v>
      </c>
      <c r="W97" s="3"/>
      <c r="X97" s="3">
        <f t="shared" si="66"/>
        <v>-200</v>
      </c>
      <c r="Y97" s="3"/>
      <c r="Z97" s="23">
        <f t="shared" si="67"/>
        <v>-1</v>
      </c>
    </row>
    <row r="98" spans="1:26" s="24" customFormat="1" hidden="1" outlineLevel="1" x14ac:dyDescent="0.25">
      <c r="A98" s="51"/>
      <c r="B98" s="12" t="str">
        <f>CONCATENATE("          ", "9152", " - ", "MISC. INCOME")</f>
        <v xml:space="preserve">          9152 - MISC. INCOME</v>
      </c>
      <c r="C98" s="12"/>
      <c r="D98" s="3">
        <f>--1474.39</f>
        <v>1474.39</v>
      </c>
      <c r="E98" s="3"/>
      <c r="F98" s="23">
        <f t="shared" si="60"/>
        <v>3.0691802585256511E-2</v>
      </c>
      <c r="G98" s="3"/>
      <c r="H98" s="3"/>
      <c r="I98" s="3"/>
      <c r="J98" s="23">
        <f t="shared" si="61"/>
        <v>0</v>
      </c>
      <c r="K98" s="3"/>
      <c r="L98" s="3">
        <f t="shared" si="62"/>
        <v>1474.39</v>
      </c>
      <c r="M98" s="3"/>
      <c r="N98" s="23">
        <f t="shared" si="63"/>
        <v>0</v>
      </c>
      <c r="O98" s="12"/>
      <c r="P98" s="3">
        <f>--1474.39</f>
        <v>1474.39</v>
      </c>
      <c r="Q98" s="3"/>
      <c r="R98" s="23">
        <f t="shared" si="64"/>
        <v>3.0691802585256511E-2</v>
      </c>
      <c r="S98" s="3"/>
      <c r="T98" s="3"/>
      <c r="U98" s="3"/>
      <c r="V98" s="23">
        <f t="shared" si="65"/>
        <v>0</v>
      </c>
      <c r="W98" s="3"/>
      <c r="X98" s="3">
        <f t="shared" si="66"/>
        <v>1474.39</v>
      </c>
      <c r="Y98" s="3"/>
      <c r="Z98" s="23">
        <f t="shared" si="67"/>
        <v>0</v>
      </c>
    </row>
    <row r="99" spans="1:26" x14ac:dyDescent="0.25">
      <c r="A99" s="9"/>
      <c r="B99" s="10"/>
      <c r="C99" s="10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O99" s="10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s="22" customFormat="1" x14ac:dyDescent="0.25">
      <c r="A100" s="10"/>
      <c r="B100" s="25" t="s">
        <v>3</v>
      </c>
      <c r="C100" s="25"/>
      <c r="D100" s="21">
        <f>+D41-D43+D95</f>
        <v>-20865.900000000038</v>
      </c>
      <c r="E100" s="13"/>
      <c r="F100" s="20">
        <f>IF(D$12=0,0,D100/D$12)</f>
        <v>-0.4343573162892484</v>
      </c>
      <c r="G100" s="13"/>
      <c r="H100" s="21">
        <f>+H41-H43+H95</f>
        <v>-26881.394117326941</v>
      </c>
      <c r="I100" s="13"/>
      <c r="J100" s="20">
        <f>IF(H$12=0,0,H100/H$12)</f>
        <v>-0.38935970621852467</v>
      </c>
      <c r="K100" s="15"/>
      <c r="L100" s="21">
        <f>+D100-H100</f>
        <v>6015.4941173269035</v>
      </c>
      <c r="M100" s="15"/>
      <c r="N100" s="20">
        <f>IF(H100=0,0,L100/H100)</f>
        <v>-0.22377909758220077</v>
      </c>
      <c r="O100" s="26"/>
      <c r="P100" s="21">
        <f>+P41-P43+P95</f>
        <v>-20865.900000000038</v>
      </c>
      <c r="Q100" s="13"/>
      <c r="R100" s="20">
        <f>IF(P$12=0,0,P100/P$12)</f>
        <v>-0.4343573162892484</v>
      </c>
      <c r="S100" s="13"/>
      <c r="T100" s="21">
        <f>+T41-T43+T95</f>
        <v>-26881.394117326941</v>
      </c>
      <c r="U100" s="13"/>
      <c r="V100" s="20">
        <f>IF(T$12=0,0,T100/T$12)</f>
        <v>-0.38935970621852467</v>
      </c>
      <c r="W100" s="15"/>
      <c r="X100" s="21">
        <f>+P100-T100</f>
        <v>6015.4941173269035</v>
      </c>
      <c r="Y100" s="15"/>
      <c r="Z100" s="20">
        <f>IF(T100=0,0,X100/T100)</f>
        <v>-0.22377909758220077</v>
      </c>
    </row>
    <row r="101" spans="1:26" x14ac:dyDescent="0.25">
      <c r="A101" s="9"/>
      <c r="B101" s="10"/>
      <c r="C101" s="9"/>
      <c r="D101" s="2"/>
      <c r="E101" s="2"/>
      <c r="F101" s="6"/>
      <c r="G101" s="2"/>
      <c r="H101" s="2"/>
      <c r="I101" s="2"/>
      <c r="J101" s="6"/>
      <c r="K101" s="2"/>
      <c r="L101" s="2"/>
      <c r="M101" s="2"/>
      <c r="N101" s="6"/>
      <c r="P101" s="2"/>
      <c r="Q101" s="2"/>
      <c r="R101" s="6"/>
      <c r="S101" s="2"/>
      <c r="T101" s="2"/>
      <c r="U101" s="2"/>
      <c r="V101" s="6"/>
      <c r="W101" s="2"/>
      <c r="X101" s="2"/>
      <c r="Y101" s="2"/>
      <c r="Z101" s="6"/>
    </row>
    <row r="102" spans="1:26" s="22" customFormat="1" x14ac:dyDescent="0.25">
      <c r="A102" s="52"/>
      <c r="B102" s="10" t="s">
        <v>14</v>
      </c>
      <c r="C102" s="10"/>
      <c r="D102" s="4">
        <v>23474.36</v>
      </c>
      <c r="E102" s="4"/>
      <c r="F102" s="11">
        <f>IF(D$12=0,0,D102/D$12)</f>
        <v>0.48865661252127451</v>
      </c>
      <c r="G102" s="4"/>
      <c r="H102" s="4">
        <v>33536</v>
      </c>
      <c r="I102" s="4"/>
      <c r="J102" s="11">
        <f>IF(H$12=0,0,H102/H$12)</f>
        <v>0.48574739281575896</v>
      </c>
      <c r="K102" s="4"/>
      <c r="L102" s="4">
        <f>+D102-H102</f>
        <v>-10061.64</v>
      </c>
      <c r="M102" s="4"/>
      <c r="N102" s="11">
        <f>IF(H102=0,0,L102/H102)</f>
        <v>-0.30002504770992366</v>
      </c>
      <c r="O102" s="10"/>
      <c r="P102" s="4">
        <v>23474.36</v>
      </c>
      <c r="Q102" s="4"/>
      <c r="R102" s="11">
        <f>IF(P$12=0,0,P102/P$12)</f>
        <v>0.48865661252127451</v>
      </c>
      <c r="S102" s="4"/>
      <c r="T102" s="4">
        <v>33536</v>
      </c>
      <c r="U102" s="4"/>
      <c r="V102" s="11">
        <f>IF(T$12=0,0,T102/T$12)</f>
        <v>0.48574739281575896</v>
      </c>
      <c r="W102" s="4"/>
      <c r="X102" s="4">
        <f>+P102-T102</f>
        <v>-10061.64</v>
      </c>
      <c r="Y102" s="4"/>
      <c r="Z102" s="11">
        <f>IF(T102=0,0,X102/T102)</f>
        <v>-0.30002504770992366</v>
      </c>
    </row>
    <row r="103" spans="1:26" x14ac:dyDescent="0.25">
      <c r="A103" s="9"/>
      <c r="B103" s="10"/>
      <c r="C103" s="10"/>
      <c r="D103" s="2"/>
      <c r="E103" s="2"/>
      <c r="F103" s="6"/>
      <c r="G103" s="2"/>
      <c r="H103" s="2"/>
      <c r="I103" s="2"/>
      <c r="J103" s="6"/>
      <c r="K103" s="2"/>
      <c r="L103" s="2"/>
      <c r="M103" s="2"/>
      <c r="N103" s="6"/>
      <c r="O103" s="10"/>
      <c r="P103" s="2"/>
      <c r="Q103" s="2"/>
      <c r="R103" s="6"/>
      <c r="S103" s="2"/>
      <c r="T103" s="2"/>
      <c r="U103" s="2"/>
      <c r="V103" s="6"/>
      <c r="W103" s="2"/>
      <c r="X103" s="2"/>
      <c r="Y103" s="2"/>
      <c r="Z103" s="6"/>
    </row>
    <row r="104" spans="1:26" s="22" customFormat="1" ht="15.75" thickBot="1" x14ac:dyDescent="0.3">
      <c r="A104" s="10"/>
      <c r="B104" s="25" t="s">
        <v>4</v>
      </c>
      <c r="C104" s="25"/>
      <c r="D104" s="34">
        <f>+D100-D102</f>
        <v>-44340.260000000038</v>
      </c>
      <c r="E104" s="13"/>
      <c r="F104" s="30">
        <f>IF(D$12=0,0,D104/D$12)</f>
        <v>-0.92301392881052291</v>
      </c>
      <c r="G104" s="13"/>
      <c r="H104" s="34">
        <f>+H100-H102</f>
        <v>-60417.394117326941</v>
      </c>
      <c r="I104" s="13"/>
      <c r="J104" s="30">
        <f>IF(H$12=0,0,H104/H$12)</f>
        <v>-0.87510709903428363</v>
      </c>
      <c r="K104" s="15"/>
      <c r="L104" s="34">
        <f>D104-H104</f>
        <v>16077.134117326903</v>
      </c>
      <c r="M104" s="15"/>
      <c r="N104" s="30">
        <f>IF(H104=0,0,L104/H104)</f>
        <v>-0.26610108483173034</v>
      </c>
      <c r="O104" s="26"/>
      <c r="P104" s="34">
        <f>+P100-P102</f>
        <v>-44340.260000000038</v>
      </c>
      <c r="Q104" s="13"/>
      <c r="R104" s="30">
        <f>IF(P$12=0,0,P104/P$12)</f>
        <v>-0.92301392881052291</v>
      </c>
      <c r="S104" s="13"/>
      <c r="T104" s="34">
        <f>+T100-T102</f>
        <v>-60417.394117326941</v>
      </c>
      <c r="U104" s="13"/>
      <c r="V104" s="30">
        <f>IF(T$12=0,0,T104/T$12)</f>
        <v>-0.87510709903428363</v>
      </c>
      <c r="W104" s="15"/>
      <c r="X104" s="34">
        <f>P104-T104</f>
        <v>16077.134117326903</v>
      </c>
      <c r="Y104" s="15"/>
      <c r="Z104" s="30">
        <f>IF(T104=0,0,X104/T104)</f>
        <v>-0.26610108483173034</v>
      </c>
    </row>
    <row r="105" spans="1:26" ht="15.75" thickTop="1" x14ac:dyDescent="0.25">
      <c r="A105" s="9"/>
      <c r="B105" s="9"/>
      <c r="C105" s="9"/>
      <c r="D105" s="2"/>
      <c r="E105" s="2"/>
      <c r="F105" s="6"/>
      <c r="G105" s="2"/>
      <c r="H105" s="2"/>
      <c r="I105" s="2"/>
      <c r="J105" s="6"/>
      <c r="K105" s="2"/>
      <c r="L105" s="2"/>
      <c r="M105" s="2"/>
      <c r="N105" s="6"/>
      <c r="P105" s="2"/>
      <c r="Q105" s="2"/>
      <c r="R105" s="6"/>
      <c r="S105" s="2"/>
      <c r="T105" s="2"/>
      <c r="U105" s="2"/>
      <c r="V105" s="6"/>
      <c r="W105" s="2"/>
      <c r="X105" s="2"/>
      <c r="Y105" s="2"/>
      <c r="Z105" s="6"/>
    </row>
    <row r="106" spans="1:26" x14ac:dyDescent="0.25">
      <c r="A106" s="9"/>
      <c r="B106" s="9"/>
      <c r="C106" s="9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s="22" customFormat="1" ht="15.75" thickBot="1" x14ac:dyDescent="0.3">
      <c r="A107" s="10"/>
      <c r="B107" s="25" t="s">
        <v>5</v>
      </c>
      <c r="C107" s="25"/>
      <c r="D107" s="32">
        <f>SUM(D104:D106)</f>
        <v>-44340.260000000038</v>
      </c>
      <c r="E107" s="13"/>
      <c r="F107" s="33">
        <f>IF(D$12=0,0,D107/D$12)</f>
        <v>-0.92301392881052291</v>
      </c>
      <c r="G107" s="13"/>
      <c r="H107" s="32">
        <f>SUM(H104:H106)</f>
        <v>-60417.394117326941</v>
      </c>
      <c r="I107" s="13"/>
      <c r="J107" s="33">
        <f>IF(H$12=0,0,H107/H$12)</f>
        <v>-0.87510709903428363</v>
      </c>
      <c r="K107" s="15"/>
      <c r="L107" s="32">
        <f>+D107-H107</f>
        <v>16077.134117326903</v>
      </c>
      <c r="M107" s="15"/>
      <c r="N107" s="33">
        <f>IF(H107=0,0,L107/H107)</f>
        <v>-0.26610108483173034</v>
      </c>
      <c r="O107" s="26"/>
      <c r="P107" s="32">
        <f>SUM(P104:P106)</f>
        <v>-44340.260000000038</v>
      </c>
      <c r="Q107" s="13"/>
      <c r="R107" s="33">
        <f>IF(P$12=0,0,P107/P$12)</f>
        <v>-0.92301392881052291</v>
      </c>
      <c r="S107" s="13"/>
      <c r="T107" s="32">
        <f>SUM(T104:T106)</f>
        <v>-60417.394117326941</v>
      </c>
      <c r="U107" s="13"/>
      <c r="V107" s="33">
        <f>IF(T$12=0,0,T107/T$12)</f>
        <v>-0.87510709903428363</v>
      </c>
      <c r="W107" s="15"/>
      <c r="X107" s="32">
        <f>+P107-T107</f>
        <v>16077.134117326903</v>
      </c>
      <c r="Y107" s="15"/>
      <c r="Z107" s="33">
        <f>IF(T107=0,0,X107/T107)</f>
        <v>-0.26610108483173034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8">
        <v>44104.685496215279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6" t="s">
        <v>314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62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","311", " - ", "Textbooks")</f>
        <v>Department 311 - Textbooks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40738.920000000006</v>
      </c>
      <c r="E12" s="4"/>
      <c r="F12" s="11"/>
      <c r="G12" s="4"/>
      <c r="H12" s="4">
        <f>SUM(OSRRefH13x_0)</f>
        <v>55903</v>
      </c>
      <c r="I12" s="4"/>
      <c r="J12" s="11"/>
      <c r="K12" s="4"/>
      <c r="L12" s="4">
        <f t="shared" ref="L12:L25" si="0">+D12-H12</f>
        <v>-15164.079999999994</v>
      </c>
      <c r="M12" s="4"/>
      <c r="N12" s="11">
        <f t="shared" ref="N12:N25" si="1">IF(H12=0,0,L12/H12)</f>
        <v>-0.27125699872994286</v>
      </c>
      <c r="O12" s="10"/>
      <c r="P12" s="4">
        <f>SUM(OSRRefP13x_0)</f>
        <v>40738.920000000006</v>
      </c>
      <c r="Q12" s="4"/>
      <c r="R12" s="11"/>
      <c r="S12" s="4"/>
      <c r="T12" s="4">
        <f>SUM(OSRRefT13x_0)</f>
        <v>55903</v>
      </c>
      <c r="U12" s="4"/>
      <c r="V12" s="11"/>
      <c r="W12" s="4"/>
      <c r="X12" s="4">
        <f t="shared" ref="X12:X25" si="2">+P12-T12</f>
        <v>-15164.079999999994</v>
      </c>
      <c r="Y12" s="4"/>
      <c r="Z12" s="11">
        <f t="shared" ref="Z12:Z25" si="3">IF(T12=0,0,X12/T12)</f>
        <v>-0.27125699872994286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-770.07</f>
        <v>-770.07</v>
      </c>
      <c r="E13" s="3"/>
      <c r="F13" s="23"/>
      <c r="G13" s="3"/>
      <c r="H13" s="3">
        <v>55903</v>
      </c>
      <c r="I13" s="3"/>
      <c r="J13" s="23"/>
      <c r="K13" s="3"/>
      <c r="L13" s="3">
        <f t="shared" si="0"/>
        <v>-56673.07</v>
      </c>
      <c r="M13" s="3"/>
      <c r="N13" s="23">
        <f t="shared" si="1"/>
        <v>-1.0137751104591883</v>
      </c>
      <c r="O13" s="12"/>
      <c r="P13" s="3">
        <f>-770.07</f>
        <v>-770.07</v>
      </c>
      <c r="Q13" s="3"/>
      <c r="R13" s="23"/>
      <c r="S13" s="3"/>
      <c r="T13" s="3">
        <v>55903</v>
      </c>
      <c r="U13" s="3"/>
      <c r="V13" s="23"/>
      <c r="W13" s="3"/>
      <c r="X13" s="3">
        <f t="shared" si="2"/>
        <v>-56673.07</v>
      </c>
      <c r="Y13" s="3"/>
      <c r="Z13" s="23">
        <f t="shared" si="3"/>
        <v>-1.0137751104591883</v>
      </c>
    </row>
    <row r="14" spans="1:26" s="24" customFormat="1" hidden="1" outlineLevel="1" x14ac:dyDescent="0.25">
      <c r="A14" s="51"/>
      <c r="B14" s="12" t="str">
        <f>CONCATENATE("          ", "4001", " - ", "TAXABLE SALES-NEW TEXT")</f>
        <v xml:space="preserve">          4001 - TAXABLE SALES-NEW TEXT</v>
      </c>
      <c r="C14" s="12"/>
      <c r="D14" s="3">
        <f>--10034.9</f>
        <v>10034.9</v>
      </c>
      <c r="E14" s="3"/>
      <c r="F14" s="23"/>
      <c r="G14" s="3"/>
      <c r="H14" s="3"/>
      <c r="I14" s="3"/>
      <c r="J14" s="23"/>
      <c r="K14" s="3"/>
      <c r="L14" s="3">
        <f t="shared" si="0"/>
        <v>10034.9</v>
      </c>
      <c r="M14" s="3"/>
      <c r="N14" s="23">
        <f t="shared" si="1"/>
        <v>0</v>
      </c>
      <c r="O14" s="12"/>
      <c r="P14" s="3">
        <f>--10034.9</f>
        <v>10034.9</v>
      </c>
      <c r="Q14" s="3"/>
      <c r="R14" s="23"/>
      <c r="S14" s="3"/>
      <c r="T14" s="3"/>
      <c r="U14" s="3"/>
      <c r="V14" s="23"/>
      <c r="W14" s="3"/>
      <c r="X14" s="3">
        <f t="shared" si="2"/>
        <v>10034.9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"4002", " - ", "TAXABLE SALES-USED TEXT")</f>
        <v xml:space="preserve">          4002 - TAXABLE SALES-USED TEXT</v>
      </c>
      <c r="C15" s="12"/>
      <c r="D15" s="3">
        <f>--10680.95</f>
        <v>10680.95</v>
      </c>
      <c r="E15" s="3"/>
      <c r="F15" s="23"/>
      <c r="G15" s="3"/>
      <c r="H15" s="3"/>
      <c r="I15" s="3"/>
      <c r="J15" s="23"/>
      <c r="K15" s="3"/>
      <c r="L15" s="3">
        <f t="shared" si="0"/>
        <v>10680.95</v>
      </c>
      <c r="M15" s="3"/>
      <c r="N15" s="23">
        <f t="shared" si="1"/>
        <v>0</v>
      </c>
      <c r="O15" s="12"/>
      <c r="P15" s="3">
        <f>--10680.95</f>
        <v>10680.95</v>
      </c>
      <c r="Q15" s="3"/>
      <c r="R15" s="23"/>
      <c r="S15" s="3"/>
      <c r="T15" s="3"/>
      <c r="U15" s="3"/>
      <c r="V15" s="23"/>
      <c r="W15" s="3"/>
      <c r="X15" s="3">
        <f t="shared" si="2"/>
        <v>10680.95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"4014", " - ", "TAXABLE SALES-REMAINDERS")</f>
        <v xml:space="preserve">          4014 - TAXABLE SALES-REMAINDERS</v>
      </c>
      <c r="C16" s="12"/>
      <c r="D16" s="3">
        <f>--31.84</f>
        <v>31.84</v>
      </c>
      <c r="E16" s="3"/>
      <c r="F16" s="23"/>
      <c r="G16" s="3"/>
      <c r="H16" s="3"/>
      <c r="I16" s="3"/>
      <c r="J16" s="23"/>
      <c r="K16" s="3"/>
      <c r="L16" s="3">
        <f t="shared" si="0"/>
        <v>31.84</v>
      </c>
      <c r="M16" s="3"/>
      <c r="N16" s="23">
        <f t="shared" si="1"/>
        <v>0</v>
      </c>
      <c r="O16" s="12"/>
      <c r="P16" s="3">
        <f>--31.84</f>
        <v>31.84</v>
      </c>
      <c r="Q16" s="3"/>
      <c r="R16" s="23"/>
      <c r="S16" s="3"/>
      <c r="T16" s="3"/>
      <c r="U16" s="3"/>
      <c r="V16" s="23"/>
      <c r="W16" s="3"/>
      <c r="X16" s="3">
        <f t="shared" si="2"/>
        <v>31.84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"4018", " - ", "TAXABLE SALES-STUDY GUIDES")</f>
        <v xml:space="preserve">          4018 - TAXABLE SALES-STUDY GUIDES</v>
      </c>
      <c r="C17" s="12"/>
      <c r="D17" s="3">
        <f>--16.99</f>
        <v>16.989999999999998</v>
      </c>
      <c r="E17" s="3"/>
      <c r="F17" s="23"/>
      <c r="G17" s="3"/>
      <c r="H17" s="3"/>
      <c r="I17" s="3"/>
      <c r="J17" s="23"/>
      <c r="K17" s="3"/>
      <c r="L17" s="3">
        <f t="shared" si="0"/>
        <v>16.989999999999998</v>
      </c>
      <c r="M17" s="3"/>
      <c r="N17" s="23">
        <f t="shared" si="1"/>
        <v>0</v>
      </c>
      <c r="O17" s="12"/>
      <c r="P17" s="3">
        <f>--16.99</f>
        <v>16.989999999999998</v>
      </c>
      <c r="Q17" s="3"/>
      <c r="R17" s="23"/>
      <c r="S17" s="3"/>
      <c r="T17" s="3"/>
      <c r="U17" s="3"/>
      <c r="V17" s="23"/>
      <c r="W17" s="3"/>
      <c r="X17" s="3">
        <f t="shared" si="2"/>
        <v>16.989999999999998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"4101", " - ", "NON-TAXABLE SALES-NEW TEXT")</f>
        <v xml:space="preserve">          4101 - NON-TAXABLE SALES-NEW TEXT</v>
      </c>
      <c r="C18" s="12"/>
      <c r="D18" s="3">
        <f>--10341.86</f>
        <v>10341.86</v>
      </c>
      <c r="E18" s="3"/>
      <c r="F18" s="23"/>
      <c r="G18" s="3"/>
      <c r="H18" s="3"/>
      <c r="I18" s="3"/>
      <c r="J18" s="23"/>
      <c r="K18" s="3"/>
      <c r="L18" s="3">
        <f t="shared" si="0"/>
        <v>10341.86</v>
      </c>
      <c r="M18" s="3"/>
      <c r="N18" s="23">
        <f t="shared" si="1"/>
        <v>0</v>
      </c>
      <c r="O18" s="12"/>
      <c r="P18" s="3">
        <f>--10341.86</f>
        <v>10341.86</v>
      </c>
      <c r="Q18" s="3"/>
      <c r="R18" s="23"/>
      <c r="S18" s="3"/>
      <c r="T18" s="3"/>
      <c r="U18" s="3"/>
      <c r="V18" s="23"/>
      <c r="W18" s="3"/>
      <c r="X18" s="3">
        <f t="shared" si="2"/>
        <v>10341.86</v>
      </c>
      <c r="Y18" s="3"/>
      <c r="Z18" s="23">
        <f t="shared" si="3"/>
        <v>0</v>
      </c>
    </row>
    <row r="19" spans="1:26" s="24" customFormat="1" hidden="1" outlineLevel="1" x14ac:dyDescent="0.25">
      <c r="A19" s="51"/>
      <c r="B19" s="12" t="str">
        <f>CONCATENATE("          ", "4102", " - ", "NON-TAXABLE SALES-USED TEXT")</f>
        <v xml:space="preserve">          4102 - NON-TAXABLE SALES-USED TEXT</v>
      </c>
      <c r="C19" s="12"/>
      <c r="D19" s="3">
        <f>--4190.44</f>
        <v>4190.4399999999996</v>
      </c>
      <c r="E19" s="3"/>
      <c r="F19" s="23"/>
      <c r="G19" s="3"/>
      <c r="H19" s="3"/>
      <c r="I19" s="3"/>
      <c r="J19" s="23"/>
      <c r="K19" s="3"/>
      <c r="L19" s="3">
        <f t="shared" si="0"/>
        <v>4190.4399999999996</v>
      </c>
      <c r="M19" s="3"/>
      <c r="N19" s="23">
        <f t="shared" si="1"/>
        <v>0</v>
      </c>
      <c r="O19" s="12"/>
      <c r="P19" s="3">
        <f>--4190.44</f>
        <v>4190.4399999999996</v>
      </c>
      <c r="Q19" s="3"/>
      <c r="R19" s="23"/>
      <c r="S19" s="3"/>
      <c r="T19" s="3"/>
      <c r="U19" s="3"/>
      <c r="V19" s="23"/>
      <c r="W19" s="3"/>
      <c r="X19" s="3">
        <f t="shared" si="2"/>
        <v>4190.4399999999996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"4104", " - ", "NON-TAXABLE SALES-DIGITAL TEXT")</f>
        <v xml:space="preserve">          4104 - NON-TAXABLE SALES-DIGITAL TEXT</v>
      </c>
      <c r="C20" s="12"/>
      <c r="D20" s="3">
        <f>--7485.52</f>
        <v>7485.52</v>
      </c>
      <c r="E20" s="3"/>
      <c r="F20" s="23"/>
      <c r="G20" s="3"/>
      <c r="H20" s="3"/>
      <c r="I20" s="3"/>
      <c r="J20" s="23"/>
      <c r="K20" s="3"/>
      <c r="L20" s="3">
        <f t="shared" si="0"/>
        <v>7485.52</v>
      </c>
      <c r="M20" s="3"/>
      <c r="N20" s="23">
        <f t="shared" si="1"/>
        <v>0</v>
      </c>
      <c r="O20" s="12"/>
      <c r="P20" s="3">
        <f>--7485.52</f>
        <v>7485.52</v>
      </c>
      <c r="Q20" s="3"/>
      <c r="R20" s="23"/>
      <c r="S20" s="3"/>
      <c r="T20" s="3"/>
      <c r="U20" s="3"/>
      <c r="V20" s="23"/>
      <c r="W20" s="3"/>
      <c r="X20" s="3">
        <f t="shared" si="2"/>
        <v>7485.52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"4118", " - ", "NON-TAXABLE SALES-STUDY GUIDES")</f>
        <v xml:space="preserve">          4118 - NON-TAXABLE SALES-STUDY GUIDES</v>
      </c>
      <c r="C21" s="12"/>
      <c r="D21" s="3">
        <f>--53.96</f>
        <v>53.96</v>
      </c>
      <c r="E21" s="3"/>
      <c r="F21" s="23"/>
      <c r="G21" s="3"/>
      <c r="H21" s="3"/>
      <c r="I21" s="3"/>
      <c r="J21" s="23"/>
      <c r="K21" s="3"/>
      <c r="L21" s="3">
        <f t="shared" si="0"/>
        <v>53.96</v>
      </c>
      <c r="M21" s="3"/>
      <c r="N21" s="23">
        <f t="shared" si="1"/>
        <v>0</v>
      </c>
      <c r="O21" s="12"/>
      <c r="P21" s="3">
        <f>--53.96</f>
        <v>53.96</v>
      </c>
      <c r="Q21" s="3"/>
      <c r="R21" s="23"/>
      <c r="S21" s="3"/>
      <c r="T21" s="3"/>
      <c r="U21" s="3"/>
      <c r="V21" s="23"/>
      <c r="W21" s="3"/>
      <c r="X21" s="3">
        <f t="shared" si="2"/>
        <v>53.96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"4201", " - ", "SALES RETURN TAXABLE-NEW TEXT")</f>
        <v xml:space="preserve">          4201 - SALES RETURN TAXABLE-NEW TEXT</v>
      </c>
      <c r="C22" s="12"/>
      <c r="D22" s="3">
        <f>-633.4</f>
        <v>-633.4</v>
      </c>
      <c r="E22" s="3"/>
      <c r="F22" s="23"/>
      <c r="G22" s="3"/>
      <c r="H22" s="3"/>
      <c r="I22" s="3"/>
      <c r="J22" s="23"/>
      <c r="K22" s="3"/>
      <c r="L22" s="3">
        <f t="shared" si="0"/>
        <v>-633.4</v>
      </c>
      <c r="M22" s="3"/>
      <c r="N22" s="23">
        <f t="shared" si="1"/>
        <v>0</v>
      </c>
      <c r="O22" s="12"/>
      <c r="P22" s="3">
        <f>-633.4</f>
        <v>-633.4</v>
      </c>
      <c r="Q22" s="3"/>
      <c r="R22" s="23"/>
      <c r="S22" s="3"/>
      <c r="T22" s="3"/>
      <c r="U22" s="3"/>
      <c r="V22" s="23"/>
      <c r="W22" s="3"/>
      <c r="X22" s="3">
        <f t="shared" si="2"/>
        <v>-633.4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"4202", " - ", "SALES RETURN TAXABLE-USED TEXT")</f>
        <v xml:space="preserve">          4202 - SALES RETURN TAXABLE-USED TEXT</v>
      </c>
      <c r="C23" s="12"/>
      <c r="D23" s="3">
        <f>-178.35</f>
        <v>-178.35</v>
      </c>
      <c r="E23" s="3"/>
      <c r="F23" s="23"/>
      <c r="G23" s="3"/>
      <c r="H23" s="3"/>
      <c r="I23" s="3"/>
      <c r="J23" s="23"/>
      <c r="K23" s="3"/>
      <c r="L23" s="3">
        <f t="shared" si="0"/>
        <v>-178.35</v>
      </c>
      <c r="M23" s="3"/>
      <c r="N23" s="23">
        <f t="shared" si="1"/>
        <v>0</v>
      </c>
      <c r="O23" s="12"/>
      <c r="P23" s="3">
        <f>-178.35</f>
        <v>-178.35</v>
      </c>
      <c r="Q23" s="3"/>
      <c r="R23" s="23"/>
      <c r="S23" s="3"/>
      <c r="T23" s="3"/>
      <c r="U23" s="3"/>
      <c r="V23" s="23"/>
      <c r="W23" s="3"/>
      <c r="X23" s="3">
        <f t="shared" si="2"/>
        <v>-178.35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"4302", " - ", "SALES RETURN NON TAXABLE-TEXT")</f>
        <v xml:space="preserve">          4302 - SALES RETURN NON TAXABLE-TEXT</v>
      </c>
      <c r="C24" s="12"/>
      <c r="D24" s="3">
        <f>-63.67</f>
        <v>-63.67</v>
      </c>
      <c r="E24" s="3"/>
      <c r="F24" s="23"/>
      <c r="G24" s="3"/>
      <c r="H24" s="3"/>
      <c r="I24" s="3"/>
      <c r="J24" s="23"/>
      <c r="K24" s="3"/>
      <c r="L24" s="3">
        <f t="shared" si="0"/>
        <v>-63.67</v>
      </c>
      <c r="M24" s="3"/>
      <c r="N24" s="23">
        <f t="shared" si="1"/>
        <v>0</v>
      </c>
      <c r="O24" s="12"/>
      <c r="P24" s="3">
        <f>-63.67</f>
        <v>-63.67</v>
      </c>
      <c r="Q24" s="3"/>
      <c r="R24" s="23"/>
      <c r="S24" s="3"/>
      <c r="T24" s="3"/>
      <c r="U24" s="3"/>
      <c r="V24" s="23"/>
      <c r="W24" s="3"/>
      <c r="X24" s="3">
        <f t="shared" si="2"/>
        <v>-63.67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"4304", " - ", "SALES RETURN NON TAXABLE-DIGIT")</f>
        <v xml:space="preserve">          4304 - SALES RETURN NON TAXABLE-DIGIT</v>
      </c>
      <c r="C25" s="12"/>
      <c r="D25" s="3">
        <f>-452.05</f>
        <v>-452.05</v>
      </c>
      <c r="E25" s="3"/>
      <c r="F25" s="23"/>
      <c r="G25" s="3"/>
      <c r="H25" s="3"/>
      <c r="I25" s="3"/>
      <c r="J25" s="23"/>
      <c r="K25" s="3"/>
      <c r="L25" s="3">
        <f t="shared" si="0"/>
        <v>-452.05</v>
      </c>
      <c r="M25" s="3"/>
      <c r="N25" s="23">
        <f t="shared" si="1"/>
        <v>0</v>
      </c>
      <c r="O25" s="12"/>
      <c r="P25" s="3">
        <f>-452.05</f>
        <v>-452.05</v>
      </c>
      <c r="Q25" s="3"/>
      <c r="R25" s="23"/>
      <c r="S25" s="3"/>
      <c r="T25" s="3"/>
      <c r="U25" s="3"/>
      <c r="V25" s="23"/>
      <c r="W25" s="3"/>
      <c r="X25" s="3">
        <f t="shared" si="2"/>
        <v>-452.05</v>
      </c>
      <c r="Y25" s="3"/>
      <c r="Z25" s="23">
        <f t="shared" si="3"/>
        <v>0</v>
      </c>
    </row>
    <row r="26" spans="1:26" x14ac:dyDescent="0.25">
      <c r="A26" s="9"/>
      <c r="B26" s="10"/>
      <c r="C26" s="9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collapsed="1" x14ac:dyDescent="0.25">
      <c r="A27" s="10"/>
      <c r="B27" s="26" t="s">
        <v>8</v>
      </c>
      <c r="C27" s="10"/>
      <c r="D27" s="4">
        <f>SUM(OSRRefD16x_0)</f>
        <v>26088.000000000015</v>
      </c>
      <c r="E27" s="4"/>
      <c r="F27" s="11">
        <f t="shared" ref="F27:F38" si="4">IF(D$12=0,0,D27/D$12)</f>
        <v>0.64037043691879925</v>
      </c>
      <c r="G27" s="4"/>
      <c r="H27" s="4">
        <f>SUM(OSRRefH16x_0)</f>
        <v>40809</v>
      </c>
      <c r="I27" s="4"/>
      <c r="J27" s="11">
        <f t="shared" ref="J27:J38" si="5">IF(H$12=0,0,H27/H$12)</f>
        <v>0.72999660125574661</v>
      </c>
      <c r="K27" s="4"/>
      <c r="L27" s="4">
        <f t="shared" ref="L27:L38" si="6">+D27-H27</f>
        <v>-14720.999999999985</v>
      </c>
      <c r="M27" s="4"/>
      <c r="N27" s="11">
        <f t="shared" ref="N27:N38" si="7">IF(H27=0,0,L27/H27)</f>
        <v>-0.36072925090053631</v>
      </c>
      <c r="O27" s="10"/>
      <c r="P27" s="4">
        <f>SUM(OSRRefP16x_0)</f>
        <v>26088.000000000015</v>
      </c>
      <c r="Q27" s="4"/>
      <c r="R27" s="11">
        <f t="shared" ref="R27:R38" si="8">IF(P$12=0,0,P27/P$12)</f>
        <v>0.64037043691879925</v>
      </c>
      <c r="S27" s="4"/>
      <c r="T27" s="4">
        <f>SUM(OSRRefT16x_0)</f>
        <v>40809</v>
      </c>
      <c r="U27" s="4"/>
      <c r="V27" s="11">
        <f t="shared" ref="V27:V38" si="9">IF(T$12=0,0,T27/T$12)</f>
        <v>0.72999660125574661</v>
      </c>
      <c r="W27" s="4"/>
      <c r="X27" s="4">
        <f t="shared" ref="X27:X38" si="10">+P27-T27</f>
        <v>-14720.999999999985</v>
      </c>
      <c r="Y27" s="4"/>
      <c r="Z27" s="11">
        <f t="shared" ref="Z27:Z38" si="11">IF(T27=0,0,X27/T27)</f>
        <v>-0.36072925090053631</v>
      </c>
    </row>
    <row r="28" spans="1:26" s="24" customFormat="1" hidden="1" outlineLevel="1" x14ac:dyDescent="0.25">
      <c r="A28" s="51"/>
      <c r="B28" s="12" t="str">
        <f>CONCATENATE("          ", "5000", " - ", "PURCHASES @ COST")</f>
        <v xml:space="preserve">          5000 - PURCHASES @ COST</v>
      </c>
      <c r="C28" s="12"/>
      <c r="D28" s="3"/>
      <c r="E28" s="3"/>
      <c r="F28" s="23">
        <f t="shared" si="4"/>
        <v>0</v>
      </c>
      <c r="G28" s="3"/>
      <c r="H28" s="3">
        <v>40809</v>
      </c>
      <c r="I28" s="3"/>
      <c r="J28" s="23">
        <f t="shared" si="5"/>
        <v>0.72999660125574661</v>
      </c>
      <c r="K28" s="3"/>
      <c r="L28" s="3">
        <f t="shared" si="6"/>
        <v>-40809</v>
      </c>
      <c r="M28" s="3"/>
      <c r="N28" s="23">
        <f t="shared" si="7"/>
        <v>-1</v>
      </c>
      <c r="O28" s="12"/>
      <c r="P28" s="3"/>
      <c r="Q28" s="3"/>
      <c r="R28" s="23">
        <f t="shared" si="8"/>
        <v>0</v>
      </c>
      <c r="S28" s="3"/>
      <c r="T28" s="3">
        <v>40809</v>
      </c>
      <c r="U28" s="3"/>
      <c r="V28" s="23">
        <f t="shared" si="9"/>
        <v>0.72999660125574661</v>
      </c>
      <c r="W28" s="3"/>
      <c r="X28" s="3">
        <f t="shared" si="10"/>
        <v>-40809</v>
      </c>
      <c r="Y28" s="3"/>
      <c r="Z28" s="23">
        <f t="shared" si="11"/>
        <v>-1</v>
      </c>
    </row>
    <row r="29" spans="1:26" s="24" customFormat="1" hidden="1" outlineLevel="1" x14ac:dyDescent="0.25">
      <c r="A29" s="51"/>
      <c r="B29" s="12" t="str">
        <f>CONCATENATE("          ", "5001", " - ", "PURCHASES @ COST-NEW TEXT")</f>
        <v xml:space="preserve">          5001 - PURCHASES @ COST-NEW TEXT</v>
      </c>
      <c r="C29" s="12"/>
      <c r="D29" s="3">
        <v>151457.41</v>
      </c>
      <c r="E29" s="3"/>
      <c r="F29" s="23">
        <f t="shared" si="4"/>
        <v>3.7177571226728636</v>
      </c>
      <c r="G29" s="3"/>
      <c r="H29" s="3"/>
      <c r="I29" s="3"/>
      <c r="J29" s="23">
        <f t="shared" si="5"/>
        <v>0</v>
      </c>
      <c r="K29" s="3"/>
      <c r="L29" s="3">
        <f t="shared" si="6"/>
        <v>151457.41</v>
      </c>
      <c r="M29" s="3"/>
      <c r="N29" s="23">
        <f t="shared" si="7"/>
        <v>0</v>
      </c>
      <c r="O29" s="12"/>
      <c r="P29" s="3">
        <v>151457.41</v>
      </c>
      <c r="Q29" s="3"/>
      <c r="R29" s="23">
        <f t="shared" si="8"/>
        <v>3.7177571226728636</v>
      </c>
      <c r="S29" s="3"/>
      <c r="T29" s="3"/>
      <c r="U29" s="3"/>
      <c r="V29" s="23">
        <f t="shared" si="9"/>
        <v>0</v>
      </c>
      <c r="W29" s="3"/>
      <c r="X29" s="3">
        <f t="shared" si="10"/>
        <v>151457.41</v>
      </c>
      <c r="Y29" s="3"/>
      <c r="Z29" s="23">
        <f t="shared" si="11"/>
        <v>0</v>
      </c>
    </row>
    <row r="30" spans="1:26" s="24" customFormat="1" hidden="1" outlineLevel="1" x14ac:dyDescent="0.25">
      <c r="A30" s="51"/>
      <c r="B30" s="12" t="str">
        <f>CONCATENATE("          ", "5002", " - ", "PURCHASES @ COST-USED TEXT")</f>
        <v xml:space="preserve">          5002 - PURCHASES @ COST-USED TEXT</v>
      </c>
      <c r="C30" s="12"/>
      <c r="D30" s="3">
        <v>57248.79</v>
      </c>
      <c r="E30" s="3"/>
      <c r="F30" s="23">
        <f t="shared" si="4"/>
        <v>1.4052603750909447</v>
      </c>
      <c r="G30" s="3"/>
      <c r="H30" s="3"/>
      <c r="I30" s="3"/>
      <c r="J30" s="23">
        <f t="shared" si="5"/>
        <v>0</v>
      </c>
      <c r="K30" s="3"/>
      <c r="L30" s="3">
        <f t="shared" si="6"/>
        <v>57248.79</v>
      </c>
      <c r="M30" s="3"/>
      <c r="N30" s="23">
        <f t="shared" si="7"/>
        <v>0</v>
      </c>
      <c r="O30" s="12"/>
      <c r="P30" s="3">
        <v>57248.79</v>
      </c>
      <c r="Q30" s="3"/>
      <c r="R30" s="23">
        <f t="shared" si="8"/>
        <v>1.4052603750909447</v>
      </c>
      <c r="S30" s="3"/>
      <c r="T30" s="3"/>
      <c r="U30" s="3"/>
      <c r="V30" s="23">
        <f t="shared" si="9"/>
        <v>0</v>
      </c>
      <c r="W30" s="3"/>
      <c r="X30" s="3">
        <f t="shared" si="10"/>
        <v>57248.79</v>
      </c>
      <c r="Y30" s="3"/>
      <c r="Z30" s="23">
        <f t="shared" si="11"/>
        <v>0</v>
      </c>
    </row>
    <row r="31" spans="1:26" s="24" customFormat="1" hidden="1" outlineLevel="1" x14ac:dyDescent="0.25">
      <c r="A31" s="51"/>
      <c r="B31" s="12" t="str">
        <f>CONCATENATE("          ", "5003", " - ", "PURCHASES @ COST-RENTAL TEXT")</f>
        <v xml:space="preserve">          5003 - PURCHASES @ COST-RENTAL TEXT</v>
      </c>
      <c r="C31" s="12"/>
      <c r="D31" s="3">
        <v>-11926.64</v>
      </c>
      <c r="E31" s="3"/>
      <c r="F31" s="23">
        <f t="shared" si="4"/>
        <v>-0.29275788361596228</v>
      </c>
      <c r="G31" s="3"/>
      <c r="H31" s="3"/>
      <c r="I31" s="3"/>
      <c r="J31" s="23">
        <f t="shared" si="5"/>
        <v>0</v>
      </c>
      <c r="K31" s="3"/>
      <c r="L31" s="3">
        <f t="shared" si="6"/>
        <v>-11926.64</v>
      </c>
      <c r="M31" s="3"/>
      <c r="N31" s="23">
        <f t="shared" si="7"/>
        <v>0</v>
      </c>
      <c r="O31" s="12"/>
      <c r="P31" s="3">
        <v>-11926.64</v>
      </c>
      <c r="Q31" s="3"/>
      <c r="R31" s="23">
        <f t="shared" si="8"/>
        <v>-0.29275788361596228</v>
      </c>
      <c r="S31" s="3"/>
      <c r="T31" s="3"/>
      <c r="U31" s="3"/>
      <c r="V31" s="23">
        <f t="shared" si="9"/>
        <v>0</v>
      </c>
      <c r="W31" s="3"/>
      <c r="X31" s="3">
        <f t="shared" si="10"/>
        <v>-11926.64</v>
      </c>
      <c r="Y31" s="3"/>
      <c r="Z31" s="23">
        <f t="shared" si="11"/>
        <v>0</v>
      </c>
    </row>
    <row r="32" spans="1:26" s="24" customFormat="1" hidden="1" outlineLevel="1" x14ac:dyDescent="0.25">
      <c r="A32" s="51"/>
      <c r="B32" s="12" t="str">
        <f>CONCATENATE("          ", "5004", " - ", "PURCHASES @ COST-DIGITAL TEXT")</f>
        <v xml:space="preserve">          5004 - PURCHASES @ COST-DIGITAL TEXT</v>
      </c>
      <c r="C32" s="12"/>
      <c r="D32" s="3">
        <v>4925.4799999999996</v>
      </c>
      <c r="E32" s="3"/>
      <c r="F32" s="23">
        <f t="shared" si="4"/>
        <v>0.12090354874405111</v>
      </c>
      <c r="G32" s="3"/>
      <c r="H32" s="3"/>
      <c r="I32" s="3"/>
      <c r="J32" s="23">
        <f t="shared" si="5"/>
        <v>0</v>
      </c>
      <c r="K32" s="3"/>
      <c r="L32" s="3">
        <f t="shared" si="6"/>
        <v>4925.4799999999996</v>
      </c>
      <c r="M32" s="3"/>
      <c r="N32" s="23">
        <f t="shared" si="7"/>
        <v>0</v>
      </c>
      <c r="O32" s="12"/>
      <c r="P32" s="3">
        <v>4925.4799999999996</v>
      </c>
      <c r="Q32" s="3"/>
      <c r="R32" s="23">
        <f t="shared" si="8"/>
        <v>0.12090354874405111</v>
      </c>
      <c r="S32" s="3"/>
      <c r="T32" s="3"/>
      <c r="U32" s="3"/>
      <c r="V32" s="23">
        <f t="shared" si="9"/>
        <v>0</v>
      </c>
      <c r="W32" s="3"/>
      <c r="X32" s="3">
        <f t="shared" si="10"/>
        <v>4925.4799999999996</v>
      </c>
      <c r="Y32" s="3"/>
      <c r="Z32" s="23">
        <f t="shared" si="11"/>
        <v>0</v>
      </c>
    </row>
    <row r="33" spans="1:26" s="24" customFormat="1" hidden="1" outlineLevel="1" x14ac:dyDescent="0.25">
      <c r="A33" s="51"/>
      <c r="B33" s="12" t="str">
        <f>CONCATENATE("          ", "5013", " - ", "PURCHASES @ COST-TRADE BOOKS")</f>
        <v xml:space="preserve">          5013 - PURCHASES @ COST-TRADE BOOKS</v>
      </c>
      <c r="C33" s="12"/>
      <c r="D33" s="3">
        <v>108.54</v>
      </c>
      <c r="E33" s="3"/>
      <c r="F33" s="23">
        <f t="shared" si="4"/>
        <v>2.6642827055798238E-3</v>
      </c>
      <c r="G33" s="3"/>
      <c r="H33" s="3"/>
      <c r="I33" s="3"/>
      <c r="J33" s="23">
        <f t="shared" si="5"/>
        <v>0</v>
      </c>
      <c r="K33" s="3"/>
      <c r="L33" s="3">
        <f t="shared" si="6"/>
        <v>108.54</v>
      </c>
      <c r="M33" s="3"/>
      <c r="N33" s="23">
        <f t="shared" si="7"/>
        <v>0</v>
      </c>
      <c r="O33" s="12"/>
      <c r="P33" s="3">
        <v>108.54</v>
      </c>
      <c r="Q33" s="3"/>
      <c r="R33" s="23">
        <f t="shared" si="8"/>
        <v>2.6642827055798238E-3</v>
      </c>
      <c r="S33" s="3"/>
      <c r="T33" s="3"/>
      <c r="U33" s="3"/>
      <c r="V33" s="23">
        <f t="shared" si="9"/>
        <v>0</v>
      </c>
      <c r="W33" s="3"/>
      <c r="X33" s="3">
        <f t="shared" si="10"/>
        <v>108.54</v>
      </c>
      <c r="Y33" s="3"/>
      <c r="Z33" s="23">
        <f t="shared" si="11"/>
        <v>0</v>
      </c>
    </row>
    <row r="34" spans="1:26" s="24" customFormat="1" hidden="1" outlineLevel="1" x14ac:dyDescent="0.25">
      <c r="A34" s="51"/>
      <c r="B34" s="12" t="str">
        <f>CONCATENATE("          ", "5014", " - ", "PURCHASES @ COST-REMAINDERS")</f>
        <v xml:space="preserve">          5014 - PURCHASES @ COST-REMAINDERS</v>
      </c>
      <c r="C34" s="12"/>
      <c r="D34" s="3">
        <v>-12.51</v>
      </c>
      <c r="E34" s="3"/>
      <c r="F34" s="23">
        <f t="shared" si="4"/>
        <v>-3.0707735993001282E-4</v>
      </c>
      <c r="G34" s="3"/>
      <c r="H34" s="3"/>
      <c r="I34" s="3"/>
      <c r="J34" s="23">
        <f t="shared" si="5"/>
        <v>0</v>
      </c>
      <c r="K34" s="3"/>
      <c r="L34" s="3">
        <f t="shared" si="6"/>
        <v>-12.51</v>
      </c>
      <c r="M34" s="3"/>
      <c r="N34" s="23">
        <f t="shared" si="7"/>
        <v>0</v>
      </c>
      <c r="O34" s="12"/>
      <c r="P34" s="3">
        <v>-12.51</v>
      </c>
      <c r="Q34" s="3"/>
      <c r="R34" s="23">
        <f t="shared" si="8"/>
        <v>-3.0707735993001282E-4</v>
      </c>
      <c r="S34" s="3"/>
      <c r="T34" s="3"/>
      <c r="U34" s="3"/>
      <c r="V34" s="23">
        <f t="shared" si="9"/>
        <v>0</v>
      </c>
      <c r="W34" s="3"/>
      <c r="X34" s="3">
        <f t="shared" si="10"/>
        <v>-12.51</v>
      </c>
      <c r="Y34" s="3"/>
      <c r="Z34" s="23">
        <f t="shared" si="11"/>
        <v>0</v>
      </c>
    </row>
    <row r="35" spans="1:26" s="24" customFormat="1" hidden="1" outlineLevel="1" x14ac:dyDescent="0.25">
      <c r="A35" s="51"/>
      <c r="B35" s="12" t="str">
        <f>CONCATENATE("          ", "5200", " - ", "PURCHASES OFFSET")</f>
        <v xml:space="preserve">          5200 - PURCHASES OFFSET</v>
      </c>
      <c r="C35" s="12"/>
      <c r="D35" s="3">
        <v>-202651.68</v>
      </c>
      <c r="E35" s="3"/>
      <c r="F35" s="23">
        <f t="shared" si="4"/>
        <v>-4.9743999104541787</v>
      </c>
      <c r="G35" s="3"/>
      <c r="H35" s="3"/>
      <c r="I35" s="3"/>
      <c r="J35" s="23">
        <f t="shared" si="5"/>
        <v>0</v>
      </c>
      <c r="K35" s="3"/>
      <c r="L35" s="3">
        <f t="shared" si="6"/>
        <v>-202651.68</v>
      </c>
      <c r="M35" s="3"/>
      <c r="N35" s="23">
        <f t="shared" si="7"/>
        <v>0</v>
      </c>
      <c r="O35" s="12"/>
      <c r="P35" s="3">
        <v>-202651.68</v>
      </c>
      <c r="Q35" s="3"/>
      <c r="R35" s="23">
        <f t="shared" si="8"/>
        <v>-4.9743999104541787</v>
      </c>
      <c r="S35" s="3"/>
      <c r="T35" s="3"/>
      <c r="U35" s="3"/>
      <c r="V35" s="23">
        <f t="shared" si="9"/>
        <v>0</v>
      </c>
      <c r="W35" s="3"/>
      <c r="X35" s="3">
        <f t="shared" si="10"/>
        <v>-202651.68</v>
      </c>
      <c r="Y35" s="3"/>
      <c r="Z35" s="23">
        <f t="shared" si="11"/>
        <v>0</v>
      </c>
    </row>
    <row r="36" spans="1:26" s="24" customFormat="1" hidden="1" outlineLevel="1" x14ac:dyDescent="0.25">
      <c r="A36" s="51"/>
      <c r="B36" s="12" t="str">
        <f>CONCATENATE("          ", "5300", " - ", "COG$ OFFSET")</f>
        <v xml:space="preserve">          5300 - COG$ OFFSET</v>
      </c>
      <c r="C36" s="12"/>
      <c r="D36" s="3">
        <v>26088</v>
      </c>
      <c r="E36" s="3"/>
      <c r="F36" s="23">
        <f t="shared" si="4"/>
        <v>0.64037043691879891</v>
      </c>
      <c r="G36" s="3"/>
      <c r="H36" s="3"/>
      <c r="I36" s="3"/>
      <c r="J36" s="23">
        <f t="shared" si="5"/>
        <v>0</v>
      </c>
      <c r="K36" s="3"/>
      <c r="L36" s="3">
        <f t="shared" si="6"/>
        <v>26088</v>
      </c>
      <c r="M36" s="3"/>
      <c r="N36" s="23">
        <f t="shared" si="7"/>
        <v>0</v>
      </c>
      <c r="O36" s="12"/>
      <c r="P36" s="3">
        <v>26088</v>
      </c>
      <c r="Q36" s="3"/>
      <c r="R36" s="23">
        <f t="shared" si="8"/>
        <v>0.64037043691879891</v>
      </c>
      <c r="S36" s="3"/>
      <c r="T36" s="3"/>
      <c r="U36" s="3"/>
      <c r="V36" s="23">
        <f t="shared" si="9"/>
        <v>0</v>
      </c>
      <c r="W36" s="3"/>
      <c r="X36" s="3">
        <f t="shared" si="10"/>
        <v>26088</v>
      </c>
      <c r="Y36" s="3"/>
      <c r="Z36" s="23">
        <f t="shared" si="11"/>
        <v>0</v>
      </c>
    </row>
    <row r="37" spans="1:26" s="24" customFormat="1" hidden="1" outlineLevel="1" x14ac:dyDescent="0.25">
      <c r="A37" s="51"/>
      <c r="B37" s="12" t="str">
        <f>CONCATENATE("          ", "5501", " - ", "FREIGHT-IN-NEW TEXT")</f>
        <v xml:space="preserve">          5501 - FREIGHT-IN-NEW TEXT</v>
      </c>
      <c r="C37" s="12"/>
      <c r="D37" s="3">
        <v>802.72</v>
      </c>
      <c r="E37" s="3"/>
      <c r="F37" s="23">
        <f t="shared" si="4"/>
        <v>1.970400786275139E-2</v>
      </c>
      <c r="G37" s="3"/>
      <c r="H37" s="3"/>
      <c r="I37" s="3"/>
      <c r="J37" s="23">
        <f t="shared" si="5"/>
        <v>0</v>
      </c>
      <c r="K37" s="3"/>
      <c r="L37" s="3">
        <f t="shared" si="6"/>
        <v>802.72</v>
      </c>
      <c r="M37" s="3"/>
      <c r="N37" s="23">
        <f t="shared" si="7"/>
        <v>0</v>
      </c>
      <c r="O37" s="12"/>
      <c r="P37" s="3">
        <v>802.72</v>
      </c>
      <c r="Q37" s="3"/>
      <c r="R37" s="23">
        <f t="shared" si="8"/>
        <v>1.970400786275139E-2</v>
      </c>
      <c r="S37" s="3"/>
      <c r="T37" s="3"/>
      <c r="U37" s="3"/>
      <c r="V37" s="23">
        <f t="shared" si="9"/>
        <v>0</v>
      </c>
      <c r="W37" s="3"/>
      <c r="X37" s="3">
        <f t="shared" si="10"/>
        <v>802.72</v>
      </c>
      <c r="Y37" s="3"/>
      <c r="Z37" s="23">
        <f t="shared" si="11"/>
        <v>0</v>
      </c>
    </row>
    <row r="38" spans="1:26" s="24" customFormat="1" hidden="1" outlineLevel="1" x14ac:dyDescent="0.25">
      <c r="A38" s="51"/>
      <c r="B38" s="12" t="str">
        <f>CONCATENATE("          ", "5502", " - ", "FREIGHT-IN-USED TEXT")</f>
        <v xml:space="preserve">          5502 - FREIGHT-IN-USED TEXT</v>
      </c>
      <c r="C38" s="12"/>
      <c r="D38" s="3">
        <v>47.89</v>
      </c>
      <c r="E38" s="3"/>
      <c r="F38" s="23">
        <f t="shared" si="4"/>
        <v>1.1755343538807606E-3</v>
      </c>
      <c r="G38" s="3"/>
      <c r="H38" s="3"/>
      <c r="I38" s="3"/>
      <c r="J38" s="23">
        <f t="shared" si="5"/>
        <v>0</v>
      </c>
      <c r="K38" s="3"/>
      <c r="L38" s="3">
        <f t="shared" si="6"/>
        <v>47.89</v>
      </c>
      <c r="M38" s="3"/>
      <c r="N38" s="23">
        <f t="shared" si="7"/>
        <v>0</v>
      </c>
      <c r="O38" s="12"/>
      <c r="P38" s="3">
        <v>47.89</v>
      </c>
      <c r="Q38" s="3"/>
      <c r="R38" s="23">
        <f t="shared" si="8"/>
        <v>1.1755343538807606E-3</v>
      </c>
      <c r="S38" s="3"/>
      <c r="T38" s="3"/>
      <c r="U38" s="3"/>
      <c r="V38" s="23">
        <f t="shared" si="9"/>
        <v>0</v>
      </c>
      <c r="W38" s="3"/>
      <c r="X38" s="3">
        <f t="shared" si="10"/>
        <v>47.89</v>
      </c>
      <c r="Y38" s="3"/>
      <c r="Z38" s="23">
        <f t="shared" si="11"/>
        <v>0</v>
      </c>
    </row>
    <row r="39" spans="1:26" x14ac:dyDescent="0.25">
      <c r="A39" s="9"/>
      <c r="B39" s="10"/>
      <c r="C39" s="10"/>
      <c r="D39" s="2"/>
      <c r="E39" s="2"/>
      <c r="F39" s="6"/>
      <c r="G39" s="2"/>
      <c r="H39" s="2"/>
      <c r="I39" s="2"/>
      <c r="J39" s="6"/>
      <c r="K39" s="2"/>
      <c r="L39" s="2"/>
      <c r="M39" s="2"/>
      <c r="N39" s="6"/>
      <c r="O39" s="10"/>
      <c r="P39" s="2"/>
      <c r="Q39" s="2"/>
      <c r="R39" s="6"/>
      <c r="S39" s="2"/>
      <c r="T39" s="2"/>
      <c r="U39" s="2"/>
      <c r="V39" s="6"/>
      <c r="W39" s="2"/>
      <c r="X39" s="2"/>
      <c r="Y39" s="2"/>
      <c r="Z39" s="6"/>
    </row>
    <row r="40" spans="1:26" s="22" customFormat="1" x14ac:dyDescent="0.25">
      <c r="A40" s="10"/>
      <c r="B40" s="25" t="s">
        <v>6</v>
      </c>
      <c r="C40" s="25"/>
      <c r="D40" s="21">
        <f>D12-D27</f>
        <v>14650.919999999991</v>
      </c>
      <c r="E40" s="13"/>
      <c r="F40" s="20">
        <f>IF(D$12=0,0,D40/D$12)</f>
        <v>0.3596295630812007</v>
      </c>
      <c r="G40" s="13"/>
      <c r="H40" s="21">
        <f>H12-H27</f>
        <v>15094</v>
      </c>
      <c r="I40" s="13"/>
      <c r="J40" s="20">
        <f>IF(H$12=0,0,H40/H$12)</f>
        <v>0.27000339874425344</v>
      </c>
      <c r="K40" s="15"/>
      <c r="L40" s="21">
        <f>+D40-H40</f>
        <v>-443.08000000000902</v>
      </c>
      <c r="M40" s="15"/>
      <c r="N40" s="20">
        <f>IF(H40=0,0,L40/H40)</f>
        <v>-2.935471048098642E-2</v>
      </c>
      <c r="O40" s="26"/>
      <c r="P40" s="21">
        <f>P12-P27</f>
        <v>14650.919999999991</v>
      </c>
      <c r="Q40" s="13"/>
      <c r="R40" s="20">
        <f>IF(P$12=0,0,P40/P$12)</f>
        <v>0.3596295630812007</v>
      </c>
      <c r="S40" s="13"/>
      <c r="T40" s="21">
        <f>T12-T27</f>
        <v>15094</v>
      </c>
      <c r="U40" s="13"/>
      <c r="V40" s="20">
        <f>IF(T$12=0,0,T40/T$12)</f>
        <v>0.27000339874425344</v>
      </c>
      <c r="W40" s="15"/>
      <c r="X40" s="21">
        <f>+P40-T40</f>
        <v>-443.08000000000902</v>
      </c>
      <c r="Y40" s="15"/>
      <c r="Z40" s="20">
        <f>IF(T40=0,0,X40/T40)</f>
        <v>-2.935471048098642E-2</v>
      </c>
    </row>
    <row r="41" spans="1:26" x14ac:dyDescent="0.25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2" customFormat="1" x14ac:dyDescent="0.25">
      <c r="A42" s="10"/>
      <c r="B42" s="26" t="s">
        <v>9</v>
      </c>
      <c r="C42" s="10"/>
      <c r="D42" s="19">
        <f>SUM(OSRRefD22x_0)</f>
        <v>40144.11</v>
      </c>
      <c r="E42" s="19"/>
      <c r="F42" s="31">
        <f t="shared" ref="F42:F53" si="12">IF(D$12=0,0,D42/D$12)</f>
        <v>0.98539946567066572</v>
      </c>
      <c r="G42" s="19"/>
      <c r="H42" s="19">
        <f>SUM(OSRRefH22x_0)</f>
        <v>45788.394117326941</v>
      </c>
      <c r="I42" s="19"/>
      <c r="J42" s="31">
        <f t="shared" ref="J42:J53" si="13">IF(H$12=0,0,H42/H$12)</f>
        <v>0.81906863884455117</v>
      </c>
      <c r="K42" s="4"/>
      <c r="L42" s="19">
        <f t="shared" ref="L42:L53" si="14">+D42-H42</f>
        <v>-5644.2841173269408</v>
      </c>
      <c r="M42" s="4"/>
      <c r="N42" s="31">
        <f t="shared" ref="N42:N53" si="15">IF(H42=0,0,L42/H42)</f>
        <v>-0.12326888125545919</v>
      </c>
      <c r="O42" s="10"/>
      <c r="P42" s="19">
        <f>SUM(OSRRefP22x_0)</f>
        <v>40144.11</v>
      </c>
      <c r="Q42" s="19"/>
      <c r="R42" s="31">
        <f t="shared" ref="R42:R53" si="16">IF(P$12=0,0,P42/P$12)</f>
        <v>0.98539946567066572</v>
      </c>
      <c r="S42" s="19"/>
      <c r="T42" s="19">
        <f>SUM(OSRRefT22x_0)</f>
        <v>45788.394117326941</v>
      </c>
      <c r="U42" s="19"/>
      <c r="V42" s="31">
        <f t="shared" ref="V42:V53" si="17">IF(T$12=0,0,T42/T$12)</f>
        <v>0.81906863884455117</v>
      </c>
      <c r="W42" s="4"/>
      <c r="X42" s="19">
        <f t="shared" ref="X42:X53" si="18">+P42-T42</f>
        <v>-5644.2841173269408</v>
      </c>
      <c r="Y42" s="4"/>
      <c r="Z42" s="31">
        <f t="shared" ref="Z42:Z53" si="19">IF(T42=0,0,X42/T42)</f>
        <v>-0.12326888125545919</v>
      </c>
    </row>
    <row r="43" spans="1:26" s="29" customFormat="1" outlineLevel="1" collapsed="1" x14ac:dyDescent="0.25">
      <c r="A43" s="28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11154.429999999998</v>
      </c>
      <c r="E43" s="1"/>
      <c r="F43" s="5">
        <f t="shared" si="12"/>
        <v>0.27380279104109773</v>
      </c>
      <c r="G43" s="1"/>
      <c r="H43" s="1">
        <f>SUM(OSRRefH22_0x_0)</f>
        <v>13030.641437711543</v>
      </c>
      <c r="I43" s="1"/>
      <c r="J43" s="5">
        <f t="shared" si="13"/>
        <v>0.23309377739497958</v>
      </c>
      <c r="K43" s="1"/>
      <c r="L43" s="1">
        <f t="shared" si="14"/>
        <v>-1876.2114377115449</v>
      </c>
      <c r="M43" s="1"/>
      <c r="N43" s="5">
        <f t="shared" si="15"/>
        <v>-0.14398458024343025</v>
      </c>
      <c r="O43" s="14"/>
      <c r="P43" s="1">
        <f>SUM(OSRRefP22_0x_0)</f>
        <v>11154.429999999998</v>
      </c>
      <c r="Q43" s="1"/>
      <c r="R43" s="5">
        <f t="shared" si="16"/>
        <v>0.27380279104109773</v>
      </c>
      <c r="S43" s="1"/>
      <c r="T43" s="1">
        <f>SUM(OSRRefT22_0x_0)</f>
        <v>13030.641437711543</v>
      </c>
      <c r="U43" s="1"/>
      <c r="V43" s="5">
        <f t="shared" si="17"/>
        <v>0.23309377739497958</v>
      </c>
      <c r="W43" s="1"/>
      <c r="X43" s="1">
        <f t="shared" si="18"/>
        <v>-1876.2114377115449</v>
      </c>
      <c r="Y43" s="1"/>
      <c r="Z43" s="5">
        <f t="shared" si="19"/>
        <v>-0.14398458024343025</v>
      </c>
    </row>
    <row r="44" spans="1:26" s="24" customFormat="1" hidden="1" outlineLevel="2" x14ac:dyDescent="0.25">
      <c r="A44" s="27"/>
      <c r="B44" s="12" t="str">
        <f>CONCATENATE("          ", "6111", " - ", "F.I.C.A.")</f>
        <v xml:space="preserve">          6111 - F.I.C.A.</v>
      </c>
      <c r="C44" s="12"/>
      <c r="D44" s="7">
        <v>1802.45</v>
      </c>
      <c r="E44" s="3"/>
      <c r="F44" s="8">
        <f t="shared" si="12"/>
        <v>4.424393184699054E-2</v>
      </c>
      <c r="G44" s="3"/>
      <c r="H44" s="7">
        <v>2065.6252036730798</v>
      </c>
      <c r="I44" s="3"/>
      <c r="J44" s="8">
        <f t="shared" si="13"/>
        <v>3.6950167319698045E-2</v>
      </c>
      <c r="K44" s="3"/>
      <c r="L44" s="7">
        <f t="shared" si="14"/>
        <v>-263.17520367307975</v>
      </c>
      <c r="M44" s="3"/>
      <c r="N44" s="8">
        <f t="shared" si="15"/>
        <v>-0.12740704519150112</v>
      </c>
      <c r="O44" s="12"/>
      <c r="P44" s="7">
        <v>1802.45</v>
      </c>
      <c r="Q44" s="3"/>
      <c r="R44" s="8">
        <f t="shared" si="16"/>
        <v>4.424393184699054E-2</v>
      </c>
      <c r="S44" s="3"/>
      <c r="T44" s="7">
        <v>2065.6252036730798</v>
      </c>
      <c r="U44" s="3"/>
      <c r="V44" s="8">
        <f t="shared" si="17"/>
        <v>3.6950167319698045E-2</v>
      </c>
      <c r="W44" s="3"/>
      <c r="X44" s="7">
        <f t="shared" si="18"/>
        <v>-263.17520367307975</v>
      </c>
      <c r="Y44" s="3"/>
      <c r="Z44" s="8">
        <f t="shared" si="19"/>
        <v>-0.12740704519150112</v>
      </c>
    </row>
    <row r="45" spans="1:26" s="24" customFormat="1" hidden="1" outlineLevel="2" x14ac:dyDescent="0.25">
      <c r="A45" s="27"/>
      <c r="B45" s="12" t="str">
        <f>CONCATENATE("          ", "6112", " - ", "COMPENSATION INSURANCE")</f>
        <v xml:space="preserve">          6112 - COMPENSATION INSURANCE</v>
      </c>
      <c r="C45" s="12"/>
      <c r="D45" s="7">
        <v>147.41999999999999</v>
      </c>
      <c r="E45" s="3"/>
      <c r="F45" s="8">
        <f t="shared" si="12"/>
        <v>3.6186526299666257E-3</v>
      </c>
      <c r="G45" s="3"/>
      <c r="H45" s="7">
        <v>567.34971057692303</v>
      </c>
      <c r="I45" s="3"/>
      <c r="J45" s="8">
        <f t="shared" si="13"/>
        <v>1.0148824044808383E-2</v>
      </c>
      <c r="K45" s="3"/>
      <c r="L45" s="7">
        <f t="shared" si="14"/>
        <v>-419.92971057692307</v>
      </c>
      <c r="M45" s="3"/>
      <c r="N45" s="8">
        <f t="shared" si="15"/>
        <v>-0.74016026226559206</v>
      </c>
      <c r="O45" s="12"/>
      <c r="P45" s="7">
        <v>147.41999999999999</v>
      </c>
      <c r="Q45" s="3"/>
      <c r="R45" s="8">
        <f t="shared" si="16"/>
        <v>3.6186526299666257E-3</v>
      </c>
      <c r="S45" s="3"/>
      <c r="T45" s="7">
        <v>567.34971057692303</v>
      </c>
      <c r="U45" s="3"/>
      <c r="V45" s="8">
        <f t="shared" si="17"/>
        <v>1.0148824044808383E-2</v>
      </c>
      <c r="W45" s="3"/>
      <c r="X45" s="7">
        <f t="shared" si="18"/>
        <v>-419.92971057692307</v>
      </c>
      <c r="Y45" s="3"/>
      <c r="Z45" s="8">
        <f t="shared" si="19"/>
        <v>-0.74016026226559206</v>
      </c>
    </row>
    <row r="46" spans="1:26" s="24" customFormat="1" hidden="1" outlineLevel="2" x14ac:dyDescent="0.25">
      <c r="A46" s="27"/>
      <c r="B46" s="12" t="str">
        <f>CONCATENATE("          ", "6113", " - ", "GROUP INSURANCE")</f>
        <v xml:space="preserve">          6113 - GROUP INSURANCE</v>
      </c>
      <c r="C46" s="12"/>
      <c r="D46" s="7">
        <v>4248.21</v>
      </c>
      <c r="E46" s="3"/>
      <c r="F46" s="8">
        <f t="shared" si="12"/>
        <v>0.10427890577364347</v>
      </c>
      <c r="G46" s="3"/>
      <c r="H46" s="7">
        <v>4969.6153846153802</v>
      </c>
      <c r="I46" s="3"/>
      <c r="J46" s="8">
        <f t="shared" si="13"/>
        <v>8.8897114369808058E-2</v>
      </c>
      <c r="K46" s="3"/>
      <c r="L46" s="7">
        <f t="shared" si="14"/>
        <v>-721.40538461538017</v>
      </c>
      <c r="M46" s="3"/>
      <c r="N46" s="8">
        <f t="shared" si="15"/>
        <v>-0.14516322266078399</v>
      </c>
      <c r="O46" s="12"/>
      <c r="P46" s="7">
        <v>4248.21</v>
      </c>
      <c r="Q46" s="3"/>
      <c r="R46" s="8">
        <f t="shared" si="16"/>
        <v>0.10427890577364347</v>
      </c>
      <c r="S46" s="3"/>
      <c r="T46" s="7">
        <v>4969.6153846153802</v>
      </c>
      <c r="U46" s="3"/>
      <c r="V46" s="8">
        <f t="shared" si="17"/>
        <v>8.8897114369808058E-2</v>
      </c>
      <c r="W46" s="3"/>
      <c r="X46" s="7">
        <f t="shared" si="18"/>
        <v>-721.40538461538017</v>
      </c>
      <c r="Y46" s="3"/>
      <c r="Z46" s="8">
        <f t="shared" si="19"/>
        <v>-0.14516322266078399</v>
      </c>
    </row>
    <row r="47" spans="1:26" s="24" customFormat="1" hidden="1" outlineLevel="2" x14ac:dyDescent="0.25">
      <c r="A47" s="27"/>
      <c r="B47" s="12" t="str">
        <f>CONCATENATE("          ", "6114", " - ", "STATE UNEMPLOYMENT INSURANCE")</f>
        <v xml:space="preserve">          6114 - STATE UNEMPLOYMENT INSURANCE</v>
      </c>
      <c r="C47" s="12"/>
      <c r="D47" s="7">
        <v>61.43</v>
      </c>
      <c r="E47" s="3"/>
      <c r="F47" s="8">
        <f t="shared" si="12"/>
        <v>1.5078946619105267E-3</v>
      </c>
      <c r="G47" s="3"/>
      <c r="H47" s="7">
        <v>79.735635000000002</v>
      </c>
      <c r="I47" s="3"/>
      <c r="J47" s="8">
        <f t="shared" si="13"/>
        <v>1.4263212171082053E-3</v>
      </c>
      <c r="K47" s="3"/>
      <c r="L47" s="7">
        <f t="shared" si="14"/>
        <v>-18.305635000000002</v>
      </c>
      <c r="M47" s="3"/>
      <c r="N47" s="8">
        <f t="shared" si="15"/>
        <v>-0.22957909597133078</v>
      </c>
      <c r="O47" s="12"/>
      <c r="P47" s="7">
        <v>61.43</v>
      </c>
      <c r="Q47" s="3"/>
      <c r="R47" s="8">
        <f t="shared" si="16"/>
        <v>1.5078946619105267E-3</v>
      </c>
      <c r="S47" s="3"/>
      <c r="T47" s="7">
        <v>79.735635000000002</v>
      </c>
      <c r="U47" s="3"/>
      <c r="V47" s="8">
        <f t="shared" si="17"/>
        <v>1.4263212171082053E-3</v>
      </c>
      <c r="W47" s="3"/>
      <c r="X47" s="7">
        <f t="shared" si="18"/>
        <v>-18.305635000000002</v>
      </c>
      <c r="Y47" s="3"/>
      <c r="Z47" s="8">
        <f t="shared" si="19"/>
        <v>-0.22957909597133078</v>
      </c>
    </row>
    <row r="48" spans="1:26" s="24" customFormat="1" hidden="1" outlineLevel="2" x14ac:dyDescent="0.25">
      <c r="A48" s="27"/>
      <c r="B48" s="12" t="str">
        <f>CONCATENATE("          ", "6115", " - ", "P.E.R.S.")</f>
        <v xml:space="preserve">          6115 - P.E.R.S.</v>
      </c>
      <c r="C48" s="12"/>
      <c r="D48" s="7">
        <v>2220.3200000000002</v>
      </c>
      <c r="E48" s="3"/>
      <c r="F48" s="8">
        <f t="shared" si="12"/>
        <v>5.4501199344508887E-2</v>
      </c>
      <c r="G48" s="3"/>
      <c r="H48" s="7">
        <v>1585.67246538462</v>
      </c>
      <c r="I48" s="3"/>
      <c r="J48" s="8">
        <f t="shared" si="13"/>
        <v>2.8364711471381143E-2</v>
      </c>
      <c r="K48" s="3"/>
      <c r="L48" s="7">
        <f t="shared" si="14"/>
        <v>634.64753461538021</v>
      </c>
      <c r="M48" s="3"/>
      <c r="N48" s="8">
        <f t="shared" si="15"/>
        <v>0.40023873055110432</v>
      </c>
      <c r="O48" s="12"/>
      <c r="P48" s="7">
        <v>2220.3200000000002</v>
      </c>
      <c r="Q48" s="3"/>
      <c r="R48" s="8">
        <f t="shared" si="16"/>
        <v>5.4501199344508887E-2</v>
      </c>
      <c r="S48" s="3"/>
      <c r="T48" s="7">
        <v>1585.67246538462</v>
      </c>
      <c r="U48" s="3"/>
      <c r="V48" s="8">
        <f t="shared" si="17"/>
        <v>2.8364711471381143E-2</v>
      </c>
      <c r="W48" s="3"/>
      <c r="X48" s="7">
        <f t="shared" si="18"/>
        <v>634.64753461538021</v>
      </c>
      <c r="Y48" s="3"/>
      <c r="Z48" s="8">
        <f t="shared" si="19"/>
        <v>0.40023873055110432</v>
      </c>
    </row>
    <row r="49" spans="1:26" s="24" customFormat="1" hidden="1" outlineLevel="2" x14ac:dyDescent="0.25">
      <c r="A49" s="27"/>
      <c r="B49" s="12" t="str">
        <f>CONCATENATE("          ", "6116", " - ", "EDUCATIONAL BENEFITS")</f>
        <v xml:space="preserve">          6116 - EDUCATIONAL BENEFITS</v>
      </c>
      <c r="C49" s="12"/>
      <c r="D49" s="7"/>
      <c r="E49" s="3"/>
      <c r="F49" s="8">
        <f t="shared" si="12"/>
        <v>0</v>
      </c>
      <c r="G49" s="3"/>
      <c r="H49" s="7">
        <v>0</v>
      </c>
      <c r="I49" s="3"/>
      <c r="J49" s="8">
        <f t="shared" si="13"/>
        <v>0</v>
      </c>
      <c r="K49" s="3"/>
      <c r="L49" s="7">
        <f t="shared" si="14"/>
        <v>0</v>
      </c>
      <c r="M49" s="3"/>
      <c r="N49" s="8">
        <f t="shared" si="15"/>
        <v>0</v>
      </c>
      <c r="O49" s="12"/>
      <c r="P49" s="7"/>
      <c r="Q49" s="3"/>
      <c r="R49" s="8">
        <f t="shared" si="16"/>
        <v>0</v>
      </c>
      <c r="S49" s="3"/>
      <c r="T49" s="7">
        <v>0</v>
      </c>
      <c r="U49" s="3"/>
      <c r="V49" s="8">
        <f t="shared" si="17"/>
        <v>0</v>
      </c>
      <c r="W49" s="3"/>
      <c r="X49" s="7">
        <f t="shared" si="18"/>
        <v>0</v>
      </c>
      <c r="Y49" s="3"/>
      <c r="Z49" s="8">
        <f t="shared" si="19"/>
        <v>0</v>
      </c>
    </row>
    <row r="50" spans="1:26" s="24" customFormat="1" hidden="1" outlineLevel="2" x14ac:dyDescent="0.25">
      <c r="A50" s="27"/>
      <c r="B50" s="12" t="str">
        <f>CONCATENATE("          ", "6117", " - ", "RETIREMENT STAFF HOURLY")</f>
        <v xml:space="preserve">          6117 - RETIREMENT STAFF HOURLY</v>
      </c>
      <c r="C50" s="12"/>
      <c r="D50" s="7">
        <v>333.14</v>
      </c>
      <c r="E50" s="3"/>
      <c r="F50" s="8">
        <f t="shared" si="12"/>
        <v>8.1774381844192216E-3</v>
      </c>
      <c r="G50" s="3"/>
      <c r="H50" s="7"/>
      <c r="I50" s="3"/>
      <c r="J50" s="8">
        <f t="shared" si="13"/>
        <v>0</v>
      </c>
      <c r="K50" s="3"/>
      <c r="L50" s="7">
        <f t="shared" si="14"/>
        <v>333.14</v>
      </c>
      <c r="M50" s="3"/>
      <c r="N50" s="8">
        <f t="shared" si="15"/>
        <v>0</v>
      </c>
      <c r="O50" s="12"/>
      <c r="P50" s="7">
        <v>333.14</v>
      </c>
      <c r="Q50" s="3"/>
      <c r="R50" s="8">
        <f t="shared" si="16"/>
        <v>8.1774381844192216E-3</v>
      </c>
      <c r="S50" s="3"/>
      <c r="T50" s="7"/>
      <c r="U50" s="3"/>
      <c r="V50" s="8">
        <f t="shared" si="17"/>
        <v>0</v>
      </c>
      <c r="W50" s="3"/>
      <c r="X50" s="7">
        <f t="shared" si="18"/>
        <v>333.14</v>
      </c>
      <c r="Y50" s="3"/>
      <c r="Z50" s="8">
        <f t="shared" si="19"/>
        <v>0</v>
      </c>
    </row>
    <row r="51" spans="1:26" s="24" customFormat="1" hidden="1" outlineLevel="2" x14ac:dyDescent="0.25">
      <c r="A51" s="27"/>
      <c r="B51" s="12" t="str">
        <f>CONCATENATE("          ", "6118", " - ", "VACATION")</f>
        <v xml:space="preserve">          6118 - VACATION</v>
      </c>
      <c r="C51" s="12"/>
      <c r="D51" s="7">
        <v>967.81</v>
      </c>
      <c r="E51" s="3"/>
      <c r="F51" s="8">
        <f t="shared" si="12"/>
        <v>2.3756398058662326E-2</v>
      </c>
      <c r="G51" s="3"/>
      <c r="H51" s="7">
        <v>1682.75965</v>
      </c>
      <c r="I51" s="3"/>
      <c r="J51" s="8">
        <f t="shared" si="13"/>
        <v>3.0101419422929002E-2</v>
      </c>
      <c r="K51" s="3"/>
      <c r="L51" s="7">
        <f t="shared" si="14"/>
        <v>-714.94965000000002</v>
      </c>
      <c r="M51" s="3"/>
      <c r="N51" s="8">
        <f t="shared" si="15"/>
        <v>-0.42486735999404313</v>
      </c>
      <c r="O51" s="12"/>
      <c r="P51" s="7">
        <v>967.81</v>
      </c>
      <c r="Q51" s="3"/>
      <c r="R51" s="8">
        <f t="shared" si="16"/>
        <v>2.3756398058662326E-2</v>
      </c>
      <c r="S51" s="3"/>
      <c r="T51" s="7">
        <v>1682.75965</v>
      </c>
      <c r="U51" s="3"/>
      <c r="V51" s="8">
        <f t="shared" si="17"/>
        <v>3.0101419422929002E-2</v>
      </c>
      <c r="W51" s="3"/>
      <c r="X51" s="7">
        <f t="shared" si="18"/>
        <v>-714.94965000000002</v>
      </c>
      <c r="Y51" s="3"/>
      <c r="Z51" s="8">
        <f t="shared" si="19"/>
        <v>-0.42486735999404313</v>
      </c>
    </row>
    <row r="52" spans="1:26" s="24" customFormat="1" hidden="1" outlineLevel="2" x14ac:dyDescent="0.25">
      <c r="A52" s="27"/>
      <c r="B52" s="12" t="str">
        <f>CONCATENATE("          ", "6119", " - ", "SICK LEAVE")</f>
        <v xml:space="preserve">          6119 - SICK LEAVE</v>
      </c>
      <c r="C52" s="12"/>
      <c r="D52" s="7">
        <v>944.6</v>
      </c>
      <c r="E52" s="3"/>
      <c r="F52" s="8">
        <f t="shared" si="12"/>
        <v>2.318667259711352E-2</v>
      </c>
      <c r="G52" s="3"/>
      <c r="H52" s="7">
        <v>1329.8833884615401</v>
      </c>
      <c r="I52" s="3"/>
      <c r="J52" s="8">
        <f t="shared" si="13"/>
        <v>2.3789123811987552E-2</v>
      </c>
      <c r="K52" s="3"/>
      <c r="L52" s="7">
        <f t="shared" si="14"/>
        <v>-385.28338846154008</v>
      </c>
      <c r="M52" s="3"/>
      <c r="N52" s="8">
        <f t="shared" si="15"/>
        <v>-0.28971215958058594</v>
      </c>
      <c r="O52" s="12"/>
      <c r="P52" s="7">
        <v>944.6</v>
      </c>
      <c r="Q52" s="3"/>
      <c r="R52" s="8">
        <f t="shared" si="16"/>
        <v>2.318667259711352E-2</v>
      </c>
      <c r="S52" s="3"/>
      <c r="T52" s="7">
        <v>1329.8833884615401</v>
      </c>
      <c r="U52" s="3"/>
      <c r="V52" s="8">
        <f t="shared" si="17"/>
        <v>2.3789123811987552E-2</v>
      </c>
      <c r="W52" s="3"/>
      <c r="X52" s="7">
        <f t="shared" si="18"/>
        <v>-385.28338846154008</v>
      </c>
      <c r="Y52" s="3"/>
      <c r="Z52" s="8">
        <f t="shared" si="19"/>
        <v>-0.28971215958058594</v>
      </c>
    </row>
    <row r="53" spans="1:26" s="24" customFormat="1" hidden="1" outlineLevel="2" x14ac:dyDescent="0.25">
      <c r="A53" s="27"/>
      <c r="B53" s="12" t="str">
        <f>CONCATENATE("          ", "6156", " - ", "EMPLOYEE MEALS")</f>
        <v xml:space="preserve">          6156 - EMPLOYEE MEALS</v>
      </c>
      <c r="C53" s="12"/>
      <c r="D53" s="7">
        <v>429.05</v>
      </c>
      <c r="E53" s="3"/>
      <c r="F53" s="8">
        <f t="shared" si="12"/>
        <v>1.0531697943882654E-2</v>
      </c>
      <c r="G53" s="3"/>
      <c r="H53" s="7">
        <v>750</v>
      </c>
      <c r="I53" s="3"/>
      <c r="J53" s="8">
        <f t="shared" si="13"/>
        <v>1.3416095737259182E-2</v>
      </c>
      <c r="K53" s="3"/>
      <c r="L53" s="7">
        <f t="shared" si="14"/>
        <v>-320.95</v>
      </c>
      <c r="M53" s="3"/>
      <c r="N53" s="8">
        <f t="shared" si="15"/>
        <v>-0.42793333333333333</v>
      </c>
      <c r="O53" s="12"/>
      <c r="P53" s="7">
        <v>429.05</v>
      </c>
      <c r="Q53" s="3"/>
      <c r="R53" s="8">
        <f t="shared" si="16"/>
        <v>1.0531697943882654E-2</v>
      </c>
      <c r="S53" s="3"/>
      <c r="T53" s="7">
        <v>750</v>
      </c>
      <c r="U53" s="3"/>
      <c r="V53" s="8">
        <f t="shared" si="17"/>
        <v>1.3416095737259182E-2</v>
      </c>
      <c r="W53" s="3"/>
      <c r="X53" s="7">
        <f t="shared" si="18"/>
        <v>-320.95</v>
      </c>
      <c r="Y53" s="3"/>
      <c r="Z53" s="8">
        <f t="shared" si="19"/>
        <v>-0.42793333333333333</v>
      </c>
    </row>
    <row r="54" spans="1:26" s="29" customFormat="1" outlineLevel="1" collapsed="1" x14ac:dyDescent="0.25">
      <c r="A54" s="28"/>
      <c r="B54" s="14" t="str">
        <f>CONCATENATE("     ","*Payroll                                          ")</f>
        <v xml:space="preserve">     *Payroll                                          </v>
      </c>
      <c r="C54" s="14"/>
      <c r="D54" s="1">
        <f>SUM(OSRRefD22_1x_0)</f>
        <v>29301.230000000003</v>
      </c>
      <c r="E54" s="1"/>
      <c r="F54" s="5">
        <f t="shared" ref="F54:F64" si="20">IF(D$12=0,0,D54/D$12)</f>
        <v>0.71924415276595455</v>
      </c>
      <c r="G54" s="1"/>
      <c r="H54" s="1">
        <f>SUM(OSRRefH22_1x_0)</f>
        <v>28042.752679615402</v>
      </c>
      <c r="I54" s="1"/>
      <c r="J54" s="5">
        <f t="shared" ref="J54:J64" si="21">IF(H$12=0,0,H54/H$12)</f>
        <v>0.50163233958133557</v>
      </c>
      <c r="K54" s="1"/>
      <c r="L54" s="1">
        <f t="shared" ref="L54:L64" si="22">+D54-H54</f>
        <v>1258.4773203846016</v>
      </c>
      <c r="M54" s="1"/>
      <c r="N54" s="5">
        <f t="shared" ref="N54:N64" si="23">IF(H54=0,0,L54/H54)</f>
        <v>4.4877096580443872E-2</v>
      </c>
      <c r="O54" s="14"/>
      <c r="P54" s="1">
        <f>SUM(OSRRefP22_1x_0)</f>
        <v>29301.230000000003</v>
      </c>
      <c r="Q54" s="1"/>
      <c r="R54" s="5">
        <f t="shared" ref="R54:R64" si="24">IF(P$12=0,0,P54/P$12)</f>
        <v>0.71924415276595455</v>
      </c>
      <c r="S54" s="1"/>
      <c r="T54" s="1">
        <f>SUM(OSRRefT22_1x_0)</f>
        <v>28042.752679615402</v>
      </c>
      <c r="U54" s="1"/>
      <c r="V54" s="5">
        <f t="shared" ref="V54:V64" si="25">IF(T$12=0,0,T54/T$12)</f>
        <v>0.50163233958133557</v>
      </c>
      <c r="W54" s="1"/>
      <c r="X54" s="1">
        <f t="shared" ref="X54:X64" si="26">+P54-T54</f>
        <v>1258.4773203846016</v>
      </c>
      <c r="Y54" s="1"/>
      <c r="Z54" s="5">
        <f t="shared" ref="Z54:Z64" si="27">IF(T54=0,0,X54/T54)</f>
        <v>4.4877096580443872E-2</v>
      </c>
    </row>
    <row r="55" spans="1:26" s="24" customFormat="1" hidden="1" outlineLevel="2" x14ac:dyDescent="0.25">
      <c r="A55" s="27"/>
      <c r="B55" s="12" t="str">
        <f>CONCATENATE("          ", "6001", " - ", "ADMINISTRATIVE SALARIES")</f>
        <v xml:space="preserve">          6001 - ADMINISTRATIVE SALARIES</v>
      </c>
      <c r="C55" s="12"/>
      <c r="D55" s="7">
        <v>-311.32</v>
      </c>
      <c r="E55" s="3"/>
      <c r="F55" s="8">
        <f t="shared" si="20"/>
        <v>-7.6418324295293039E-3</v>
      </c>
      <c r="G55" s="3"/>
      <c r="H55" s="7">
        <v>0</v>
      </c>
      <c r="I55" s="3"/>
      <c r="J55" s="8">
        <f t="shared" si="21"/>
        <v>0</v>
      </c>
      <c r="K55" s="3"/>
      <c r="L55" s="7">
        <f t="shared" si="22"/>
        <v>-311.32</v>
      </c>
      <c r="M55" s="3"/>
      <c r="N55" s="8">
        <f t="shared" si="23"/>
        <v>0</v>
      </c>
      <c r="O55" s="12"/>
      <c r="P55" s="7">
        <v>-311.32</v>
      </c>
      <c r="Q55" s="3"/>
      <c r="R55" s="8">
        <f t="shared" si="24"/>
        <v>-7.6418324295293039E-3</v>
      </c>
      <c r="S55" s="3"/>
      <c r="T55" s="7">
        <v>0</v>
      </c>
      <c r="U55" s="3"/>
      <c r="V55" s="8">
        <f t="shared" si="25"/>
        <v>0</v>
      </c>
      <c r="W55" s="3"/>
      <c r="X55" s="7">
        <f t="shared" si="26"/>
        <v>-311.32</v>
      </c>
      <c r="Y55" s="3"/>
      <c r="Z55" s="8">
        <f t="shared" si="27"/>
        <v>0</v>
      </c>
    </row>
    <row r="56" spans="1:26" s="24" customFormat="1" hidden="1" outlineLevel="2" x14ac:dyDescent="0.25">
      <c r="A56" s="27"/>
      <c r="B56" s="12" t="str">
        <f>CONCATENATE("          ", "6002", " - ", "STAFF SALARIES")</f>
        <v xml:space="preserve">          6002 - STAFF SALARIES</v>
      </c>
      <c r="C56" s="12"/>
      <c r="D56" s="7">
        <v>18429.759999999998</v>
      </c>
      <c r="E56" s="3"/>
      <c r="F56" s="8">
        <f t="shared" si="20"/>
        <v>0.45238705395233836</v>
      </c>
      <c r="G56" s="3"/>
      <c r="H56" s="7">
        <v>16384.0650796154</v>
      </c>
      <c r="I56" s="3"/>
      <c r="J56" s="8">
        <f t="shared" si="21"/>
        <v>0.29308024756480688</v>
      </c>
      <c r="K56" s="3"/>
      <c r="L56" s="7">
        <f t="shared" si="22"/>
        <v>2045.6949203845979</v>
      </c>
      <c r="M56" s="3"/>
      <c r="N56" s="8">
        <f t="shared" si="23"/>
        <v>0.12485881314825799</v>
      </c>
      <c r="O56" s="12"/>
      <c r="P56" s="7">
        <v>18429.759999999998</v>
      </c>
      <c r="Q56" s="3"/>
      <c r="R56" s="8">
        <f t="shared" si="24"/>
        <v>0.45238705395233836</v>
      </c>
      <c r="S56" s="3"/>
      <c r="T56" s="7">
        <v>16384.0650796154</v>
      </c>
      <c r="U56" s="3"/>
      <c r="V56" s="8">
        <f t="shared" si="25"/>
        <v>0.29308024756480688</v>
      </c>
      <c r="W56" s="3"/>
      <c r="X56" s="7">
        <f t="shared" si="26"/>
        <v>2045.6949203845979</v>
      </c>
      <c r="Y56" s="3"/>
      <c r="Z56" s="8">
        <f t="shared" si="27"/>
        <v>0.12485881314825799</v>
      </c>
    </row>
    <row r="57" spans="1:26" s="24" customFormat="1" hidden="1" outlineLevel="2" x14ac:dyDescent="0.25">
      <c r="A57" s="27"/>
      <c r="B57" s="12" t="str">
        <f>CONCATENATE("          ", "6003", " - ", "STAFF HOURLY-9 MONTH")</f>
        <v xml:space="preserve">          6003 - STAFF HOURLY-9 MONTH</v>
      </c>
      <c r="C57" s="12"/>
      <c r="D57" s="7"/>
      <c r="E57" s="3"/>
      <c r="F57" s="8">
        <f t="shared" si="20"/>
        <v>0</v>
      </c>
      <c r="G57" s="3"/>
      <c r="H57" s="7">
        <v>0</v>
      </c>
      <c r="I57" s="3"/>
      <c r="J57" s="8">
        <f t="shared" si="21"/>
        <v>0</v>
      </c>
      <c r="K57" s="3"/>
      <c r="L57" s="7">
        <f t="shared" si="22"/>
        <v>0</v>
      </c>
      <c r="M57" s="3"/>
      <c r="N57" s="8">
        <f t="shared" si="23"/>
        <v>0</v>
      </c>
      <c r="O57" s="12"/>
      <c r="P57" s="7"/>
      <c r="Q57" s="3"/>
      <c r="R57" s="8">
        <f t="shared" si="24"/>
        <v>0</v>
      </c>
      <c r="S57" s="3"/>
      <c r="T57" s="7">
        <v>0</v>
      </c>
      <c r="U57" s="3"/>
      <c r="V57" s="8">
        <f t="shared" si="25"/>
        <v>0</v>
      </c>
      <c r="W57" s="3"/>
      <c r="X57" s="7">
        <f t="shared" si="26"/>
        <v>0</v>
      </c>
      <c r="Y57" s="3"/>
      <c r="Z57" s="8">
        <f t="shared" si="27"/>
        <v>0</v>
      </c>
    </row>
    <row r="58" spans="1:26" s="24" customFormat="1" hidden="1" outlineLevel="2" x14ac:dyDescent="0.25">
      <c r="A58" s="27"/>
      <c r="B58" s="12" t="str">
        <f>CONCATENATE("          ", "6004", " - ", "STAFF HOURLY")</f>
        <v xml:space="preserve">          6004 - STAFF HOURLY</v>
      </c>
      <c r="C58" s="12"/>
      <c r="D58" s="7">
        <v>5507.97</v>
      </c>
      <c r="E58" s="3"/>
      <c r="F58" s="8">
        <f t="shared" si="20"/>
        <v>0.13520166955825041</v>
      </c>
      <c r="G58" s="3"/>
      <c r="H58" s="7">
        <v>6607.1876000000002</v>
      </c>
      <c r="I58" s="3"/>
      <c r="J58" s="8">
        <f t="shared" si="21"/>
        <v>0.11819021519417564</v>
      </c>
      <c r="K58" s="3"/>
      <c r="L58" s="7">
        <f t="shared" si="22"/>
        <v>-1099.2175999999999</v>
      </c>
      <c r="M58" s="3"/>
      <c r="N58" s="8">
        <f t="shared" si="23"/>
        <v>-0.16636694257023971</v>
      </c>
      <c r="O58" s="12"/>
      <c r="P58" s="7">
        <v>5507.97</v>
      </c>
      <c r="Q58" s="3"/>
      <c r="R58" s="8">
        <f t="shared" si="24"/>
        <v>0.13520166955825041</v>
      </c>
      <c r="S58" s="3"/>
      <c r="T58" s="7">
        <v>6607.1876000000002</v>
      </c>
      <c r="U58" s="3"/>
      <c r="V58" s="8">
        <f t="shared" si="25"/>
        <v>0.11819021519417564</v>
      </c>
      <c r="W58" s="3"/>
      <c r="X58" s="7">
        <f t="shared" si="26"/>
        <v>-1099.2175999999999</v>
      </c>
      <c r="Y58" s="3"/>
      <c r="Z58" s="8">
        <f t="shared" si="27"/>
        <v>-0.16636694257023971</v>
      </c>
    </row>
    <row r="59" spans="1:26" s="24" customFormat="1" hidden="1" outlineLevel="2" x14ac:dyDescent="0.25">
      <c r="A59" s="27"/>
      <c r="B59" s="12" t="str">
        <f>CONCATENATE("          ", "6005", " - ", "TEMPORARY WAGES-HOURLY")</f>
        <v xml:space="preserve">          6005 - TEMPORARY WAGES-HOURLY</v>
      </c>
      <c r="C59" s="12"/>
      <c r="D59" s="7">
        <v>1986.02</v>
      </c>
      <c r="E59" s="3"/>
      <c r="F59" s="8">
        <f t="shared" si="20"/>
        <v>4.8749942315603846E-2</v>
      </c>
      <c r="G59" s="3"/>
      <c r="H59" s="7">
        <v>3676.5</v>
      </c>
      <c r="I59" s="3"/>
      <c r="J59" s="8">
        <f t="shared" si="21"/>
        <v>6.5765701304044508E-2</v>
      </c>
      <c r="K59" s="3"/>
      <c r="L59" s="7">
        <f t="shared" si="22"/>
        <v>-1690.48</v>
      </c>
      <c r="M59" s="3"/>
      <c r="N59" s="8">
        <f t="shared" si="23"/>
        <v>-0.45980688154494764</v>
      </c>
      <c r="O59" s="12"/>
      <c r="P59" s="7">
        <v>1986.02</v>
      </c>
      <c r="Q59" s="3"/>
      <c r="R59" s="8">
        <f t="shared" si="24"/>
        <v>4.8749942315603846E-2</v>
      </c>
      <c r="S59" s="3"/>
      <c r="T59" s="7">
        <v>3676.5</v>
      </c>
      <c r="U59" s="3"/>
      <c r="V59" s="8">
        <f t="shared" si="25"/>
        <v>6.5765701304044508E-2</v>
      </c>
      <c r="W59" s="3"/>
      <c r="X59" s="7">
        <f t="shared" si="26"/>
        <v>-1690.48</v>
      </c>
      <c r="Y59" s="3"/>
      <c r="Z59" s="8">
        <f t="shared" si="27"/>
        <v>-0.45980688154494764</v>
      </c>
    </row>
    <row r="60" spans="1:26" s="24" customFormat="1" hidden="1" outlineLevel="2" x14ac:dyDescent="0.25">
      <c r="A60" s="27"/>
      <c r="B60" s="12" t="str">
        <f>CONCATENATE("          ", "6006", " - ", "TEMPORARY PART TIME")</f>
        <v xml:space="preserve">          6006 - TEMPORARY PART TIME</v>
      </c>
      <c r="C60" s="12"/>
      <c r="D60" s="7">
        <v>502.29</v>
      </c>
      <c r="E60" s="3"/>
      <c r="F60" s="8">
        <f t="shared" si="20"/>
        <v>1.2329487379635982E-2</v>
      </c>
      <c r="G60" s="3"/>
      <c r="H60" s="7">
        <v>0</v>
      </c>
      <c r="I60" s="3"/>
      <c r="J60" s="8">
        <f t="shared" si="21"/>
        <v>0</v>
      </c>
      <c r="K60" s="3"/>
      <c r="L60" s="7">
        <f t="shared" si="22"/>
        <v>502.29</v>
      </c>
      <c r="M60" s="3"/>
      <c r="N60" s="8">
        <f t="shared" si="23"/>
        <v>0</v>
      </c>
      <c r="O60" s="12"/>
      <c r="P60" s="7">
        <v>502.29</v>
      </c>
      <c r="Q60" s="3"/>
      <c r="R60" s="8">
        <f t="shared" si="24"/>
        <v>1.2329487379635982E-2</v>
      </c>
      <c r="S60" s="3"/>
      <c r="T60" s="7">
        <v>0</v>
      </c>
      <c r="U60" s="3"/>
      <c r="V60" s="8">
        <f t="shared" si="25"/>
        <v>0</v>
      </c>
      <c r="W60" s="3"/>
      <c r="X60" s="7">
        <f t="shared" si="26"/>
        <v>502.29</v>
      </c>
      <c r="Y60" s="3"/>
      <c r="Z60" s="8">
        <f t="shared" si="27"/>
        <v>0</v>
      </c>
    </row>
    <row r="61" spans="1:26" s="24" customFormat="1" hidden="1" outlineLevel="2" x14ac:dyDescent="0.25">
      <c r="A61" s="27"/>
      <c r="B61" s="12" t="str">
        <f>CONCATENATE("          ", "6007", " - ", "STUDENT HOURLY")</f>
        <v xml:space="preserve">          6007 - STUDENT HOURLY</v>
      </c>
      <c r="C61" s="12"/>
      <c r="D61" s="7">
        <v>3186.51</v>
      </c>
      <c r="E61" s="3"/>
      <c r="F61" s="8">
        <f t="shared" si="20"/>
        <v>7.8217831989655096E-2</v>
      </c>
      <c r="G61" s="3"/>
      <c r="H61" s="7">
        <v>1375</v>
      </c>
      <c r="I61" s="3"/>
      <c r="J61" s="8">
        <f t="shared" si="21"/>
        <v>2.4596175518308498E-2</v>
      </c>
      <c r="K61" s="3"/>
      <c r="L61" s="7">
        <f t="shared" si="22"/>
        <v>1811.5100000000002</v>
      </c>
      <c r="M61" s="3"/>
      <c r="N61" s="8">
        <f t="shared" si="23"/>
        <v>1.3174618181818183</v>
      </c>
      <c r="O61" s="12"/>
      <c r="P61" s="7">
        <v>3186.51</v>
      </c>
      <c r="Q61" s="3"/>
      <c r="R61" s="8">
        <f t="shared" si="24"/>
        <v>7.8217831989655096E-2</v>
      </c>
      <c r="S61" s="3"/>
      <c r="T61" s="7">
        <v>1375</v>
      </c>
      <c r="U61" s="3"/>
      <c r="V61" s="8">
        <f t="shared" si="25"/>
        <v>2.4596175518308498E-2</v>
      </c>
      <c r="W61" s="3"/>
      <c r="X61" s="7">
        <f t="shared" si="26"/>
        <v>1811.5100000000002</v>
      </c>
      <c r="Y61" s="3"/>
      <c r="Z61" s="8">
        <f t="shared" si="27"/>
        <v>1.3174618181818183</v>
      </c>
    </row>
    <row r="62" spans="1:26" s="24" customFormat="1" hidden="1" outlineLevel="2" x14ac:dyDescent="0.25">
      <c r="A62" s="27"/>
      <c r="B62" s="12" t="str">
        <f>CONCATENATE("          ", "6008", " - ", "STUDENT HOURLY-FICA EXEMPT")</f>
        <v xml:space="preserve">          6008 - STUDENT HOURLY-FICA EXEMPT</v>
      </c>
      <c r="C62" s="12"/>
      <c r="D62" s="7"/>
      <c r="E62" s="3"/>
      <c r="F62" s="8">
        <f t="shared" si="20"/>
        <v>0</v>
      </c>
      <c r="G62" s="3"/>
      <c r="H62" s="7">
        <v>0</v>
      </c>
      <c r="I62" s="3"/>
      <c r="J62" s="8">
        <f t="shared" si="21"/>
        <v>0</v>
      </c>
      <c r="K62" s="3"/>
      <c r="L62" s="7">
        <f t="shared" si="22"/>
        <v>0</v>
      </c>
      <c r="M62" s="3"/>
      <c r="N62" s="8">
        <f t="shared" si="23"/>
        <v>0</v>
      </c>
      <c r="O62" s="12"/>
      <c r="P62" s="7"/>
      <c r="Q62" s="3"/>
      <c r="R62" s="8">
        <f t="shared" si="24"/>
        <v>0</v>
      </c>
      <c r="S62" s="3"/>
      <c r="T62" s="7">
        <v>0</v>
      </c>
      <c r="U62" s="3"/>
      <c r="V62" s="8">
        <f t="shared" si="25"/>
        <v>0</v>
      </c>
      <c r="W62" s="3"/>
      <c r="X62" s="7">
        <f t="shared" si="26"/>
        <v>0</v>
      </c>
      <c r="Y62" s="3"/>
      <c r="Z62" s="8">
        <f t="shared" si="27"/>
        <v>0</v>
      </c>
    </row>
    <row r="63" spans="1:26" s="24" customFormat="1" hidden="1" outlineLevel="2" x14ac:dyDescent="0.25">
      <c r="A63" s="27"/>
      <c r="B63" s="12" t="str">
        <f>CONCATENATE("          ", "6009", " - ", "TEMPORARY-SEASONAL")</f>
        <v xml:space="preserve">          6009 - TEMPORARY-SEASONAL</v>
      </c>
      <c r="C63" s="12"/>
      <c r="D63" s="7"/>
      <c r="E63" s="3"/>
      <c r="F63" s="8">
        <f t="shared" si="20"/>
        <v>0</v>
      </c>
      <c r="G63" s="3"/>
      <c r="H63" s="7">
        <v>0</v>
      </c>
      <c r="I63" s="3"/>
      <c r="J63" s="8">
        <f t="shared" si="21"/>
        <v>0</v>
      </c>
      <c r="K63" s="3"/>
      <c r="L63" s="7">
        <f t="shared" si="22"/>
        <v>0</v>
      </c>
      <c r="M63" s="3"/>
      <c r="N63" s="8">
        <f t="shared" si="23"/>
        <v>0</v>
      </c>
      <c r="O63" s="12"/>
      <c r="P63" s="7"/>
      <c r="Q63" s="3"/>
      <c r="R63" s="8">
        <f t="shared" si="24"/>
        <v>0</v>
      </c>
      <c r="S63" s="3"/>
      <c r="T63" s="7">
        <v>0</v>
      </c>
      <c r="U63" s="3"/>
      <c r="V63" s="8">
        <f t="shared" si="25"/>
        <v>0</v>
      </c>
      <c r="W63" s="3"/>
      <c r="X63" s="7">
        <f t="shared" si="26"/>
        <v>0</v>
      </c>
      <c r="Y63" s="3"/>
      <c r="Z63" s="8">
        <f t="shared" si="27"/>
        <v>0</v>
      </c>
    </row>
    <row r="64" spans="1:26" s="24" customFormat="1" hidden="1" outlineLevel="2" x14ac:dyDescent="0.25">
      <c r="A64" s="27"/>
      <c r="B64" s="12" t="str">
        <f>CONCATENATE("          ", "6010", " - ", "GRATUITY")</f>
        <v xml:space="preserve">          6010 - GRATUITY</v>
      </c>
      <c r="C64" s="12"/>
      <c r="D64" s="7"/>
      <c r="E64" s="3"/>
      <c r="F64" s="8">
        <f t="shared" si="20"/>
        <v>0</v>
      </c>
      <c r="G64" s="3"/>
      <c r="H64" s="7">
        <v>0</v>
      </c>
      <c r="I64" s="3"/>
      <c r="J64" s="8">
        <f t="shared" si="21"/>
        <v>0</v>
      </c>
      <c r="K64" s="3"/>
      <c r="L64" s="7">
        <f t="shared" si="22"/>
        <v>0</v>
      </c>
      <c r="M64" s="3"/>
      <c r="N64" s="8">
        <f t="shared" si="23"/>
        <v>0</v>
      </c>
      <c r="O64" s="12"/>
      <c r="P64" s="7"/>
      <c r="Q64" s="3"/>
      <c r="R64" s="8">
        <f t="shared" si="24"/>
        <v>0</v>
      </c>
      <c r="S64" s="3"/>
      <c r="T64" s="7">
        <v>0</v>
      </c>
      <c r="U64" s="3"/>
      <c r="V64" s="8">
        <f t="shared" si="25"/>
        <v>0</v>
      </c>
      <c r="W64" s="3"/>
      <c r="X64" s="7">
        <f t="shared" si="26"/>
        <v>0</v>
      </c>
      <c r="Y64" s="3"/>
      <c r="Z64" s="8">
        <f t="shared" si="27"/>
        <v>0</v>
      </c>
    </row>
    <row r="65" spans="1:26" s="29" customFormat="1" outlineLevel="1" collapsed="1" x14ac:dyDescent="0.25">
      <c r="A65" s="28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1249.9000000000001</v>
      </c>
      <c r="E65" s="1"/>
      <c r="F65" s="5">
        <f t="shared" ref="F65:F81" si="28">IF(D$12=0,0,D65/D$12)</f>
        <v>3.068073478629281E-2</v>
      </c>
      <c r="G65" s="1"/>
      <c r="H65" s="1">
        <f>SUM(OSRRefH22_2x_0)</f>
        <v>100</v>
      </c>
      <c r="I65" s="1"/>
      <c r="J65" s="5">
        <f t="shared" ref="J65:J81" si="29">IF(H$12=0,0,H65/H$12)</f>
        <v>1.7888127649678908E-3</v>
      </c>
      <c r="K65" s="1"/>
      <c r="L65" s="1">
        <f t="shared" ref="L65:L81" si="30">+D65-H65</f>
        <v>1149.9000000000001</v>
      </c>
      <c r="M65" s="1"/>
      <c r="N65" s="5">
        <f t="shared" ref="N65:N81" si="31">IF(H65=0,0,L65/H65)</f>
        <v>11.499000000000001</v>
      </c>
      <c r="O65" s="14"/>
      <c r="P65" s="1">
        <f>SUM(OSRRefP22_2x_0)</f>
        <v>1249.9000000000001</v>
      </c>
      <c r="Q65" s="1"/>
      <c r="R65" s="5">
        <f t="shared" ref="R65:R81" si="32">IF(P$12=0,0,P65/P$12)</f>
        <v>3.068073478629281E-2</v>
      </c>
      <c r="S65" s="1"/>
      <c r="T65" s="1">
        <f>SUM(OSRRefT22_2x_0)</f>
        <v>100</v>
      </c>
      <c r="U65" s="1"/>
      <c r="V65" s="5">
        <f t="shared" ref="V65:V81" si="33">IF(T$12=0,0,T65/T$12)</f>
        <v>1.7888127649678908E-3</v>
      </c>
      <c r="W65" s="1"/>
      <c r="X65" s="1">
        <f t="shared" ref="X65:X81" si="34">+P65-T65</f>
        <v>1149.9000000000001</v>
      </c>
      <c r="Y65" s="1"/>
      <c r="Z65" s="5">
        <f t="shared" ref="Z65:Z81" si="35">IF(T65=0,0,X65/T65)</f>
        <v>11.499000000000001</v>
      </c>
    </row>
    <row r="66" spans="1:26" s="24" customFormat="1" hidden="1" outlineLevel="2" x14ac:dyDescent="0.25">
      <c r="A66" s="27"/>
      <c r="B66" s="12" t="str">
        <f>CONCATENATE("          ", "6362", " - ", "ADVERTISING EXPENSE")</f>
        <v xml:space="preserve">          6362 - ADVERTISING EXPENSE</v>
      </c>
      <c r="C66" s="12"/>
      <c r="D66" s="7">
        <v>1249.9000000000001</v>
      </c>
      <c r="E66" s="3"/>
      <c r="F66" s="8">
        <f t="shared" si="28"/>
        <v>3.068073478629281E-2</v>
      </c>
      <c r="G66" s="3"/>
      <c r="H66" s="7">
        <v>100</v>
      </c>
      <c r="I66" s="3"/>
      <c r="J66" s="8">
        <f t="shared" si="29"/>
        <v>1.7888127649678908E-3</v>
      </c>
      <c r="K66" s="3"/>
      <c r="L66" s="7">
        <f t="shared" si="30"/>
        <v>1149.9000000000001</v>
      </c>
      <c r="M66" s="3"/>
      <c r="N66" s="8">
        <f t="shared" si="31"/>
        <v>11.499000000000001</v>
      </c>
      <c r="O66" s="12"/>
      <c r="P66" s="7">
        <v>1249.9000000000001</v>
      </c>
      <c r="Q66" s="3"/>
      <c r="R66" s="8">
        <f t="shared" si="32"/>
        <v>3.068073478629281E-2</v>
      </c>
      <c r="S66" s="3"/>
      <c r="T66" s="7">
        <v>100</v>
      </c>
      <c r="U66" s="3"/>
      <c r="V66" s="8">
        <f t="shared" si="33"/>
        <v>1.7888127649678908E-3</v>
      </c>
      <c r="W66" s="3"/>
      <c r="X66" s="7">
        <f t="shared" si="34"/>
        <v>1149.9000000000001</v>
      </c>
      <c r="Y66" s="3"/>
      <c r="Z66" s="8">
        <f t="shared" si="35"/>
        <v>11.499000000000001</v>
      </c>
    </row>
    <row r="67" spans="1:26" s="29" customFormat="1" outlineLevel="1" collapsed="1" x14ac:dyDescent="0.25">
      <c r="A67" s="28"/>
      <c r="B67" s="14" t="str">
        <f>CONCATENATE("     ","Discounts and Markdowns                           ")</f>
        <v xml:space="preserve">     Discounts and Markdowns                           </v>
      </c>
      <c r="C67" s="14"/>
      <c r="D67" s="1">
        <f>SUM(OSRRefD22_3x_0)</f>
        <v>0</v>
      </c>
      <c r="E67" s="1"/>
      <c r="F67" s="5">
        <f t="shared" si="28"/>
        <v>0</v>
      </c>
      <c r="G67" s="1"/>
      <c r="H67" s="1">
        <f>SUM(OSRRefH22_3x_0)</f>
        <v>1000</v>
      </c>
      <c r="I67" s="1"/>
      <c r="J67" s="5">
        <f t="shared" si="29"/>
        <v>1.7888127649678908E-2</v>
      </c>
      <c r="K67" s="1"/>
      <c r="L67" s="1">
        <f t="shared" si="30"/>
        <v>-1000</v>
      </c>
      <c r="M67" s="1"/>
      <c r="N67" s="5">
        <f t="shared" si="31"/>
        <v>-1</v>
      </c>
      <c r="O67" s="14"/>
      <c r="P67" s="1">
        <f>SUM(OSRRefP22_3x_0)</f>
        <v>0</v>
      </c>
      <c r="Q67" s="1"/>
      <c r="R67" s="5">
        <f t="shared" si="32"/>
        <v>0</v>
      </c>
      <c r="S67" s="1"/>
      <c r="T67" s="1">
        <f>SUM(OSRRefT22_3x_0)</f>
        <v>1000</v>
      </c>
      <c r="U67" s="1"/>
      <c r="V67" s="5">
        <f t="shared" si="33"/>
        <v>1.7888127649678908E-2</v>
      </c>
      <c r="W67" s="1"/>
      <c r="X67" s="1">
        <f t="shared" si="34"/>
        <v>-1000</v>
      </c>
      <c r="Y67" s="1"/>
      <c r="Z67" s="5">
        <f t="shared" si="35"/>
        <v>-1</v>
      </c>
    </row>
    <row r="68" spans="1:26" s="24" customFormat="1" hidden="1" outlineLevel="2" x14ac:dyDescent="0.25">
      <c r="A68" s="27"/>
      <c r="B68" s="12" t="str">
        <f>CONCATENATE("          ", "6382", " - ", "DISCOUNTS/MARK DOWNS")</f>
        <v xml:space="preserve">          6382 - DISCOUNTS/MARK DOWNS</v>
      </c>
      <c r="C68" s="12"/>
      <c r="D68" s="7"/>
      <c r="E68" s="3"/>
      <c r="F68" s="8">
        <f t="shared" si="28"/>
        <v>0</v>
      </c>
      <c r="G68" s="3"/>
      <c r="H68" s="7">
        <v>1000</v>
      </c>
      <c r="I68" s="3"/>
      <c r="J68" s="8">
        <f t="shared" si="29"/>
        <v>1.7888127649678908E-2</v>
      </c>
      <c r="K68" s="3"/>
      <c r="L68" s="7">
        <f t="shared" si="30"/>
        <v>-1000</v>
      </c>
      <c r="M68" s="3"/>
      <c r="N68" s="8">
        <f t="shared" si="31"/>
        <v>-1</v>
      </c>
      <c r="O68" s="12"/>
      <c r="P68" s="7"/>
      <c r="Q68" s="3"/>
      <c r="R68" s="8">
        <f t="shared" si="32"/>
        <v>0</v>
      </c>
      <c r="S68" s="3"/>
      <c r="T68" s="7">
        <v>1000</v>
      </c>
      <c r="U68" s="3"/>
      <c r="V68" s="8">
        <f t="shared" si="33"/>
        <v>1.7888127649678908E-2</v>
      </c>
      <c r="W68" s="3"/>
      <c r="X68" s="7">
        <f t="shared" si="34"/>
        <v>-1000</v>
      </c>
      <c r="Y68" s="3"/>
      <c r="Z68" s="8">
        <f t="shared" si="35"/>
        <v>-1</v>
      </c>
    </row>
    <row r="69" spans="1:26" s="29" customFormat="1" outlineLevel="1" collapsed="1" x14ac:dyDescent="0.25">
      <c r="A69" s="28"/>
      <c r="B69" s="14" t="str">
        <f>CONCATENATE("     ","Employees' Appreciation                           ")</f>
        <v xml:space="preserve">     Employees' Appreciation                           </v>
      </c>
      <c r="C69" s="14"/>
      <c r="D69" s="1">
        <f>SUM(OSRRefD22_4x_0)</f>
        <v>107.7</v>
      </c>
      <c r="E69" s="1"/>
      <c r="F69" s="5">
        <f t="shared" si="28"/>
        <v>2.6436636022751704E-3</v>
      </c>
      <c r="G69" s="1"/>
      <c r="H69" s="1">
        <f>SUM(OSRRefH22_4x_0)</f>
        <v>75</v>
      </c>
      <c r="I69" s="1"/>
      <c r="J69" s="5">
        <f t="shared" si="29"/>
        <v>1.341609573725918E-3</v>
      </c>
      <c r="K69" s="1"/>
      <c r="L69" s="1">
        <f t="shared" si="30"/>
        <v>32.700000000000003</v>
      </c>
      <c r="M69" s="1"/>
      <c r="N69" s="5">
        <f t="shared" si="31"/>
        <v>0.43600000000000005</v>
      </c>
      <c r="O69" s="14"/>
      <c r="P69" s="1">
        <f>SUM(OSRRefP22_4x_0)</f>
        <v>107.7</v>
      </c>
      <c r="Q69" s="1"/>
      <c r="R69" s="5">
        <f t="shared" si="32"/>
        <v>2.6436636022751704E-3</v>
      </c>
      <c r="S69" s="1"/>
      <c r="T69" s="1">
        <f>SUM(OSRRefT22_4x_0)</f>
        <v>75</v>
      </c>
      <c r="U69" s="1"/>
      <c r="V69" s="5">
        <f t="shared" si="33"/>
        <v>1.341609573725918E-3</v>
      </c>
      <c r="W69" s="1"/>
      <c r="X69" s="1">
        <f t="shared" si="34"/>
        <v>32.700000000000003</v>
      </c>
      <c r="Y69" s="1"/>
      <c r="Z69" s="5">
        <f t="shared" si="35"/>
        <v>0.43600000000000005</v>
      </c>
    </row>
    <row r="70" spans="1:26" s="24" customFormat="1" hidden="1" outlineLevel="2" x14ac:dyDescent="0.25">
      <c r="A70" s="27"/>
      <c r="B70" s="12" t="str">
        <f>CONCATENATE("          ", "6277", " - ", "EMPLOYEE APPRECIATION")</f>
        <v xml:space="preserve">          6277 - EMPLOYEE APPRECIATION</v>
      </c>
      <c r="C70" s="12"/>
      <c r="D70" s="7">
        <v>107.7</v>
      </c>
      <c r="E70" s="3"/>
      <c r="F70" s="8">
        <f t="shared" si="28"/>
        <v>2.6436636022751704E-3</v>
      </c>
      <c r="G70" s="3"/>
      <c r="H70" s="7">
        <v>75</v>
      </c>
      <c r="I70" s="3"/>
      <c r="J70" s="8">
        <f t="shared" si="29"/>
        <v>1.341609573725918E-3</v>
      </c>
      <c r="K70" s="3"/>
      <c r="L70" s="7">
        <f t="shared" si="30"/>
        <v>32.700000000000003</v>
      </c>
      <c r="M70" s="3"/>
      <c r="N70" s="8">
        <f t="shared" si="31"/>
        <v>0.43600000000000005</v>
      </c>
      <c r="O70" s="12"/>
      <c r="P70" s="7">
        <v>107.7</v>
      </c>
      <c r="Q70" s="3"/>
      <c r="R70" s="8">
        <f t="shared" si="32"/>
        <v>2.6436636022751704E-3</v>
      </c>
      <c r="S70" s="3"/>
      <c r="T70" s="7">
        <v>75</v>
      </c>
      <c r="U70" s="3"/>
      <c r="V70" s="8">
        <f t="shared" si="33"/>
        <v>1.341609573725918E-3</v>
      </c>
      <c r="W70" s="3"/>
      <c r="X70" s="7">
        <f t="shared" si="34"/>
        <v>32.700000000000003</v>
      </c>
      <c r="Y70" s="3"/>
      <c r="Z70" s="8">
        <f t="shared" si="35"/>
        <v>0.43600000000000005</v>
      </c>
    </row>
    <row r="71" spans="1:26" s="29" customFormat="1" outlineLevel="1" collapsed="1" x14ac:dyDescent="0.25">
      <c r="A71" s="28"/>
      <c r="B71" s="14" t="str">
        <f>CONCATENATE("     ","Equipment Rental                                  ")</f>
        <v xml:space="preserve">     Equipment Rental                                  </v>
      </c>
      <c r="C71" s="14"/>
      <c r="D71" s="1">
        <f>SUM(OSRRefD22_5x_0)</f>
        <v>91.26</v>
      </c>
      <c r="E71" s="1"/>
      <c r="F71" s="5">
        <f t="shared" si="28"/>
        <v>2.240118294741245E-3</v>
      </c>
      <c r="G71" s="1"/>
      <c r="H71" s="1">
        <f>SUM(OSRRefH22_5x_0)</f>
        <v>100</v>
      </c>
      <c r="I71" s="1"/>
      <c r="J71" s="5">
        <f t="shared" si="29"/>
        <v>1.7888127649678908E-3</v>
      </c>
      <c r="K71" s="1"/>
      <c r="L71" s="1">
        <f t="shared" si="30"/>
        <v>-8.7399999999999949</v>
      </c>
      <c r="M71" s="1"/>
      <c r="N71" s="5">
        <f t="shared" si="31"/>
        <v>-8.739999999999995E-2</v>
      </c>
      <c r="O71" s="14"/>
      <c r="P71" s="1">
        <f>SUM(OSRRefP22_5x_0)</f>
        <v>91.26</v>
      </c>
      <c r="Q71" s="1"/>
      <c r="R71" s="5">
        <f t="shared" si="32"/>
        <v>2.240118294741245E-3</v>
      </c>
      <c r="S71" s="1"/>
      <c r="T71" s="1">
        <f>SUM(OSRRefT22_5x_0)</f>
        <v>100</v>
      </c>
      <c r="U71" s="1"/>
      <c r="V71" s="5">
        <f t="shared" si="33"/>
        <v>1.7888127649678908E-3</v>
      </c>
      <c r="W71" s="1"/>
      <c r="X71" s="1">
        <f t="shared" si="34"/>
        <v>-8.7399999999999949</v>
      </c>
      <c r="Y71" s="1"/>
      <c r="Z71" s="5">
        <f t="shared" si="35"/>
        <v>-8.739999999999995E-2</v>
      </c>
    </row>
    <row r="72" spans="1:26" s="24" customFormat="1" hidden="1" outlineLevel="2" x14ac:dyDescent="0.25">
      <c r="A72" s="27"/>
      <c r="B72" s="12" t="str">
        <f>CONCATENATE("          ", "6351", " - ", "EQUIPMENT RENTAL")</f>
        <v xml:space="preserve">          6351 - EQUIPMENT RENTAL</v>
      </c>
      <c r="C72" s="12"/>
      <c r="D72" s="7">
        <v>91.26</v>
      </c>
      <c r="E72" s="3"/>
      <c r="F72" s="8">
        <f t="shared" si="28"/>
        <v>2.240118294741245E-3</v>
      </c>
      <c r="G72" s="3"/>
      <c r="H72" s="7">
        <v>100</v>
      </c>
      <c r="I72" s="3"/>
      <c r="J72" s="8">
        <f t="shared" si="29"/>
        <v>1.7888127649678908E-3</v>
      </c>
      <c r="K72" s="3"/>
      <c r="L72" s="7">
        <f t="shared" si="30"/>
        <v>-8.7399999999999949</v>
      </c>
      <c r="M72" s="3"/>
      <c r="N72" s="8">
        <f t="shared" si="31"/>
        <v>-8.739999999999995E-2</v>
      </c>
      <c r="O72" s="12"/>
      <c r="P72" s="7">
        <v>91.26</v>
      </c>
      <c r="Q72" s="3"/>
      <c r="R72" s="8">
        <f t="shared" si="32"/>
        <v>2.240118294741245E-3</v>
      </c>
      <c r="S72" s="3"/>
      <c r="T72" s="7">
        <v>100</v>
      </c>
      <c r="U72" s="3"/>
      <c r="V72" s="8">
        <f t="shared" si="33"/>
        <v>1.7888127649678908E-3</v>
      </c>
      <c r="W72" s="3"/>
      <c r="X72" s="7">
        <f t="shared" si="34"/>
        <v>-8.7399999999999949</v>
      </c>
      <c r="Y72" s="3"/>
      <c r="Z72" s="8">
        <f t="shared" si="35"/>
        <v>-8.739999999999995E-2</v>
      </c>
    </row>
    <row r="73" spans="1:26" s="29" customFormat="1" outlineLevel="1" collapsed="1" x14ac:dyDescent="0.25">
      <c r="A73" s="28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SUM(OSRRefD22_6x_0)</f>
        <v>167.5</v>
      </c>
      <c r="E73" s="1"/>
      <c r="F73" s="5">
        <f t="shared" si="28"/>
        <v>4.1115473851540485E-3</v>
      </c>
      <c r="G73" s="1"/>
      <c r="H73" s="1">
        <f>SUM(OSRRefH22_6x_0)</f>
        <v>500</v>
      </c>
      <c r="I73" s="1"/>
      <c r="J73" s="5">
        <f t="shared" si="29"/>
        <v>8.944063824839454E-3</v>
      </c>
      <c r="K73" s="1"/>
      <c r="L73" s="1">
        <f t="shared" si="30"/>
        <v>-332.5</v>
      </c>
      <c r="M73" s="1"/>
      <c r="N73" s="5">
        <f t="shared" si="31"/>
        <v>-0.66500000000000004</v>
      </c>
      <c r="O73" s="14"/>
      <c r="P73" s="1">
        <f>SUM(OSRRefP22_6x_0)</f>
        <v>167.5</v>
      </c>
      <c r="Q73" s="1"/>
      <c r="R73" s="5">
        <f t="shared" si="32"/>
        <v>4.1115473851540485E-3</v>
      </c>
      <c r="S73" s="1"/>
      <c r="T73" s="1">
        <f>SUM(OSRRefT22_6x_0)</f>
        <v>500</v>
      </c>
      <c r="U73" s="1"/>
      <c r="V73" s="5">
        <f t="shared" si="33"/>
        <v>8.944063824839454E-3</v>
      </c>
      <c r="W73" s="1"/>
      <c r="X73" s="1">
        <f t="shared" si="34"/>
        <v>-332.5</v>
      </c>
      <c r="Y73" s="1"/>
      <c r="Z73" s="5">
        <f t="shared" si="35"/>
        <v>-0.66500000000000004</v>
      </c>
    </row>
    <row r="74" spans="1:26" s="24" customFormat="1" hidden="1" outlineLevel="2" x14ac:dyDescent="0.25">
      <c r="A74" s="27"/>
      <c r="B74" s="12" t="str">
        <f>CONCATENATE("          ", "6305", " - ", "FREIGHT OUT")</f>
        <v xml:space="preserve">          6305 - FREIGHT OUT</v>
      </c>
      <c r="C74" s="12"/>
      <c r="D74" s="7">
        <v>167.5</v>
      </c>
      <c r="E74" s="3"/>
      <c r="F74" s="8">
        <f t="shared" si="28"/>
        <v>4.1115473851540485E-3</v>
      </c>
      <c r="G74" s="3"/>
      <c r="H74" s="7">
        <v>500</v>
      </c>
      <c r="I74" s="3"/>
      <c r="J74" s="8">
        <f t="shared" si="29"/>
        <v>8.944063824839454E-3</v>
      </c>
      <c r="K74" s="3"/>
      <c r="L74" s="7">
        <f t="shared" si="30"/>
        <v>-332.5</v>
      </c>
      <c r="M74" s="3"/>
      <c r="N74" s="8">
        <f t="shared" si="31"/>
        <v>-0.66500000000000004</v>
      </c>
      <c r="O74" s="12"/>
      <c r="P74" s="7">
        <v>167.5</v>
      </c>
      <c r="Q74" s="3"/>
      <c r="R74" s="8">
        <f t="shared" si="32"/>
        <v>4.1115473851540485E-3</v>
      </c>
      <c r="S74" s="3"/>
      <c r="T74" s="7">
        <v>500</v>
      </c>
      <c r="U74" s="3"/>
      <c r="V74" s="8">
        <f t="shared" si="33"/>
        <v>8.944063824839454E-3</v>
      </c>
      <c r="W74" s="3"/>
      <c r="X74" s="7">
        <f t="shared" si="34"/>
        <v>-332.5</v>
      </c>
      <c r="Y74" s="3"/>
      <c r="Z74" s="8">
        <f t="shared" si="35"/>
        <v>-0.66500000000000004</v>
      </c>
    </row>
    <row r="75" spans="1:26" s="29" customFormat="1" outlineLevel="1" collapsed="1" x14ac:dyDescent="0.25">
      <c r="A75" s="28"/>
      <c r="B75" s="14" t="str">
        <f>CONCATENATE("     ","General                                           ")</f>
        <v xml:space="preserve">     General                                           </v>
      </c>
      <c r="C75" s="14"/>
      <c r="D75" s="1">
        <f>SUM(OSRRefD22_7x_0)</f>
        <v>-4794.1899999999996</v>
      </c>
      <c r="E75" s="1"/>
      <c r="F75" s="5">
        <f t="shared" si="28"/>
        <v>-0.11768083199063693</v>
      </c>
      <c r="G75" s="1"/>
      <c r="H75" s="1">
        <f>SUM(OSRRefH22_7x_0)</f>
        <v>0</v>
      </c>
      <c r="I75" s="1"/>
      <c r="J75" s="5">
        <f t="shared" si="29"/>
        <v>0</v>
      </c>
      <c r="K75" s="1"/>
      <c r="L75" s="1">
        <f t="shared" si="30"/>
        <v>-4794.1899999999996</v>
      </c>
      <c r="M75" s="1"/>
      <c r="N75" s="5">
        <f t="shared" si="31"/>
        <v>0</v>
      </c>
      <c r="O75" s="14"/>
      <c r="P75" s="1">
        <f>SUM(OSRRefP22_7x_0)</f>
        <v>-4794.1899999999996</v>
      </c>
      <c r="Q75" s="1"/>
      <c r="R75" s="5">
        <f t="shared" si="32"/>
        <v>-0.11768083199063693</v>
      </c>
      <c r="S75" s="1"/>
      <c r="T75" s="1">
        <f>SUM(OSRRefT22_7x_0)</f>
        <v>0</v>
      </c>
      <c r="U75" s="1"/>
      <c r="V75" s="5">
        <f t="shared" si="33"/>
        <v>0</v>
      </c>
      <c r="W75" s="1"/>
      <c r="X75" s="1">
        <f t="shared" si="34"/>
        <v>-4794.1899999999996</v>
      </c>
      <c r="Y75" s="1"/>
      <c r="Z75" s="5">
        <f t="shared" si="35"/>
        <v>0</v>
      </c>
    </row>
    <row r="76" spans="1:26" s="24" customFormat="1" hidden="1" outlineLevel="2" x14ac:dyDescent="0.25">
      <c r="A76" s="27"/>
      <c r="B76" s="12" t="str">
        <f>CONCATENATE("          ", "6279", " - ", "GENERAL EXPENSE")</f>
        <v xml:space="preserve">          6279 - GENERAL EXPENSE</v>
      </c>
      <c r="C76" s="12"/>
      <c r="D76" s="7">
        <v>-4794.1899999999996</v>
      </c>
      <c r="E76" s="3"/>
      <c r="F76" s="8">
        <f t="shared" si="28"/>
        <v>-0.11768083199063693</v>
      </c>
      <c r="G76" s="3"/>
      <c r="H76" s="7"/>
      <c r="I76" s="3"/>
      <c r="J76" s="8">
        <f t="shared" si="29"/>
        <v>0</v>
      </c>
      <c r="K76" s="3"/>
      <c r="L76" s="7">
        <f t="shared" si="30"/>
        <v>-4794.1899999999996</v>
      </c>
      <c r="M76" s="3"/>
      <c r="N76" s="8">
        <f t="shared" si="31"/>
        <v>0</v>
      </c>
      <c r="O76" s="12"/>
      <c r="P76" s="7">
        <v>-4794.1899999999996</v>
      </c>
      <c r="Q76" s="3"/>
      <c r="R76" s="8">
        <f t="shared" si="32"/>
        <v>-0.11768083199063693</v>
      </c>
      <c r="S76" s="3"/>
      <c r="T76" s="7"/>
      <c r="U76" s="3"/>
      <c r="V76" s="8">
        <f t="shared" si="33"/>
        <v>0</v>
      </c>
      <c r="W76" s="3"/>
      <c r="X76" s="7">
        <f t="shared" si="34"/>
        <v>-4794.1899999999996</v>
      </c>
      <c r="Y76" s="3"/>
      <c r="Z76" s="8">
        <f t="shared" si="35"/>
        <v>0</v>
      </c>
    </row>
    <row r="77" spans="1:26" s="29" customFormat="1" outlineLevel="1" collapsed="1" x14ac:dyDescent="0.25">
      <c r="A77" s="28"/>
      <c r="B77" s="14" t="str">
        <f>CONCATENATE("     ","Inventory Adjustment                              ")</f>
        <v xml:space="preserve">     Inventory Adjustment                              </v>
      </c>
      <c r="C77" s="14"/>
      <c r="D77" s="1">
        <f>SUM(OSRRefD22_8x_0)</f>
        <v>1000</v>
      </c>
      <c r="E77" s="1"/>
      <c r="F77" s="5">
        <f t="shared" si="28"/>
        <v>2.4546551553158498E-2</v>
      </c>
      <c r="G77" s="1"/>
      <c r="H77" s="1">
        <f>SUM(OSRRefH22_8x_0)</f>
        <v>1000</v>
      </c>
      <c r="I77" s="1"/>
      <c r="J77" s="5">
        <f t="shared" si="29"/>
        <v>1.7888127649678908E-2</v>
      </c>
      <c r="K77" s="1"/>
      <c r="L77" s="1">
        <f t="shared" si="30"/>
        <v>0</v>
      </c>
      <c r="M77" s="1"/>
      <c r="N77" s="5">
        <f t="shared" si="31"/>
        <v>0</v>
      </c>
      <c r="O77" s="14"/>
      <c r="P77" s="1">
        <f>SUM(OSRRefP22_8x_0)</f>
        <v>1000</v>
      </c>
      <c r="Q77" s="1"/>
      <c r="R77" s="5">
        <f t="shared" si="32"/>
        <v>2.4546551553158498E-2</v>
      </c>
      <c r="S77" s="1"/>
      <c r="T77" s="1">
        <f>SUM(OSRRefT22_8x_0)</f>
        <v>1000</v>
      </c>
      <c r="U77" s="1"/>
      <c r="V77" s="5">
        <f t="shared" si="33"/>
        <v>1.7888127649678908E-2</v>
      </c>
      <c r="W77" s="1"/>
      <c r="X77" s="1">
        <f t="shared" si="34"/>
        <v>0</v>
      </c>
      <c r="Y77" s="1"/>
      <c r="Z77" s="5">
        <f t="shared" si="35"/>
        <v>0</v>
      </c>
    </row>
    <row r="78" spans="1:26" s="24" customFormat="1" hidden="1" outlineLevel="2" x14ac:dyDescent="0.25">
      <c r="A78" s="27"/>
      <c r="B78" s="12" t="str">
        <f>CONCATENATE("          ", "6408", " - ", "INVENTORY ADJUSTMENT")</f>
        <v xml:space="preserve">          6408 - INVENTORY ADJUSTMENT</v>
      </c>
      <c r="C78" s="12"/>
      <c r="D78" s="7">
        <v>1000</v>
      </c>
      <c r="E78" s="3"/>
      <c r="F78" s="8">
        <f t="shared" si="28"/>
        <v>2.4546551553158498E-2</v>
      </c>
      <c r="G78" s="3"/>
      <c r="H78" s="7">
        <v>1000</v>
      </c>
      <c r="I78" s="3"/>
      <c r="J78" s="8">
        <f t="shared" si="29"/>
        <v>1.7888127649678908E-2</v>
      </c>
      <c r="K78" s="3"/>
      <c r="L78" s="7">
        <f t="shared" si="30"/>
        <v>0</v>
      </c>
      <c r="M78" s="3"/>
      <c r="N78" s="8">
        <f t="shared" si="31"/>
        <v>0</v>
      </c>
      <c r="O78" s="12"/>
      <c r="P78" s="7">
        <v>1000</v>
      </c>
      <c r="Q78" s="3"/>
      <c r="R78" s="8">
        <f t="shared" si="32"/>
        <v>2.4546551553158498E-2</v>
      </c>
      <c r="S78" s="3"/>
      <c r="T78" s="7">
        <v>1000</v>
      </c>
      <c r="U78" s="3"/>
      <c r="V78" s="8">
        <f t="shared" si="33"/>
        <v>1.7888127649678908E-2</v>
      </c>
      <c r="W78" s="3"/>
      <c r="X78" s="7">
        <f t="shared" si="34"/>
        <v>0</v>
      </c>
      <c r="Y78" s="3"/>
      <c r="Z78" s="8">
        <f t="shared" si="35"/>
        <v>0</v>
      </c>
    </row>
    <row r="79" spans="1:26" s="29" customFormat="1" outlineLevel="1" collapsed="1" x14ac:dyDescent="0.25">
      <c r="A79" s="28"/>
      <c r="B79" s="14" t="str">
        <f>CONCATENATE("     ","Repair and Maintenance                            ")</f>
        <v xml:space="preserve">     Repair and Maintenance                            </v>
      </c>
      <c r="C79" s="14"/>
      <c r="D79" s="1">
        <f>SUM(OSRRefD22_9x_0)</f>
        <v>22.86</v>
      </c>
      <c r="E79" s="1"/>
      <c r="F79" s="5">
        <f t="shared" si="28"/>
        <v>5.6113416850520331E-4</v>
      </c>
      <c r="G79" s="1"/>
      <c r="H79" s="1">
        <f>SUM(OSRRefH22_9x_0)</f>
        <v>140</v>
      </c>
      <c r="I79" s="1"/>
      <c r="J79" s="5">
        <f t="shared" si="29"/>
        <v>2.5043378709550469E-3</v>
      </c>
      <c r="K79" s="1"/>
      <c r="L79" s="1">
        <f t="shared" si="30"/>
        <v>-117.14</v>
      </c>
      <c r="M79" s="1"/>
      <c r="N79" s="5">
        <f t="shared" si="31"/>
        <v>-0.83671428571428574</v>
      </c>
      <c r="O79" s="14"/>
      <c r="P79" s="1">
        <f>SUM(OSRRefP22_9x_0)</f>
        <v>22.86</v>
      </c>
      <c r="Q79" s="1"/>
      <c r="R79" s="5">
        <f t="shared" si="32"/>
        <v>5.6113416850520331E-4</v>
      </c>
      <c r="S79" s="1"/>
      <c r="T79" s="1">
        <f>SUM(OSRRefT22_9x_0)</f>
        <v>140</v>
      </c>
      <c r="U79" s="1"/>
      <c r="V79" s="5">
        <f t="shared" si="33"/>
        <v>2.5043378709550469E-3</v>
      </c>
      <c r="W79" s="1"/>
      <c r="X79" s="1">
        <f t="shared" si="34"/>
        <v>-117.14</v>
      </c>
      <c r="Y79" s="1"/>
      <c r="Z79" s="5">
        <f t="shared" si="35"/>
        <v>-0.83671428571428574</v>
      </c>
    </row>
    <row r="80" spans="1:26" s="24" customFormat="1" hidden="1" outlineLevel="2" x14ac:dyDescent="0.25">
      <c r="A80" s="27"/>
      <c r="B80" s="12" t="str">
        <f>CONCATENATE("          ", "6373", " - ", "MAINTENANCE CONTRACTS")</f>
        <v xml:space="preserve">          6373 - MAINTENANCE CONTRACTS</v>
      </c>
      <c r="C80" s="12"/>
      <c r="D80" s="7">
        <v>22.86</v>
      </c>
      <c r="E80" s="3"/>
      <c r="F80" s="8">
        <f t="shared" si="28"/>
        <v>5.6113416850520331E-4</v>
      </c>
      <c r="G80" s="3"/>
      <c r="H80" s="7">
        <v>40</v>
      </c>
      <c r="I80" s="3"/>
      <c r="J80" s="8">
        <f t="shared" si="29"/>
        <v>7.1552510598715628E-4</v>
      </c>
      <c r="K80" s="3"/>
      <c r="L80" s="7">
        <f t="shared" si="30"/>
        <v>-17.14</v>
      </c>
      <c r="M80" s="3"/>
      <c r="N80" s="8">
        <f t="shared" si="31"/>
        <v>-0.42849999999999999</v>
      </c>
      <c r="O80" s="12"/>
      <c r="P80" s="7">
        <v>22.86</v>
      </c>
      <c r="Q80" s="3"/>
      <c r="R80" s="8">
        <f t="shared" si="32"/>
        <v>5.6113416850520331E-4</v>
      </c>
      <c r="S80" s="3"/>
      <c r="T80" s="7">
        <v>40</v>
      </c>
      <c r="U80" s="3"/>
      <c r="V80" s="8">
        <f t="shared" si="33"/>
        <v>7.1552510598715628E-4</v>
      </c>
      <c r="W80" s="3"/>
      <c r="X80" s="7">
        <f t="shared" si="34"/>
        <v>-17.14</v>
      </c>
      <c r="Y80" s="3"/>
      <c r="Z80" s="8">
        <f t="shared" si="35"/>
        <v>-0.42849999999999999</v>
      </c>
    </row>
    <row r="81" spans="1:26" s="24" customFormat="1" hidden="1" outlineLevel="2" x14ac:dyDescent="0.25">
      <c r="A81" s="27"/>
      <c r="B81" s="12" t="str">
        <f>CONCATENATE("          ", "6375", " - ", "OUTSIDE REPAIRS &amp; MAINTENANCE")</f>
        <v xml:space="preserve">          6375 - OUTSIDE REPAIRS &amp; MAINTENANCE</v>
      </c>
      <c r="C81" s="12"/>
      <c r="D81" s="7"/>
      <c r="E81" s="3"/>
      <c r="F81" s="8">
        <f t="shared" si="28"/>
        <v>0</v>
      </c>
      <c r="G81" s="3"/>
      <c r="H81" s="7">
        <v>100</v>
      </c>
      <c r="I81" s="3"/>
      <c r="J81" s="8">
        <f t="shared" si="29"/>
        <v>1.7888127649678908E-3</v>
      </c>
      <c r="K81" s="3"/>
      <c r="L81" s="7">
        <f t="shared" si="30"/>
        <v>-100</v>
      </c>
      <c r="M81" s="3"/>
      <c r="N81" s="8">
        <f t="shared" si="31"/>
        <v>-1</v>
      </c>
      <c r="O81" s="12"/>
      <c r="P81" s="7"/>
      <c r="Q81" s="3"/>
      <c r="R81" s="8">
        <f t="shared" si="32"/>
        <v>0</v>
      </c>
      <c r="S81" s="3"/>
      <c r="T81" s="7">
        <v>100</v>
      </c>
      <c r="U81" s="3"/>
      <c r="V81" s="8">
        <f t="shared" si="33"/>
        <v>1.7888127649678908E-3</v>
      </c>
      <c r="W81" s="3"/>
      <c r="X81" s="7">
        <f t="shared" si="34"/>
        <v>-100</v>
      </c>
      <c r="Y81" s="3"/>
      <c r="Z81" s="8">
        <f t="shared" si="35"/>
        <v>-1</v>
      </c>
    </row>
    <row r="82" spans="1:26" s="29" customFormat="1" outlineLevel="1" collapsed="1" x14ac:dyDescent="0.25">
      <c r="A82" s="28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SUM(OSRRefD22_10x_0)</f>
        <v>290</v>
      </c>
      <c r="E82" s="1"/>
      <c r="F82" s="5">
        <f t="shared" ref="F82:F87" si="36">IF(D$12=0,0,D82/D$12)</f>
        <v>7.118499950415965E-3</v>
      </c>
      <c r="G82" s="1"/>
      <c r="H82" s="1">
        <f>SUM(OSRRefH22_10x_0)</f>
        <v>300</v>
      </c>
      <c r="I82" s="1"/>
      <c r="J82" s="5">
        <f t="shared" ref="J82:J87" si="37">IF(H$12=0,0,H82/H$12)</f>
        <v>5.3664382949036721E-3</v>
      </c>
      <c r="K82" s="1"/>
      <c r="L82" s="1">
        <f t="shared" ref="L82:L87" si="38">+D82-H82</f>
        <v>-10</v>
      </c>
      <c r="M82" s="1"/>
      <c r="N82" s="5">
        <f t="shared" ref="N82:N87" si="39">IF(H82=0,0,L82/H82)</f>
        <v>-3.3333333333333333E-2</v>
      </c>
      <c r="O82" s="14"/>
      <c r="P82" s="1">
        <f>SUM(OSRRefP22_10x_0)</f>
        <v>290</v>
      </c>
      <c r="Q82" s="1"/>
      <c r="R82" s="5">
        <f t="shared" ref="R82:R87" si="40">IF(P$12=0,0,P82/P$12)</f>
        <v>7.118499950415965E-3</v>
      </c>
      <c r="S82" s="1"/>
      <c r="T82" s="1">
        <f>SUM(OSRRefT22_10x_0)</f>
        <v>300</v>
      </c>
      <c r="U82" s="1"/>
      <c r="V82" s="5">
        <f t="shared" ref="V82:V87" si="41">IF(T$12=0,0,T82/T$12)</f>
        <v>5.3664382949036721E-3</v>
      </c>
      <c r="W82" s="1"/>
      <c r="X82" s="1">
        <f t="shared" ref="X82:X87" si="42">+P82-T82</f>
        <v>-10</v>
      </c>
      <c r="Y82" s="1"/>
      <c r="Z82" s="5">
        <f t="shared" ref="Z82:Z87" si="43">IF(T82=0,0,X82/T82)</f>
        <v>-3.3333333333333333E-2</v>
      </c>
    </row>
    <row r="83" spans="1:26" s="24" customFormat="1" hidden="1" outlineLevel="2" x14ac:dyDescent="0.25">
      <c r="A83" s="27"/>
      <c r="B83" s="12" t="str">
        <f>CONCATENATE("          ", "6258", " - ", "MEMBERSHIP DUES")</f>
        <v xml:space="preserve">          6258 - MEMBERSHIP DUES</v>
      </c>
      <c r="C83" s="12"/>
      <c r="D83" s="7">
        <v>290</v>
      </c>
      <c r="E83" s="3"/>
      <c r="F83" s="8">
        <f t="shared" si="36"/>
        <v>7.118499950415965E-3</v>
      </c>
      <c r="G83" s="3"/>
      <c r="H83" s="7">
        <v>300</v>
      </c>
      <c r="I83" s="3"/>
      <c r="J83" s="8">
        <f t="shared" si="37"/>
        <v>5.3664382949036721E-3</v>
      </c>
      <c r="K83" s="3"/>
      <c r="L83" s="7">
        <f t="shared" si="38"/>
        <v>-10</v>
      </c>
      <c r="M83" s="3"/>
      <c r="N83" s="8">
        <f t="shared" si="39"/>
        <v>-3.3333333333333333E-2</v>
      </c>
      <c r="O83" s="12"/>
      <c r="P83" s="7">
        <v>290</v>
      </c>
      <c r="Q83" s="3"/>
      <c r="R83" s="8">
        <f t="shared" si="40"/>
        <v>7.118499950415965E-3</v>
      </c>
      <c r="S83" s="3"/>
      <c r="T83" s="7">
        <v>300</v>
      </c>
      <c r="U83" s="3"/>
      <c r="V83" s="8">
        <f t="shared" si="41"/>
        <v>5.3664382949036721E-3</v>
      </c>
      <c r="W83" s="3"/>
      <c r="X83" s="7">
        <f t="shared" si="42"/>
        <v>-10</v>
      </c>
      <c r="Y83" s="3"/>
      <c r="Z83" s="8">
        <f t="shared" si="43"/>
        <v>-3.3333333333333333E-2</v>
      </c>
    </row>
    <row r="84" spans="1:26" s="29" customFormat="1" outlineLevel="1" collapsed="1" x14ac:dyDescent="0.25">
      <c r="A84" s="28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SUM(OSRRefD22_11x_0)</f>
        <v>792.76</v>
      </c>
      <c r="E84" s="1"/>
      <c r="F84" s="5">
        <f t="shared" si="36"/>
        <v>1.9459524209281931E-2</v>
      </c>
      <c r="G84" s="1"/>
      <c r="H84" s="1">
        <f>SUM(OSRRefH22_11x_0)</f>
        <v>900</v>
      </c>
      <c r="I84" s="1"/>
      <c r="J84" s="5">
        <f t="shared" si="37"/>
        <v>1.6099314884711016E-2</v>
      </c>
      <c r="K84" s="1"/>
      <c r="L84" s="1">
        <f t="shared" si="38"/>
        <v>-107.24000000000001</v>
      </c>
      <c r="M84" s="1"/>
      <c r="N84" s="5">
        <f t="shared" si="39"/>
        <v>-0.11915555555555557</v>
      </c>
      <c r="O84" s="14"/>
      <c r="P84" s="1">
        <f>SUM(OSRRefP22_11x_0)</f>
        <v>792.76</v>
      </c>
      <c r="Q84" s="1"/>
      <c r="R84" s="5">
        <f t="shared" si="40"/>
        <v>1.9459524209281931E-2</v>
      </c>
      <c r="S84" s="1"/>
      <c r="T84" s="1">
        <f>SUM(OSRRefT22_11x_0)</f>
        <v>900</v>
      </c>
      <c r="U84" s="1"/>
      <c r="V84" s="5">
        <f t="shared" si="41"/>
        <v>1.6099314884711016E-2</v>
      </c>
      <c r="W84" s="1"/>
      <c r="X84" s="1">
        <f t="shared" si="42"/>
        <v>-107.24000000000001</v>
      </c>
      <c r="Y84" s="1"/>
      <c r="Z84" s="5">
        <f t="shared" si="43"/>
        <v>-0.11915555555555557</v>
      </c>
    </row>
    <row r="85" spans="1:26" s="24" customFormat="1" hidden="1" outlineLevel="2" x14ac:dyDescent="0.25">
      <c r="A85" s="27"/>
      <c r="B85" s="12" t="str">
        <f>CONCATENATE("          ", "6241", " - ", "OFFICE EXPENSE")</f>
        <v xml:space="preserve">          6241 - OFFICE EXPENSE</v>
      </c>
      <c r="C85" s="12"/>
      <c r="D85" s="7">
        <v>159.66</v>
      </c>
      <c r="E85" s="3"/>
      <c r="F85" s="8">
        <f t="shared" si="36"/>
        <v>3.9191024209772858E-3</v>
      </c>
      <c r="G85" s="3"/>
      <c r="H85" s="7">
        <v>300</v>
      </c>
      <c r="I85" s="3"/>
      <c r="J85" s="8">
        <f t="shared" si="37"/>
        <v>5.3664382949036721E-3</v>
      </c>
      <c r="K85" s="3"/>
      <c r="L85" s="7">
        <f t="shared" si="38"/>
        <v>-140.34</v>
      </c>
      <c r="M85" s="3"/>
      <c r="N85" s="8">
        <f t="shared" si="39"/>
        <v>-0.46779999999999999</v>
      </c>
      <c r="O85" s="12"/>
      <c r="P85" s="7">
        <v>159.66</v>
      </c>
      <c r="Q85" s="3"/>
      <c r="R85" s="8">
        <f t="shared" si="40"/>
        <v>3.9191024209772858E-3</v>
      </c>
      <c r="S85" s="3"/>
      <c r="T85" s="7">
        <v>300</v>
      </c>
      <c r="U85" s="3"/>
      <c r="V85" s="8">
        <f t="shared" si="41"/>
        <v>5.3664382949036721E-3</v>
      </c>
      <c r="W85" s="3"/>
      <c r="X85" s="7">
        <f t="shared" si="42"/>
        <v>-140.34</v>
      </c>
      <c r="Y85" s="3"/>
      <c r="Z85" s="8">
        <f t="shared" si="43"/>
        <v>-0.46779999999999999</v>
      </c>
    </row>
    <row r="86" spans="1:26" s="24" customFormat="1" hidden="1" outlineLevel="2" x14ac:dyDescent="0.25">
      <c r="A86" s="27"/>
      <c r="B86" s="12" t="str">
        <f>CONCATENATE("          ", "6245", " - ", "PRINTING")</f>
        <v xml:space="preserve">          6245 - PRINTING</v>
      </c>
      <c r="C86" s="12"/>
      <c r="D86" s="7"/>
      <c r="E86" s="3"/>
      <c r="F86" s="8">
        <f t="shared" si="36"/>
        <v>0</v>
      </c>
      <c r="G86" s="3"/>
      <c r="H86" s="7">
        <v>100</v>
      </c>
      <c r="I86" s="3"/>
      <c r="J86" s="8">
        <f t="shared" si="37"/>
        <v>1.7888127649678908E-3</v>
      </c>
      <c r="K86" s="3"/>
      <c r="L86" s="7">
        <f t="shared" si="38"/>
        <v>-100</v>
      </c>
      <c r="M86" s="3"/>
      <c r="N86" s="8">
        <f t="shared" si="39"/>
        <v>-1</v>
      </c>
      <c r="O86" s="12"/>
      <c r="P86" s="7"/>
      <c r="Q86" s="3"/>
      <c r="R86" s="8">
        <f t="shared" si="40"/>
        <v>0</v>
      </c>
      <c r="S86" s="3"/>
      <c r="T86" s="7">
        <v>100</v>
      </c>
      <c r="U86" s="3"/>
      <c r="V86" s="8">
        <f t="shared" si="41"/>
        <v>1.7888127649678908E-3</v>
      </c>
      <c r="W86" s="3"/>
      <c r="X86" s="7">
        <f t="shared" si="42"/>
        <v>-100</v>
      </c>
      <c r="Y86" s="3"/>
      <c r="Z86" s="8">
        <f t="shared" si="43"/>
        <v>-1</v>
      </c>
    </row>
    <row r="87" spans="1:26" s="24" customFormat="1" hidden="1" outlineLevel="2" x14ac:dyDescent="0.25">
      <c r="A87" s="27"/>
      <c r="B87" s="12" t="str">
        <f>CONCATENATE("          ", "6247", " - ", "STORE SUPPLIES")</f>
        <v xml:space="preserve">          6247 - STORE SUPPLIES</v>
      </c>
      <c r="C87" s="12"/>
      <c r="D87" s="7">
        <v>633.1</v>
      </c>
      <c r="E87" s="3"/>
      <c r="F87" s="8">
        <f t="shared" si="36"/>
        <v>1.5540421788304646E-2</v>
      </c>
      <c r="G87" s="3"/>
      <c r="H87" s="7">
        <v>500</v>
      </c>
      <c r="I87" s="3"/>
      <c r="J87" s="8">
        <f t="shared" si="37"/>
        <v>8.944063824839454E-3</v>
      </c>
      <c r="K87" s="3"/>
      <c r="L87" s="7">
        <f t="shared" si="38"/>
        <v>133.10000000000002</v>
      </c>
      <c r="M87" s="3"/>
      <c r="N87" s="8">
        <f t="shared" si="39"/>
        <v>0.26620000000000005</v>
      </c>
      <c r="O87" s="12"/>
      <c r="P87" s="7">
        <v>633.1</v>
      </c>
      <c r="Q87" s="3"/>
      <c r="R87" s="8">
        <f t="shared" si="40"/>
        <v>1.5540421788304646E-2</v>
      </c>
      <c r="S87" s="3"/>
      <c r="T87" s="7">
        <v>500</v>
      </c>
      <c r="U87" s="3"/>
      <c r="V87" s="8">
        <f t="shared" si="41"/>
        <v>8.944063824839454E-3</v>
      </c>
      <c r="W87" s="3"/>
      <c r="X87" s="7">
        <f t="shared" si="42"/>
        <v>133.10000000000002</v>
      </c>
      <c r="Y87" s="3"/>
      <c r="Z87" s="8">
        <f t="shared" si="43"/>
        <v>0.26620000000000005</v>
      </c>
    </row>
    <row r="88" spans="1:26" s="29" customFormat="1" outlineLevel="1" collapsed="1" x14ac:dyDescent="0.25">
      <c r="A88" s="28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SUM(OSRRefD22_12x_0)</f>
        <v>760.5</v>
      </c>
      <c r="E88" s="1"/>
      <c r="F88" s="5">
        <f t="shared" ref="F88:F90" si="44">IF(D$12=0,0,D88/D$12)</f>
        <v>1.866765245617704E-2</v>
      </c>
      <c r="G88" s="1"/>
      <c r="H88" s="1">
        <f>SUM(OSRRefH22_12x_0)</f>
        <v>600</v>
      </c>
      <c r="I88" s="1"/>
      <c r="J88" s="5">
        <f t="shared" ref="J88:J90" si="45">IF(H$12=0,0,H88/H$12)</f>
        <v>1.0732876589807344E-2</v>
      </c>
      <c r="K88" s="1"/>
      <c r="L88" s="1">
        <f t="shared" ref="L88:L90" si="46">+D88-H88</f>
        <v>160.5</v>
      </c>
      <c r="M88" s="1"/>
      <c r="N88" s="5">
        <f t="shared" ref="N88:N90" si="47">IF(H88=0,0,L88/H88)</f>
        <v>0.26750000000000002</v>
      </c>
      <c r="O88" s="14"/>
      <c r="P88" s="1">
        <f>SUM(OSRRefP22_12x_0)</f>
        <v>760.5</v>
      </c>
      <c r="Q88" s="1"/>
      <c r="R88" s="5">
        <f t="shared" ref="R88:R90" si="48">IF(P$12=0,0,P88/P$12)</f>
        <v>1.866765245617704E-2</v>
      </c>
      <c r="S88" s="1"/>
      <c r="T88" s="1">
        <f>SUM(OSRRefT22_12x_0)</f>
        <v>600</v>
      </c>
      <c r="U88" s="1"/>
      <c r="V88" s="5">
        <f t="shared" ref="V88:V90" si="49">IF(T$12=0,0,T88/T$12)</f>
        <v>1.0732876589807344E-2</v>
      </c>
      <c r="W88" s="1"/>
      <c r="X88" s="1">
        <f t="shared" ref="X88:X90" si="50">+P88-T88</f>
        <v>160.5</v>
      </c>
      <c r="Y88" s="1"/>
      <c r="Z88" s="5">
        <f t="shared" ref="Z88:Z90" si="51">IF(T88=0,0,X88/T88)</f>
        <v>0.26750000000000002</v>
      </c>
    </row>
    <row r="89" spans="1:26" s="24" customFormat="1" hidden="1" outlineLevel="2" x14ac:dyDescent="0.25">
      <c r="A89" s="27"/>
      <c r="B89" s="12" t="str">
        <f>CONCATENATE("          ", "6303", " - ", "DATA PHONE LINES")</f>
        <v xml:space="preserve">          6303 - DATA PHONE LINES</v>
      </c>
      <c r="C89" s="12"/>
      <c r="D89" s="7">
        <v>295</v>
      </c>
      <c r="E89" s="3"/>
      <c r="F89" s="8">
        <f t="shared" si="44"/>
        <v>7.2412327081817574E-3</v>
      </c>
      <c r="G89" s="3"/>
      <c r="H89" s="7">
        <v>300</v>
      </c>
      <c r="I89" s="3"/>
      <c r="J89" s="8">
        <f t="shared" si="45"/>
        <v>5.3664382949036721E-3</v>
      </c>
      <c r="K89" s="3"/>
      <c r="L89" s="7">
        <f t="shared" si="46"/>
        <v>-5</v>
      </c>
      <c r="M89" s="3"/>
      <c r="N89" s="8">
        <f t="shared" si="47"/>
        <v>-1.6666666666666666E-2</v>
      </c>
      <c r="O89" s="12"/>
      <c r="P89" s="7">
        <v>295</v>
      </c>
      <c r="Q89" s="3"/>
      <c r="R89" s="8">
        <f t="shared" si="48"/>
        <v>7.2412327081817574E-3</v>
      </c>
      <c r="S89" s="3"/>
      <c r="T89" s="7">
        <v>300</v>
      </c>
      <c r="U89" s="3"/>
      <c r="V89" s="8">
        <f t="shared" si="49"/>
        <v>5.3664382949036721E-3</v>
      </c>
      <c r="W89" s="3"/>
      <c r="X89" s="7">
        <f t="shared" si="50"/>
        <v>-5</v>
      </c>
      <c r="Y89" s="3"/>
      <c r="Z89" s="8">
        <f t="shared" si="51"/>
        <v>-1.6666666666666666E-2</v>
      </c>
    </row>
    <row r="90" spans="1:26" s="24" customFormat="1" hidden="1" outlineLevel="2" x14ac:dyDescent="0.25">
      <c r="A90" s="27"/>
      <c r="B90" s="12" t="str">
        <f>CONCATENATE("          ", "6309", " - ", "TELEPHONE")</f>
        <v xml:space="preserve">          6309 - TELEPHONE</v>
      </c>
      <c r="C90" s="12"/>
      <c r="D90" s="7">
        <v>465.5</v>
      </c>
      <c r="E90" s="3"/>
      <c r="F90" s="8">
        <f t="shared" si="44"/>
        <v>1.1426419747995282E-2</v>
      </c>
      <c r="G90" s="3"/>
      <c r="H90" s="7">
        <v>300</v>
      </c>
      <c r="I90" s="3"/>
      <c r="J90" s="8">
        <f t="shared" si="45"/>
        <v>5.3664382949036721E-3</v>
      </c>
      <c r="K90" s="3"/>
      <c r="L90" s="7">
        <f t="shared" si="46"/>
        <v>165.5</v>
      </c>
      <c r="M90" s="3"/>
      <c r="N90" s="8">
        <f t="shared" si="47"/>
        <v>0.55166666666666664</v>
      </c>
      <c r="O90" s="12"/>
      <c r="P90" s="7">
        <v>465.5</v>
      </c>
      <c r="Q90" s="3"/>
      <c r="R90" s="8">
        <f t="shared" si="48"/>
        <v>1.1426419747995282E-2</v>
      </c>
      <c r="S90" s="3"/>
      <c r="T90" s="7">
        <v>300</v>
      </c>
      <c r="U90" s="3"/>
      <c r="V90" s="8">
        <f t="shared" si="49"/>
        <v>5.3664382949036721E-3</v>
      </c>
      <c r="W90" s="3"/>
      <c r="X90" s="7">
        <f t="shared" si="50"/>
        <v>165.5</v>
      </c>
      <c r="Y90" s="3"/>
      <c r="Z90" s="8">
        <f t="shared" si="51"/>
        <v>0.55166666666666664</v>
      </c>
    </row>
    <row r="91" spans="1:26" s="29" customFormat="1" outlineLevel="1" collapsed="1" x14ac:dyDescent="0.25">
      <c r="A91" s="28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SUM(OSRRefD22_13x_0)</f>
        <v>0.16</v>
      </c>
      <c r="E91" s="1"/>
      <c r="F91" s="5">
        <f t="shared" ref="F91:F92" si="52">IF(D$12=0,0,D91/D$12)</f>
        <v>3.9274482485053597E-6</v>
      </c>
      <c r="G91" s="1"/>
      <c r="H91" s="1">
        <f>SUM(OSRRefH22_13x_0)</f>
        <v>0</v>
      </c>
      <c r="I91" s="1"/>
      <c r="J91" s="5">
        <f t="shared" ref="J91:J92" si="53">IF(H$12=0,0,H91/H$12)</f>
        <v>0</v>
      </c>
      <c r="K91" s="1"/>
      <c r="L91" s="1">
        <f t="shared" ref="L91:L92" si="54">+D91-H91</f>
        <v>0.16</v>
      </c>
      <c r="M91" s="1"/>
      <c r="N91" s="5">
        <f t="shared" ref="N91:N92" si="55">IF(H91=0,0,L91/H91)</f>
        <v>0</v>
      </c>
      <c r="O91" s="14"/>
      <c r="P91" s="1">
        <f>SUM(OSRRefP22_13x_0)</f>
        <v>0.16</v>
      </c>
      <c r="Q91" s="1"/>
      <c r="R91" s="5">
        <f t="shared" ref="R91:R92" si="56">IF(P$12=0,0,P91/P$12)</f>
        <v>3.9274482485053597E-6</v>
      </c>
      <c r="S91" s="1"/>
      <c r="T91" s="1">
        <f>SUM(OSRRefT22_13x_0)</f>
        <v>0</v>
      </c>
      <c r="U91" s="1"/>
      <c r="V91" s="5">
        <f t="shared" ref="V91:V92" si="57">IF(T$12=0,0,T91/T$12)</f>
        <v>0</v>
      </c>
      <c r="W91" s="1"/>
      <c r="X91" s="1">
        <f t="shared" ref="X91:X92" si="58">+P91-T91</f>
        <v>0.16</v>
      </c>
      <c r="Y91" s="1"/>
      <c r="Z91" s="5">
        <f t="shared" ref="Z91:Z92" si="59">IF(T91=0,0,X91/T91)</f>
        <v>0</v>
      </c>
    </row>
    <row r="92" spans="1:26" s="24" customFormat="1" hidden="1" outlineLevel="2" x14ac:dyDescent="0.25">
      <c r="A92" s="27"/>
      <c r="B92" s="12" t="str">
        <f>CONCATENATE("          ", "6292", " - ", "TRAVEL/CONFERENCE")</f>
        <v xml:space="preserve">          6292 - TRAVEL/CONFERENCE</v>
      </c>
      <c r="C92" s="12"/>
      <c r="D92" s="7">
        <v>0.16</v>
      </c>
      <c r="E92" s="3"/>
      <c r="F92" s="8">
        <f t="shared" si="52"/>
        <v>3.9274482485053597E-6</v>
      </c>
      <c r="G92" s="3"/>
      <c r="H92" s="7"/>
      <c r="I92" s="3"/>
      <c r="J92" s="8">
        <f t="shared" si="53"/>
        <v>0</v>
      </c>
      <c r="K92" s="3"/>
      <c r="L92" s="7">
        <f t="shared" si="54"/>
        <v>0.16</v>
      </c>
      <c r="M92" s="3"/>
      <c r="N92" s="8">
        <f t="shared" si="55"/>
        <v>0</v>
      </c>
      <c r="O92" s="12"/>
      <c r="P92" s="7">
        <v>0.16</v>
      </c>
      <c r="Q92" s="3"/>
      <c r="R92" s="8">
        <f t="shared" si="56"/>
        <v>3.9274482485053597E-6</v>
      </c>
      <c r="S92" s="3"/>
      <c r="T92" s="7"/>
      <c r="U92" s="3"/>
      <c r="V92" s="8">
        <f t="shared" si="57"/>
        <v>0</v>
      </c>
      <c r="W92" s="3"/>
      <c r="X92" s="7">
        <f t="shared" si="58"/>
        <v>0.16</v>
      </c>
      <c r="Y92" s="3"/>
      <c r="Z92" s="8">
        <f t="shared" si="59"/>
        <v>0</v>
      </c>
    </row>
    <row r="93" spans="1:26" s="54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2" customFormat="1" collapsed="1" x14ac:dyDescent="0.25">
      <c r="A94" s="10"/>
      <c r="B94" s="26" t="s">
        <v>0</v>
      </c>
      <c r="C94" s="10"/>
      <c r="D94" s="4">
        <f>SUM(OSRRefD25x_0)</f>
        <v>2056.9300000000003</v>
      </c>
      <c r="E94" s="4"/>
      <c r="F94" s="11">
        <f t="shared" ref="F94:F97" si="60">IF(D$12=0,0,D94/D$12)</f>
        <v>5.0490538286238319E-2</v>
      </c>
      <c r="G94" s="4"/>
      <c r="H94" s="4">
        <f>SUM(OSRRefH25x_0)</f>
        <v>200</v>
      </c>
      <c r="I94" s="4"/>
      <c r="J94" s="11">
        <f t="shared" ref="J94:J97" si="61">IF(H$12=0,0,H94/H$12)</f>
        <v>3.5776255299357815E-3</v>
      </c>
      <c r="K94" s="4"/>
      <c r="L94" s="4">
        <f t="shared" ref="L94:L97" si="62">+D94-H94</f>
        <v>1856.9300000000003</v>
      </c>
      <c r="M94" s="4"/>
      <c r="N94" s="11">
        <f t="shared" ref="N94:N97" si="63">IF(H94=0,0,L94/H94)</f>
        <v>9.284650000000001</v>
      </c>
      <c r="O94" s="10"/>
      <c r="P94" s="4">
        <f>SUM(OSRRefP25x_0)</f>
        <v>2056.9300000000003</v>
      </c>
      <c r="Q94" s="4"/>
      <c r="R94" s="11">
        <f t="shared" ref="R94:R97" si="64">IF(P$12=0,0,P94/P$12)</f>
        <v>5.0490538286238319E-2</v>
      </c>
      <c r="S94" s="4"/>
      <c r="T94" s="4">
        <f>SUM(OSRRefT25x_0)</f>
        <v>200</v>
      </c>
      <c r="U94" s="4"/>
      <c r="V94" s="11">
        <f t="shared" ref="V94:V97" si="65">IF(T$12=0,0,T94/T$12)</f>
        <v>3.5776255299357815E-3</v>
      </c>
      <c r="W94" s="4"/>
      <c r="X94" s="4">
        <f t="shared" ref="X94:X97" si="66">+P94-T94</f>
        <v>1856.9300000000003</v>
      </c>
      <c r="Y94" s="4"/>
      <c r="Z94" s="11">
        <f t="shared" ref="Z94:Z97" si="67">IF(T94=0,0,X94/T94)</f>
        <v>9.284650000000001</v>
      </c>
    </row>
    <row r="95" spans="1:26" s="24" customFormat="1" hidden="1" outlineLevel="1" x14ac:dyDescent="0.25">
      <c r="A95" s="51"/>
      <c r="B95" s="12" t="str">
        <f>CONCATENATE("          ", "9150", " - ", "MISC. INCOME")</f>
        <v xml:space="preserve">          9150 - MISC. INCOME</v>
      </c>
      <c r="C95" s="12"/>
      <c r="D95" s="3">
        <f>--582.54</f>
        <v>582.54</v>
      </c>
      <c r="E95" s="3"/>
      <c r="F95" s="23">
        <f t="shared" si="60"/>
        <v>1.4299348141776951E-2</v>
      </c>
      <c r="G95" s="3"/>
      <c r="H95" s="3"/>
      <c r="I95" s="3"/>
      <c r="J95" s="23">
        <f t="shared" si="61"/>
        <v>0</v>
      </c>
      <c r="K95" s="3"/>
      <c r="L95" s="3">
        <f t="shared" si="62"/>
        <v>582.54</v>
      </c>
      <c r="M95" s="3"/>
      <c r="N95" s="23">
        <f t="shared" si="63"/>
        <v>0</v>
      </c>
      <c r="O95" s="12"/>
      <c r="P95" s="3">
        <f>--582.54</f>
        <v>582.54</v>
      </c>
      <c r="Q95" s="3"/>
      <c r="R95" s="23">
        <f t="shared" si="64"/>
        <v>1.4299348141776951E-2</v>
      </c>
      <c r="S95" s="3"/>
      <c r="T95" s="3"/>
      <c r="U95" s="3"/>
      <c r="V95" s="23">
        <f t="shared" si="65"/>
        <v>0</v>
      </c>
      <c r="W95" s="3"/>
      <c r="X95" s="3">
        <f t="shared" si="66"/>
        <v>582.54</v>
      </c>
      <c r="Y95" s="3"/>
      <c r="Z95" s="23">
        <f t="shared" si="67"/>
        <v>0</v>
      </c>
    </row>
    <row r="96" spans="1:26" s="24" customFormat="1" hidden="1" outlineLevel="1" x14ac:dyDescent="0.25">
      <c r="A96" s="51"/>
      <c r="B96" s="12" t="str">
        <f>CONCATENATE("          ", "9151", " - ", "MISC. INCOME")</f>
        <v xml:space="preserve">          9151 - MISC. INCOME</v>
      </c>
      <c r="C96" s="12"/>
      <c r="D96" s="3">
        <f>0</f>
        <v>0</v>
      </c>
      <c r="E96" s="3"/>
      <c r="F96" s="23">
        <f t="shared" si="60"/>
        <v>0</v>
      </c>
      <c r="G96" s="3"/>
      <c r="H96" s="3">
        <v>200</v>
      </c>
      <c r="I96" s="3"/>
      <c r="J96" s="23">
        <f t="shared" si="61"/>
        <v>3.5776255299357815E-3</v>
      </c>
      <c r="K96" s="3"/>
      <c r="L96" s="3">
        <f t="shared" si="62"/>
        <v>-200</v>
      </c>
      <c r="M96" s="3"/>
      <c r="N96" s="23">
        <f t="shared" si="63"/>
        <v>-1</v>
      </c>
      <c r="O96" s="12"/>
      <c r="P96" s="3">
        <f>0</f>
        <v>0</v>
      </c>
      <c r="Q96" s="3"/>
      <c r="R96" s="23">
        <f t="shared" si="64"/>
        <v>0</v>
      </c>
      <c r="S96" s="3"/>
      <c r="T96" s="3">
        <v>200</v>
      </c>
      <c r="U96" s="3"/>
      <c r="V96" s="23">
        <f t="shared" si="65"/>
        <v>3.5776255299357815E-3</v>
      </c>
      <c r="W96" s="3"/>
      <c r="X96" s="3">
        <f t="shared" si="66"/>
        <v>-200</v>
      </c>
      <c r="Y96" s="3"/>
      <c r="Z96" s="23">
        <f t="shared" si="67"/>
        <v>-1</v>
      </c>
    </row>
    <row r="97" spans="1:26" s="24" customFormat="1" hidden="1" outlineLevel="1" x14ac:dyDescent="0.25">
      <c r="A97" s="51"/>
      <c r="B97" s="12" t="str">
        <f>CONCATENATE("          ", "9152", " - ", "MISC. INCOME")</f>
        <v xml:space="preserve">          9152 - MISC. INCOME</v>
      </c>
      <c r="C97" s="12"/>
      <c r="D97" s="3">
        <f>--1474.39</f>
        <v>1474.39</v>
      </c>
      <c r="E97" s="3"/>
      <c r="F97" s="23">
        <f t="shared" si="60"/>
        <v>3.6191190144461365E-2</v>
      </c>
      <c r="G97" s="3"/>
      <c r="H97" s="3"/>
      <c r="I97" s="3"/>
      <c r="J97" s="23">
        <f t="shared" si="61"/>
        <v>0</v>
      </c>
      <c r="K97" s="3"/>
      <c r="L97" s="3">
        <f t="shared" si="62"/>
        <v>1474.39</v>
      </c>
      <c r="M97" s="3"/>
      <c r="N97" s="23">
        <f t="shared" si="63"/>
        <v>0</v>
      </c>
      <c r="O97" s="12"/>
      <c r="P97" s="3">
        <f>--1474.39</f>
        <v>1474.39</v>
      </c>
      <c r="Q97" s="3"/>
      <c r="R97" s="23">
        <f t="shared" si="64"/>
        <v>3.6191190144461365E-2</v>
      </c>
      <c r="S97" s="3"/>
      <c r="T97" s="3"/>
      <c r="U97" s="3"/>
      <c r="V97" s="23">
        <f t="shared" si="65"/>
        <v>0</v>
      </c>
      <c r="W97" s="3"/>
      <c r="X97" s="3">
        <f t="shared" si="66"/>
        <v>1474.39</v>
      </c>
      <c r="Y97" s="3"/>
      <c r="Z97" s="23">
        <f t="shared" si="67"/>
        <v>0</v>
      </c>
    </row>
    <row r="98" spans="1:26" x14ac:dyDescent="0.25">
      <c r="A98" s="9"/>
      <c r="B98" s="10"/>
      <c r="C98" s="10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O98" s="10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s="22" customFormat="1" x14ac:dyDescent="0.25">
      <c r="A99" s="10"/>
      <c r="B99" s="25" t="s">
        <v>3</v>
      </c>
      <c r="C99" s="25"/>
      <c r="D99" s="21">
        <f>+D40-D42+D94</f>
        <v>-23436.260000000009</v>
      </c>
      <c r="E99" s="13"/>
      <c r="F99" s="20">
        <f>IF(D$12=0,0,D99/D$12)</f>
        <v>-0.57527936430322668</v>
      </c>
      <c r="G99" s="13"/>
      <c r="H99" s="21">
        <f>+H40-H42+H94</f>
        <v>-30494.394117326941</v>
      </c>
      <c r="I99" s="13"/>
      <c r="J99" s="20">
        <f>IF(H$12=0,0,H99/H$12)</f>
        <v>-0.54548761457036188</v>
      </c>
      <c r="K99" s="15"/>
      <c r="L99" s="21">
        <f>+D99-H99</f>
        <v>7058.134117326932</v>
      </c>
      <c r="M99" s="15"/>
      <c r="N99" s="20">
        <f>IF(H99=0,0,L99/H99)</f>
        <v>-0.23145677497873271</v>
      </c>
      <c r="O99" s="26"/>
      <c r="P99" s="21">
        <f>+P40-P42+P94</f>
        <v>-23436.260000000009</v>
      </c>
      <c r="Q99" s="13"/>
      <c r="R99" s="20">
        <f>IF(P$12=0,0,P99/P$12)</f>
        <v>-0.57527936430322668</v>
      </c>
      <c r="S99" s="13"/>
      <c r="T99" s="21">
        <f>+T40-T42+T94</f>
        <v>-30494.394117326941</v>
      </c>
      <c r="U99" s="13"/>
      <c r="V99" s="20">
        <f>IF(T$12=0,0,T99/T$12)</f>
        <v>-0.54548761457036188</v>
      </c>
      <c r="W99" s="15"/>
      <c r="X99" s="21">
        <f>+P99-T99</f>
        <v>7058.134117326932</v>
      </c>
      <c r="Y99" s="15"/>
      <c r="Z99" s="20">
        <f>IF(T99=0,0,X99/T99)</f>
        <v>-0.23145677497873271</v>
      </c>
    </row>
    <row r="100" spans="1:26" x14ac:dyDescent="0.25">
      <c r="A100" s="9"/>
      <c r="B100" s="10"/>
      <c r="C100" s="9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s="22" customFormat="1" x14ac:dyDescent="0.25">
      <c r="A101" s="52"/>
      <c r="B101" s="10" t="s">
        <v>14</v>
      </c>
      <c r="C101" s="10"/>
      <c r="D101" s="4">
        <v>19963.62</v>
      </c>
      <c r="E101" s="4"/>
      <c r="F101" s="11">
        <f>IF(D$12=0,0,D101/D$12)</f>
        <v>0.49003802751766606</v>
      </c>
      <c r="G101" s="4"/>
      <c r="H101" s="4">
        <v>27155</v>
      </c>
      <c r="I101" s="4"/>
      <c r="J101" s="11">
        <f>IF(H$12=0,0,H101/H$12)</f>
        <v>0.48575210632703075</v>
      </c>
      <c r="K101" s="4"/>
      <c r="L101" s="4">
        <f>+D101-H101</f>
        <v>-7191.380000000001</v>
      </c>
      <c r="M101" s="4"/>
      <c r="N101" s="11">
        <f>IF(H101=0,0,L101/H101)</f>
        <v>-0.2648271036641503</v>
      </c>
      <c r="O101" s="10"/>
      <c r="P101" s="4">
        <v>19963.62</v>
      </c>
      <c r="Q101" s="4"/>
      <c r="R101" s="11">
        <f>IF(P$12=0,0,P101/P$12)</f>
        <v>0.49003802751766606</v>
      </c>
      <c r="S101" s="4"/>
      <c r="T101" s="4">
        <v>27155</v>
      </c>
      <c r="U101" s="4"/>
      <c r="V101" s="11">
        <f>IF(T$12=0,0,T101/T$12)</f>
        <v>0.48575210632703075</v>
      </c>
      <c r="W101" s="4"/>
      <c r="X101" s="4">
        <f>+P101-T101</f>
        <v>-7191.380000000001</v>
      </c>
      <c r="Y101" s="4"/>
      <c r="Z101" s="11">
        <f>IF(T101=0,0,X101/T101)</f>
        <v>-0.2648271036641503</v>
      </c>
    </row>
    <row r="102" spans="1:26" x14ac:dyDescent="0.25">
      <c r="A102" s="9"/>
      <c r="B102" s="10"/>
      <c r="C102" s="10"/>
      <c r="D102" s="2"/>
      <c r="E102" s="2"/>
      <c r="F102" s="6"/>
      <c r="G102" s="2"/>
      <c r="H102" s="2"/>
      <c r="I102" s="2"/>
      <c r="J102" s="6"/>
      <c r="K102" s="2"/>
      <c r="L102" s="2"/>
      <c r="M102" s="2"/>
      <c r="N102" s="6"/>
      <c r="O102" s="10"/>
      <c r="P102" s="2"/>
      <c r="Q102" s="2"/>
      <c r="R102" s="6"/>
      <c r="S102" s="2"/>
      <c r="T102" s="2"/>
      <c r="U102" s="2"/>
      <c r="V102" s="6"/>
      <c r="W102" s="2"/>
      <c r="X102" s="2"/>
      <c r="Y102" s="2"/>
      <c r="Z102" s="6"/>
    </row>
    <row r="103" spans="1:26" s="22" customFormat="1" ht="15.75" thickBot="1" x14ac:dyDescent="0.3">
      <c r="A103" s="10"/>
      <c r="B103" s="25" t="s">
        <v>4</v>
      </c>
      <c r="C103" s="25"/>
      <c r="D103" s="34">
        <f>+D99-D101</f>
        <v>-43399.880000000005</v>
      </c>
      <c r="E103" s="13"/>
      <c r="F103" s="30">
        <f>IF(D$12=0,0,D103/D$12)</f>
        <v>-1.0653173918208927</v>
      </c>
      <c r="G103" s="13"/>
      <c r="H103" s="34">
        <f>+H99-H101</f>
        <v>-57649.394117326941</v>
      </c>
      <c r="I103" s="13"/>
      <c r="J103" s="30">
        <f>IF(H$12=0,0,H103/H$12)</f>
        <v>-1.0312397208973927</v>
      </c>
      <c r="K103" s="15"/>
      <c r="L103" s="34">
        <f>D103-H103</f>
        <v>14249.514117326937</v>
      </c>
      <c r="M103" s="15"/>
      <c r="N103" s="30">
        <f>IF(H103=0,0,L103/H103)</f>
        <v>-0.24717543584806109</v>
      </c>
      <c r="O103" s="26"/>
      <c r="P103" s="34">
        <f>+P99-P101</f>
        <v>-43399.880000000005</v>
      </c>
      <c r="Q103" s="13"/>
      <c r="R103" s="30">
        <f>IF(P$12=0,0,P103/P$12)</f>
        <v>-1.0653173918208927</v>
      </c>
      <c r="S103" s="13"/>
      <c r="T103" s="34">
        <f>+T99-T101</f>
        <v>-57649.394117326941</v>
      </c>
      <c r="U103" s="13"/>
      <c r="V103" s="30">
        <f>IF(T$12=0,0,T103/T$12)</f>
        <v>-1.0312397208973927</v>
      </c>
      <c r="W103" s="15"/>
      <c r="X103" s="34">
        <f>P103-T103</f>
        <v>14249.514117326937</v>
      </c>
      <c r="Y103" s="15"/>
      <c r="Z103" s="30">
        <f>IF(T103=0,0,X103/T103)</f>
        <v>-0.24717543584806109</v>
      </c>
    </row>
    <row r="104" spans="1:26" ht="15.75" thickTop="1" x14ac:dyDescent="0.25">
      <c r="A104" s="9"/>
      <c r="B104" s="9"/>
      <c r="C104" s="9"/>
      <c r="D104" s="2"/>
      <c r="E104" s="2"/>
      <c r="F104" s="6"/>
      <c r="G104" s="2"/>
      <c r="H104" s="2"/>
      <c r="I104" s="2"/>
      <c r="J104" s="6"/>
      <c r="K104" s="2"/>
      <c r="L104" s="2"/>
      <c r="M104" s="2"/>
      <c r="N104" s="6"/>
      <c r="P104" s="2"/>
      <c r="Q104" s="2"/>
      <c r="R104" s="6"/>
      <c r="S104" s="2"/>
      <c r="T104" s="2"/>
      <c r="U104" s="2"/>
      <c r="V104" s="6"/>
      <c r="W104" s="2"/>
      <c r="X104" s="2"/>
      <c r="Y104" s="2"/>
      <c r="Z104" s="6"/>
    </row>
    <row r="105" spans="1:26" x14ac:dyDescent="0.25">
      <c r="A105" s="9"/>
      <c r="B105" s="9"/>
      <c r="C105" s="9"/>
      <c r="D105" s="2"/>
      <c r="E105" s="2"/>
      <c r="F105" s="6"/>
      <c r="G105" s="2"/>
      <c r="H105" s="2"/>
      <c r="I105" s="2"/>
      <c r="J105" s="6"/>
      <c r="K105" s="2"/>
      <c r="L105" s="2"/>
      <c r="M105" s="2"/>
      <c r="N105" s="6"/>
      <c r="P105" s="2"/>
      <c r="Q105" s="2"/>
      <c r="R105" s="6"/>
      <c r="S105" s="2"/>
      <c r="T105" s="2"/>
      <c r="U105" s="2"/>
      <c r="V105" s="6"/>
      <c r="W105" s="2"/>
      <c r="X105" s="2"/>
      <c r="Y105" s="2"/>
      <c r="Z105" s="6"/>
    </row>
    <row r="106" spans="1:26" s="22" customFormat="1" ht="15.75" thickBot="1" x14ac:dyDescent="0.3">
      <c r="A106" s="10"/>
      <c r="B106" s="25" t="s">
        <v>5</v>
      </c>
      <c r="C106" s="25"/>
      <c r="D106" s="32">
        <f>SUM(D103:D105)</f>
        <v>-43399.880000000005</v>
      </c>
      <c r="E106" s="13"/>
      <c r="F106" s="33">
        <f>IF(D$12=0,0,D106/D$12)</f>
        <v>-1.0653173918208927</v>
      </c>
      <c r="G106" s="13"/>
      <c r="H106" s="32">
        <f>SUM(H103:H105)</f>
        <v>-57649.394117326941</v>
      </c>
      <c r="I106" s="13"/>
      <c r="J106" s="33">
        <f>IF(H$12=0,0,H106/H$12)</f>
        <v>-1.0312397208973927</v>
      </c>
      <c r="K106" s="15"/>
      <c r="L106" s="32">
        <f>+D106-H106</f>
        <v>14249.514117326937</v>
      </c>
      <c r="M106" s="15"/>
      <c r="N106" s="33">
        <f>IF(H106=0,0,L106/H106)</f>
        <v>-0.24717543584806109</v>
      </c>
      <c r="O106" s="26"/>
      <c r="P106" s="32">
        <f>SUM(P103:P105)</f>
        <v>-43399.880000000005</v>
      </c>
      <c r="Q106" s="13"/>
      <c r="R106" s="33">
        <f>IF(P$12=0,0,P106/P$12)</f>
        <v>-1.0653173918208927</v>
      </c>
      <c r="S106" s="13"/>
      <c r="T106" s="32">
        <f>SUM(T103:T105)</f>
        <v>-57649.394117326941</v>
      </c>
      <c r="U106" s="13"/>
      <c r="V106" s="33">
        <f>IF(T$12=0,0,T106/T$12)</f>
        <v>-1.0312397208973927</v>
      </c>
      <c r="W106" s="15"/>
      <c r="X106" s="32">
        <f>+P106-T106</f>
        <v>14249.514117326937</v>
      </c>
      <c r="Y106" s="15"/>
      <c r="Z106" s="33">
        <f>IF(T106=0,0,X106/T106)</f>
        <v>-0.24717543584806109</v>
      </c>
    </row>
    <row r="107" spans="1:26" ht="15.75" thickTop="1" x14ac:dyDescent="0.25">
      <c r="A107" s="9"/>
      <c r="C107" s="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58">
        <v>44104.685939467592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6" t="s">
        <v>314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62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","324", " - ", "Textbook Rental")</f>
        <v>Department 324 - Textbook Rental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7299.64</v>
      </c>
      <c r="E12" s="4"/>
      <c r="F12" s="11"/>
      <c r="G12" s="4"/>
      <c r="H12" s="4">
        <f>SUM(OSRRefH13x_0)</f>
        <v>13137</v>
      </c>
      <c r="I12" s="4"/>
      <c r="J12" s="11"/>
      <c r="K12" s="4"/>
      <c r="L12" s="4">
        <f t="shared" ref="L12:L16" si="0">+D12-H12</f>
        <v>-5837.36</v>
      </c>
      <c r="M12" s="4"/>
      <c r="N12" s="11">
        <f t="shared" ref="N12:N16" si="1">IF(H12=0,0,L12/H12)</f>
        <v>-0.44434497982796678</v>
      </c>
      <c r="O12" s="10"/>
      <c r="P12" s="4">
        <f>SUM(OSRRefP13x_0)</f>
        <v>7299.64</v>
      </c>
      <c r="Q12" s="4"/>
      <c r="R12" s="11"/>
      <c r="S12" s="4"/>
      <c r="T12" s="4">
        <f>SUM(OSRRefT13x_0)</f>
        <v>13137</v>
      </c>
      <c r="U12" s="4"/>
      <c r="V12" s="11"/>
      <c r="W12" s="4"/>
      <c r="X12" s="4">
        <f t="shared" ref="X12:X16" si="2">+P12-T12</f>
        <v>-5837.36</v>
      </c>
      <c r="Y12" s="4"/>
      <c r="Z12" s="11">
        <f t="shared" ref="Z12:Z16" si="3">IF(T12=0,0,X12/T12)</f>
        <v>-0.44434497982796678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0</f>
        <v>0</v>
      </c>
      <c r="E13" s="3"/>
      <c r="F13" s="23"/>
      <c r="G13" s="3"/>
      <c r="H13" s="3">
        <v>13137</v>
      </c>
      <c r="I13" s="3"/>
      <c r="J13" s="23"/>
      <c r="K13" s="3"/>
      <c r="L13" s="3">
        <f t="shared" si="0"/>
        <v>-13137</v>
      </c>
      <c r="M13" s="3"/>
      <c r="N13" s="23">
        <f t="shared" si="1"/>
        <v>-1</v>
      </c>
      <c r="O13" s="12"/>
      <c r="P13" s="3">
        <f>0</f>
        <v>0</v>
      </c>
      <c r="Q13" s="3"/>
      <c r="R13" s="23"/>
      <c r="S13" s="3"/>
      <c r="T13" s="3">
        <v>13137</v>
      </c>
      <c r="U13" s="3"/>
      <c r="V13" s="23"/>
      <c r="W13" s="3"/>
      <c r="X13" s="3">
        <f t="shared" si="2"/>
        <v>-13137</v>
      </c>
      <c r="Y13" s="3"/>
      <c r="Z13" s="23">
        <f t="shared" si="3"/>
        <v>-1</v>
      </c>
    </row>
    <row r="14" spans="1:26" s="24" customFormat="1" hidden="1" outlineLevel="1" x14ac:dyDescent="0.25">
      <c r="A14" s="51"/>
      <c r="B14" s="12" t="str">
        <f>CONCATENATE("          ", "4001", " - ", "TAXABLE SALES-NEW TEXT")</f>
        <v xml:space="preserve">          4001 - TAXABLE SALES-NEW TEXT</v>
      </c>
      <c r="C14" s="12"/>
      <c r="D14" s="3">
        <f>--1912.95</f>
        <v>1912.95</v>
      </c>
      <c r="E14" s="3"/>
      <c r="F14" s="23"/>
      <c r="G14" s="3"/>
      <c r="H14" s="3"/>
      <c r="I14" s="3"/>
      <c r="J14" s="23"/>
      <c r="K14" s="3"/>
      <c r="L14" s="3">
        <f t="shared" si="0"/>
        <v>1912.95</v>
      </c>
      <c r="M14" s="3"/>
      <c r="N14" s="23">
        <f t="shared" si="1"/>
        <v>0</v>
      </c>
      <c r="O14" s="12"/>
      <c r="P14" s="3">
        <f>--1912.95</f>
        <v>1912.95</v>
      </c>
      <c r="Q14" s="3"/>
      <c r="R14" s="23"/>
      <c r="S14" s="3"/>
      <c r="T14" s="3"/>
      <c r="U14" s="3"/>
      <c r="V14" s="23"/>
      <c r="W14" s="3"/>
      <c r="X14" s="3">
        <f t="shared" si="2"/>
        <v>1912.95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"4002", " - ", "TAXABLE SALES-USED TEXT")</f>
        <v xml:space="preserve">          4002 - TAXABLE SALES-USED TEXT</v>
      </c>
      <c r="C15" s="12"/>
      <c r="D15" s="3">
        <f>--2348.39</f>
        <v>2348.39</v>
      </c>
      <c r="E15" s="3"/>
      <c r="F15" s="23"/>
      <c r="G15" s="3"/>
      <c r="H15" s="3"/>
      <c r="I15" s="3"/>
      <c r="J15" s="23"/>
      <c r="K15" s="3"/>
      <c r="L15" s="3">
        <f t="shared" si="0"/>
        <v>2348.39</v>
      </c>
      <c r="M15" s="3"/>
      <c r="N15" s="23">
        <f t="shared" si="1"/>
        <v>0</v>
      </c>
      <c r="O15" s="12"/>
      <c r="P15" s="3">
        <f>--2348.39</f>
        <v>2348.39</v>
      </c>
      <c r="Q15" s="3"/>
      <c r="R15" s="23"/>
      <c r="S15" s="3"/>
      <c r="T15" s="3"/>
      <c r="U15" s="3"/>
      <c r="V15" s="23"/>
      <c r="W15" s="3"/>
      <c r="X15" s="3">
        <f t="shared" si="2"/>
        <v>2348.39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"4100", " - ", "NON-TAXABLE SALES")</f>
        <v xml:space="preserve">          4100 - NON-TAXABLE SALES</v>
      </c>
      <c r="C16" s="12"/>
      <c r="D16" s="3">
        <f>--3038.3</f>
        <v>3038.3</v>
      </c>
      <c r="E16" s="3"/>
      <c r="F16" s="23"/>
      <c r="G16" s="3"/>
      <c r="H16" s="3"/>
      <c r="I16" s="3"/>
      <c r="J16" s="23"/>
      <c r="K16" s="3"/>
      <c r="L16" s="3">
        <f t="shared" si="0"/>
        <v>3038.3</v>
      </c>
      <c r="M16" s="3"/>
      <c r="N16" s="23">
        <f t="shared" si="1"/>
        <v>0</v>
      </c>
      <c r="O16" s="12"/>
      <c r="P16" s="3">
        <f>--3038.3</f>
        <v>3038.3</v>
      </c>
      <c r="Q16" s="3"/>
      <c r="R16" s="23"/>
      <c r="S16" s="3"/>
      <c r="T16" s="3"/>
      <c r="U16" s="3"/>
      <c r="V16" s="23"/>
      <c r="W16" s="3"/>
      <c r="X16" s="3">
        <f t="shared" si="2"/>
        <v>3038.3</v>
      </c>
      <c r="Y16" s="3"/>
      <c r="Z16" s="23">
        <f t="shared" si="3"/>
        <v>0</v>
      </c>
    </row>
    <row r="17" spans="1:26" x14ac:dyDescent="0.25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collapsed="1" x14ac:dyDescent="0.25">
      <c r="A18" s="10"/>
      <c r="B18" s="26" t="s">
        <v>8</v>
      </c>
      <c r="C18" s="10"/>
      <c r="D18" s="4">
        <f>SUM(OSRRefD16x_0)</f>
        <v>4729.28</v>
      </c>
      <c r="E18" s="4"/>
      <c r="F18" s="11">
        <f t="shared" ref="F18:F21" si="4">IF(D$12=0,0,D18/D$12)</f>
        <v>0.64787852551632674</v>
      </c>
      <c r="G18" s="4"/>
      <c r="H18" s="4">
        <f>SUM(OSRRefH16x_0)</f>
        <v>9524</v>
      </c>
      <c r="I18" s="4"/>
      <c r="J18" s="11">
        <f t="shared" ref="J18:J21" si="5">IF(H$12=0,0,H18/H$12)</f>
        <v>0.72497526071401386</v>
      </c>
      <c r="K18" s="4"/>
      <c r="L18" s="4">
        <f t="shared" ref="L18:L21" si="6">+D18-H18</f>
        <v>-4794.72</v>
      </c>
      <c r="M18" s="4"/>
      <c r="N18" s="11">
        <f t="shared" ref="N18:N21" si="7">IF(H18=0,0,L18/H18)</f>
        <v>-0.50343553128937424</v>
      </c>
      <c r="O18" s="10"/>
      <c r="P18" s="4">
        <f>SUM(OSRRefP16x_0)</f>
        <v>4729.28</v>
      </c>
      <c r="Q18" s="4"/>
      <c r="R18" s="11">
        <f t="shared" ref="R18:R21" si="8">IF(P$12=0,0,P18/P$12)</f>
        <v>0.64787852551632674</v>
      </c>
      <c r="S18" s="4"/>
      <c r="T18" s="4">
        <f>SUM(OSRRefT16x_0)</f>
        <v>9524</v>
      </c>
      <c r="U18" s="4"/>
      <c r="V18" s="11">
        <f t="shared" ref="V18:V21" si="9">IF(T$12=0,0,T18/T$12)</f>
        <v>0.72497526071401386</v>
      </c>
      <c r="W18" s="4"/>
      <c r="X18" s="4">
        <f t="shared" ref="X18:X21" si="10">+P18-T18</f>
        <v>-4794.72</v>
      </c>
      <c r="Y18" s="4"/>
      <c r="Z18" s="11">
        <f t="shared" ref="Z18:Z21" si="11">IF(T18=0,0,X18/T18)</f>
        <v>-0.50343553128937424</v>
      </c>
    </row>
    <row r="19" spans="1:26" s="24" customFormat="1" hidden="1" outlineLevel="1" x14ac:dyDescent="0.25">
      <c r="A19" s="51"/>
      <c r="B19" s="12" t="str">
        <f>CONCATENATE("          ", "5000", " - ", "PURCHASES @ COST")</f>
        <v xml:space="preserve">          5000 - PURCHASES @ COST</v>
      </c>
      <c r="C19" s="12"/>
      <c r="D19" s="3"/>
      <c r="E19" s="3"/>
      <c r="F19" s="23">
        <f t="shared" si="4"/>
        <v>0</v>
      </c>
      <c r="G19" s="3"/>
      <c r="H19" s="3">
        <v>9524</v>
      </c>
      <c r="I19" s="3"/>
      <c r="J19" s="23">
        <f t="shared" si="5"/>
        <v>0.72497526071401386</v>
      </c>
      <c r="K19" s="3"/>
      <c r="L19" s="3">
        <f t="shared" si="6"/>
        <v>-9524</v>
      </c>
      <c r="M19" s="3"/>
      <c r="N19" s="23">
        <f t="shared" si="7"/>
        <v>-1</v>
      </c>
      <c r="O19" s="12"/>
      <c r="P19" s="3"/>
      <c r="Q19" s="3"/>
      <c r="R19" s="23">
        <f t="shared" si="8"/>
        <v>0</v>
      </c>
      <c r="S19" s="3"/>
      <c r="T19" s="3">
        <v>9524</v>
      </c>
      <c r="U19" s="3"/>
      <c r="V19" s="23">
        <f t="shared" si="9"/>
        <v>0.72497526071401386</v>
      </c>
      <c r="W19" s="3"/>
      <c r="X19" s="3">
        <f t="shared" si="10"/>
        <v>-9524</v>
      </c>
      <c r="Y19" s="3"/>
      <c r="Z19" s="23">
        <f t="shared" si="11"/>
        <v>-1</v>
      </c>
    </row>
    <row r="20" spans="1:26" s="24" customFormat="1" hidden="1" outlineLevel="1" x14ac:dyDescent="0.25">
      <c r="A20" s="51"/>
      <c r="B20" s="12" t="str">
        <f>CONCATENATE("          ", "5001", " - ", "PURCHASES @ COST-NEW TEXT")</f>
        <v xml:space="preserve">          5001 - PURCHASES @ COST-NEW TEXT</v>
      </c>
      <c r="C20" s="12"/>
      <c r="D20" s="3">
        <v>1653.22</v>
      </c>
      <c r="E20" s="3"/>
      <c r="F20" s="23">
        <f t="shared" si="4"/>
        <v>0.22647966201072928</v>
      </c>
      <c r="G20" s="3"/>
      <c r="H20" s="3"/>
      <c r="I20" s="3"/>
      <c r="J20" s="23">
        <f t="shared" si="5"/>
        <v>0</v>
      </c>
      <c r="K20" s="3"/>
      <c r="L20" s="3">
        <f t="shared" si="6"/>
        <v>1653.22</v>
      </c>
      <c r="M20" s="3"/>
      <c r="N20" s="23">
        <f t="shared" si="7"/>
        <v>0</v>
      </c>
      <c r="O20" s="12"/>
      <c r="P20" s="3">
        <v>1653.22</v>
      </c>
      <c r="Q20" s="3"/>
      <c r="R20" s="23">
        <f t="shared" si="8"/>
        <v>0.22647966201072928</v>
      </c>
      <c r="S20" s="3"/>
      <c r="T20" s="3"/>
      <c r="U20" s="3"/>
      <c r="V20" s="23">
        <f t="shared" si="9"/>
        <v>0</v>
      </c>
      <c r="W20" s="3"/>
      <c r="X20" s="3">
        <f t="shared" si="10"/>
        <v>1653.22</v>
      </c>
      <c r="Y20" s="3"/>
      <c r="Z20" s="23">
        <f t="shared" si="11"/>
        <v>0</v>
      </c>
    </row>
    <row r="21" spans="1:26" s="24" customFormat="1" hidden="1" outlineLevel="1" x14ac:dyDescent="0.25">
      <c r="A21" s="51"/>
      <c r="B21" s="12" t="str">
        <f>CONCATENATE("          ", "5002", " - ", "PURCHASES @ COST-USED TEXT")</f>
        <v xml:space="preserve">          5002 - PURCHASES @ COST-USED TEXT</v>
      </c>
      <c r="C21" s="12"/>
      <c r="D21" s="3">
        <v>3076.06</v>
      </c>
      <c r="E21" s="3"/>
      <c r="F21" s="23">
        <f t="shared" si="4"/>
        <v>0.42139886350559752</v>
      </c>
      <c r="G21" s="3"/>
      <c r="H21" s="3"/>
      <c r="I21" s="3"/>
      <c r="J21" s="23">
        <f t="shared" si="5"/>
        <v>0</v>
      </c>
      <c r="K21" s="3"/>
      <c r="L21" s="3">
        <f t="shared" si="6"/>
        <v>3076.06</v>
      </c>
      <c r="M21" s="3"/>
      <c r="N21" s="23">
        <f t="shared" si="7"/>
        <v>0</v>
      </c>
      <c r="O21" s="12"/>
      <c r="P21" s="3">
        <v>3076.06</v>
      </c>
      <c r="Q21" s="3"/>
      <c r="R21" s="23">
        <f t="shared" si="8"/>
        <v>0.42139886350559752</v>
      </c>
      <c r="S21" s="3"/>
      <c r="T21" s="3"/>
      <c r="U21" s="3"/>
      <c r="V21" s="23">
        <f t="shared" si="9"/>
        <v>0</v>
      </c>
      <c r="W21" s="3"/>
      <c r="X21" s="3">
        <f t="shared" si="10"/>
        <v>3076.06</v>
      </c>
      <c r="Y21" s="3"/>
      <c r="Z21" s="23">
        <f t="shared" si="11"/>
        <v>0</v>
      </c>
    </row>
    <row r="22" spans="1:26" x14ac:dyDescent="0.25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2" customFormat="1" x14ac:dyDescent="0.25">
      <c r="A23" s="10"/>
      <c r="B23" s="25" t="s">
        <v>6</v>
      </c>
      <c r="C23" s="25"/>
      <c r="D23" s="21">
        <f>D12-D18</f>
        <v>2570.3600000000006</v>
      </c>
      <c r="E23" s="13"/>
      <c r="F23" s="20">
        <f>IF(D$12=0,0,D23/D$12)</f>
        <v>0.35212147448367326</v>
      </c>
      <c r="G23" s="13"/>
      <c r="H23" s="21">
        <f>H12-H18</f>
        <v>3613</v>
      </c>
      <c r="I23" s="13"/>
      <c r="J23" s="20">
        <f>IF(H$12=0,0,H23/H$12)</f>
        <v>0.27502473928598614</v>
      </c>
      <c r="K23" s="15"/>
      <c r="L23" s="21">
        <f>+D23-H23</f>
        <v>-1042.6399999999994</v>
      </c>
      <c r="M23" s="15"/>
      <c r="N23" s="20">
        <f>IF(H23=0,0,L23/H23)</f>
        <v>-0.28858012731801813</v>
      </c>
      <c r="O23" s="26"/>
      <c r="P23" s="21">
        <f>P12-P18</f>
        <v>2570.3600000000006</v>
      </c>
      <c r="Q23" s="13"/>
      <c r="R23" s="20">
        <f>IF(P$12=0,0,P23/P$12)</f>
        <v>0.35212147448367326</v>
      </c>
      <c r="S23" s="13"/>
      <c r="T23" s="21">
        <f>T12-T18</f>
        <v>3613</v>
      </c>
      <c r="U23" s="13"/>
      <c r="V23" s="20">
        <f>IF(T$12=0,0,T23/T$12)</f>
        <v>0.27502473928598614</v>
      </c>
      <c r="W23" s="15"/>
      <c r="X23" s="21">
        <f>+P23-T23</f>
        <v>-1042.6399999999994</v>
      </c>
      <c r="Y23" s="15"/>
      <c r="Z23" s="20">
        <f>IF(T23=0,0,X23/T23)</f>
        <v>-0.28858012731801813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2" customFormat="1" x14ac:dyDescent="0.25">
      <c r="A25" s="10"/>
      <c r="B25" s="26" t="s">
        <v>9</v>
      </c>
      <c r="C25" s="10"/>
      <c r="D25" s="19">
        <f>SUM(OSRRefD22x_0)</f>
        <v>0</v>
      </c>
      <c r="E25" s="19"/>
      <c r="F25" s="31">
        <f t="shared" ref="F25:F34" si="12">IF(D$12=0,0,D25/D$12)</f>
        <v>0</v>
      </c>
      <c r="G25" s="19"/>
      <c r="H25" s="19">
        <f>SUM(OSRRefH22x_0)</f>
        <v>0</v>
      </c>
      <c r="I25" s="19"/>
      <c r="J25" s="31">
        <f t="shared" ref="J25:J34" si="13">IF(H$12=0,0,H25/H$12)</f>
        <v>0</v>
      </c>
      <c r="K25" s="4"/>
      <c r="L25" s="19">
        <f t="shared" ref="L25:L34" si="14">+D25-H25</f>
        <v>0</v>
      </c>
      <c r="M25" s="4"/>
      <c r="N25" s="31">
        <f t="shared" ref="N25:N34" si="15">IF(H25=0,0,L25/H25)</f>
        <v>0</v>
      </c>
      <c r="O25" s="10"/>
      <c r="P25" s="19">
        <f>SUM(OSRRefP22x_0)</f>
        <v>0</v>
      </c>
      <c r="Q25" s="19"/>
      <c r="R25" s="31">
        <f t="shared" ref="R25:R34" si="16">IF(P$12=0,0,P25/P$12)</f>
        <v>0</v>
      </c>
      <c r="S25" s="19"/>
      <c r="T25" s="19">
        <f>SUM(OSRRefT22x_0)</f>
        <v>0</v>
      </c>
      <c r="U25" s="19"/>
      <c r="V25" s="31">
        <f t="shared" ref="V25:V34" si="17">IF(T$12=0,0,T25/T$12)</f>
        <v>0</v>
      </c>
      <c r="W25" s="4"/>
      <c r="X25" s="19">
        <f t="shared" ref="X25:X34" si="18">+P25-T25</f>
        <v>0</v>
      </c>
      <c r="Y25" s="4"/>
      <c r="Z25" s="31">
        <f t="shared" ref="Z25:Z34" si="19">IF(T25=0,0,X25/T25)</f>
        <v>0</v>
      </c>
    </row>
    <row r="26" spans="1:26" s="29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4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7"/>
      <c r="B27" s="12" t="str">
        <f>CONCATENATE("          ", "6111", " - ", "F.I.C.A.")</f>
        <v xml:space="preserve">          6111 - F.I.C.A.</v>
      </c>
      <c r="C27" s="12"/>
      <c r="D27" s="7"/>
      <c r="E27" s="3"/>
      <c r="F27" s="8">
        <f t="shared" si="12"/>
        <v>0</v>
      </c>
      <c r="G27" s="3"/>
      <c r="H27" s="7">
        <v>0</v>
      </c>
      <c r="I27" s="3"/>
      <c r="J27" s="8">
        <f t="shared" si="13"/>
        <v>0</v>
      </c>
      <c r="K27" s="3"/>
      <c r="L27" s="7">
        <f t="shared" si="14"/>
        <v>0</v>
      </c>
      <c r="M27" s="3"/>
      <c r="N27" s="8">
        <f t="shared" si="15"/>
        <v>0</v>
      </c>
      <c r="O27" s="12"/>
      <c r="P27" s="7"/>
      <c r="Q27" s="3"/>
      <c r="R27" s="8">
        <f t="shared" si="16"/>
        <v>0</v>
      </c>
      <c r="S27" s="3"/>
      <c r="T27" s="7">
        <v>0</v>
      </c>
      <c r="U27" s="3"/>
      <c r="V27" s="8">
        <f t="shared" si="17"/>
        <v>0</v>
      </c>
      <c r="W27" s="3"/>
      <c r="X27" s="7">
        <f t="shared" si="18"/>
        <v>0</v>
      </c>
      <c r="Y27" s="3"/>
      <c r="Z27" s="8">
        <f t="shared" si="19"/>
        <v>0</v>
      </c>
    </row>
    <row r="28" spans="1:26" s="24" customFormat="1" hidden="1" outlineLevel="2" x14ac:dyDescent="0.25">
      <c r="A28" s="27"/>
      <c r="B28" s="12" t="str">
        <f>CONCATENATE("          ", "6112", " - ", "COMPENSATION INSURANCE")</f>
        <v xml:space="preserve">          6112 - COMPENSATION INSURANCE</v>
      </c>
      <c r="C28" s="12"/>
      <c r="D28" s="7"/>
      <c r="E28" s="3"/>
      <c r="F28" s="8">
        <f t="shared" si="12"/>
        <v>0</v>
      </c>
      <c r="G28" s="3"/>
      <c r="H28" s="7">
        <v>0</v>
      </c>
      <c r="I28" s="3"/>
      <c r="J28" s="8">
        <f t="shared" si="13"/>
        <v>0</v>
      </c>
      <c r="K28" s="3"/>
      <c r="L28" s="7">
        <f t="shared" si="14"/>
        <v>0</v>
      </c>
      <c r="M28" s="3"/>
      <c r="N28" s="8">
        <f t="shared" si="15"/>
        <v>0</v>
      </c>
      <c r="O28" s="12"/>
      <c r="P28" s="7"/>
      <c r="Q28" s="3"/>
      <c r="R28" s="8">
        <f t="shared" si="16"/>
        <v>0</v>
      </c>
      <c r="S28" s="3"/>
      <c r="T28" s="7">
        <v>0</v>
      </c>
      <c r="U28" s="3"/>
      <c r="V28" s="8">
        <f t="shared" si="17"/>
        <v>0</v>
      </c>
      <c r="W28" s="3"/>
      <c r="X28" s="7">
        <f t="shared" si="18"/>
        <v>0</v>
      </c>
      <c r="Y28" s="3"/>
      <c r="Z28" s="8">
        <f t="shared" si="19"/>
        <v>0</v>
      </c>
    </row>
    <row r="29" spans="1:26" s="24" customFormat="1" hidden="1" outlineLevel="2" x14ac:dyDescent="0.25">
      <c r="A29" s="27"/>
      <c r="B29" s="12" t="str">
        <f>CONCATENATE("          ", "6113", " - ", "GROUP INSURANCE")</f>
        <v xml:space="preserve">          6113 - GROUP INSURANCE</v>
      </c>
      <c r="C29" s="12"/>
      <c r="D29" s="7"/>
      <c r="E29" s="3"/>
      <c r="F29" s="8">
        <f t="shared" si="12"/>
        <v>0</v>
      </c>
      <c r="G29" s="3"/>
      <c r="H29" s="7">
        <v>0</v>
      </c>
      <c r="I29" s="3"/>
      <c r="J29" s="8">
        <f t="shared" si="13"/>
        <v>0</v>
      </c>
      <c r="K29" s="3"/>
      <c r="L29" s="7">
        <f t="shared" si="14"/>
        <v>0</v>
      </c>
      <c r="M29" s="3"/>
      <c r="N29" s="8">
        <f t="shared" si="15"/>
        <v>0</v>
      </c>
      <c r="O29" s="12"/>
      <c r="P29" s="7"/>
      <c r="Q29" s="3"/>
      <c r="R29" s="8">
        <f t="shared" si="16"/>
        <v>0</v>
      </c>
      <c r="S29" s="3"/>
      <c r="T29" s="7">
        <v>0</v>
      </c>
      <c r="U29" s="3"/>
      <c r="V29" s="8">
        <f t="shared" si="17"/>
        <v>0</v>
      </c>
      <c r="W29" s="3"/>
      <c r="X29" s="7">
        <f t="shared" si="18"/>
        <v>0</v>
      </c>
      <c r="Y29" s="3"/>
      <c r="Z29" s="8">
        <f t="shared" si="19"/>
        <v>0</v>
      </c>
    </row>
    <row r="30" spans="1:26" s="24" customFormat="1" hidden="1" outlineLevel="2" x14ac:dyDescent="0.25">
      <c r="A30" s="27"/>
      <c r="B30" s="12" t="str">
        <f>CONCATENATE("          ", "6114", " - ", "STATE UNEMPLOYMENT INSURANCE")</f>
        <v xml:space="preserve">          6114 - STATE UNEMPLOYMENT INSURANCE</v>
      </c>
      <c r="C30" s="12"/>
      <c r="D30" s="7"/>
      <c r="E30" s="3"/>
      <c r="F30" s="8">
        <f t="shared" si="12"/>
        <v>0</v>
      </c>
      <c r="G30" s="3"/>
      <c r="H30" s="7">
        <v>0</v>
      </c>
      <c r="I30" s="3"/>
      <c r="J30" s="8">
        <f t="shared" si="13"/>
        <v>0</v>
      </c>
      <c r="K30" s="3"/>
      <c r="L30" s="7">
        <f t="shared" si="14"/>
        <v>0</v>
      </c>
      <c r="M30" s="3"/>
      <c r="N30" s="8">
        <f t="shared" si="15"/>
        <v>0</v>
      </c>
      <c r="O30" s="12"/>
      <c r="P30" s="7"/>
      <c r="Q30" s="3"/>
      <c r="R30" s="8">
        <f t="shared" si="16"/>
        <v>0</v>
      </c>
      <c r="S30" s="3"/>
      <c r="T30" s="7">
        <v>0</v>
      </c>
      <c r="U30" s="3"/>
      <c r="V30" s="8">
        <f t="shared" si="17"/>
        <v>0</v>
      </c>
      <c r="W30" s="3"/>
      <c r="X30" s="7">
        <f t="shared" si="18"/>
        <v>0</v>
      </c>
      <c r="Y30" s="3"/>
      <c r="Z30" s="8">
        <f t="shared" si="19"/>
        <v>0</v>
      </c>
    </row>
    <row r="31" spans="1:26" s="24" customFormat="1" hidden="1" outlineLevel="2" x14ac:dyDescent="0.25">
      <c r="A31" s="27"/>
      <c r="B31" s="12" t="str">
        <f>CONCATENATE("          ", "6115", " - ", "P.E.R.S.")</f>
        <v xml:space="preserve">          6115 - P.E.R.S.</v>
      </c>
      <c r="C31" s="12"/>
      <c r="D31" s="7"/>
      <c r="E31" s="3"/>
      <c r="F31" s="8">
        <f t="shared" si="12"/>
        <v>0</v>
      </c>
      <c r="G31" s="3"/>
      <c r="H31" s="7">
        <v>0</v>
      </c>
      <c r="I31" s="3"/>
      <c r="J31" s="8">
        <f t="shared" si="13"/>
        <v>0</v>
      </c>
      <c r="K31" s="3"/>
      <c r="L31" s="7">
        <f t="shared" si="14"/>
        <v>0</v>
      </c>
      <c r="M31" s="3"/>
      <c r="N31" s="8">
        <f t="shared" si="15"/>
        <v>0</v>
      </c>
      <c r="O31" s="12"/>
      <c r="P31" s="7"/>
      <c r="Q31" s="3"/>
      <c r="R31" s="8">
        <f t="shared" si="16"/>
        <v>0</v>
      </c>
      <c r="S31" s="3"/>
      <c r="T31" s="7">
        <v>0</v>
      </c>
      <c r="U31" s="3"/>
      <c r="V31" s="8">
        <f t="shared" si="17"/>
        <v>0</v>
      </c>
      <c r="W31" s="3"/>
      <c r="X31" s="7">
        <f t="shared" si="18"/>
        <v>0</v>
      </c>
      <c r="Y31" s="3"/>
      <c r="Z31" s="8">
        <f t="shared" si="19"/>
        <v>0</v>
      </c>
    </row>
    <row r="32" spans="1:26" s="24" customFormat="1" hidden="1" outlineLevel="2" x14ac:dyDescent="0.25">
      <c r="A32" s="27"/>
      <c r="B32" s="12" t="str">
        <f>CONCATENATE("          ", "6116", " - ", "EDUCATIONAL BENEFITS")</f>
        <v xml:space="preserve">          6116 - EDUCATIONAL BENEFITS</v>
      </c>
      <c r="C32" s="12"/>
      <c r="D32" s="7"/>
      <c r="E32" s="3"/>
      <c r="F32" s="8">
        <f t="shared" si="12"/>
        <v>0</v>
      </c>
      <c r="G32" s="3"/>
      <c r="H32" s="7">
        <v>0</v>
      </c>
      <c r="I32" s="3"/>
      <c r="J32" s="8">
        <f t="shared" si="13"/>
        <v>0</v>
      </c>
      <c r="K32" s="3"/>
      <c r="L32" s="7">
        <f t="shared" si="14"/>
        <v>0</v>
      </c>
      <c r="M32" s="3"/>
      <c r="N32" s="8">
        <f t="shared" si="15"/>
        <v>0</v>
      </c>
      <c r="O32" s="12"/>
      <c r="P32" s="7"/>
      <c r="Q32" s="3"/>
      <c r="R32" s="8">
        <f t="shared" si="16"/>
        <v>0</v>
      </c>
      <c r="S32" s="3"/>
      <c r="T32" s="7">
        <v>0</v>
      </c>
      <c r="U32" s="3"/>
      <c r="V32" s="8">
        <f t="shared" si="17"/>
        <v>0</v>
      </c>
      <c r="W32" s="3"/>
      <c r="X32" s="7">
        <f t="shared" si="18"/>
        <v>0</v>
      </c>
      <c r="Y32" s="3"/>
      <c r="Z32" s="8">
        <f t="shared" si="19"/>
        <v>0</v>
      </c>
    </row>
    <row r="33" spans="1:26" s="24" customFormat="1" hidden="1" outlineLevel="2" x14ac:dyDescent="0.25">
      <c r="A33" s="27"/>
      <c r="B33" s="12" t="str">
        <f>CONCATENATE("          ", "6118", " - ", "VACATION")</f>
        <v xml:space="preserve">          6118 - VACATION</v>
      </c>
      <c r="C33" s="12"/>
      <c r="D33" s="7"/>
      <c r="E33" s="3"/>
      <c r="F33" s="8">
        <f t="shared" si="12"/>
        <v>0</v>
      </c>
      <c r="G33" s="3"/>
      <c r="H33" s="7">
        <v>0</v>
      </c>
      <c r="I33" s="3"/>
      <c r="J33" s="8">
        <f t="shared" si="13"/>
        <v>0</v>
      </c>
      <c r="K33" s="3"/>
      <c r="L33" s="7">
        <f t="shared" si="14"/>
        <v>0</v>
      </c>
      <c r="M33" s="3"/>
      <c r="N33" s="8">
        <f t="shared" si="15"/>
        <v>0</v>
      </c>
      <c r="O33" s="12"/>
      <c r="P33" s="7"/>
      <c r="Q33" s="3"/>
      <c r="R33" s="8">
        <f t="shared" si="16"/>
        <v>0</v>
      </c>
      <c r="S33" s="3"/>
      <c r="T33" s="7">
        <v>0</v>
      </c>
      <c r="U33" s="3"/>
      <c r="V33" s="8">
        <f t="shared" si="17"/>
        <v>0</v>
      </c>
      <c r="W33" s="3"/>
      <c r="X33" s="7">
        <f t="shared" si="18"/>
        <v>0</v>
      </c>
      <c r="Y33" s="3"/>
      <c r="Z33" s="8">
        <f t="shared" si="19"/>
        <v>0</v>
      </c>
    </row>
    <row r="34" spans="1:26" s="24" customFormat="1" hidden="1" outlineLevel="2" x14ac:dyDescent="0.25">
      <c r="A34" s="27"/>
      <c r="B34" s="12" t="str">
        <f>CONCATENATE("          ", "6119", " - ", "SICK LEAVE")</f>
        <v xml:space="preserve">          6119 - SICK LEAVE</v>
      </c>
      <c r="C34" s="12"/>
      <c r="D34" s="7"/>
      <c r="E34" s="3"/>
      <c r="F34" s="8">
        <f t="shared" si="12"/>
        <v>0</v>
      </c>
      <c r="G34" s="3"/>
      <c r="H34" s="7">
        <v>0</v>
      </c>
      <c r="I34" s="3"/>
      <c r="J34" s="8">
        <f t="shared" si="13"/>
        <v>0</v>
      </c>
      <c r="K34" s="3"/>
      <c r="L34" s="7">
        <f t="shared" si="14"/>
        <v>0</v>
      </c>
      <c r="M34" s="3"/>
      <c r="N34" s="8">
        <f t="shared" si="15"/>
        <v>0</v>
      </c>
      <c r="O34" s="12"/>
      <c r="P34" s="7"/>
      <c r="Q34" s="3"/>
      <c r="R34" s="8">
        <f t="shared" si="16"/>
        <v>0</v>
      </c>
      <c r="S34" s="3"/>
      <c r="T34" s="7">
        <v>0</v>
      </c>
      <c r="U34" s="3"/>
      <c r="V34" s="8">
        <f t="shared" si="17"/>
        <v>0</v>
      </c>
      <c r="W34" s="3"/>
      <c r="X34" s="7">
        <f t="shared" si="18"/>
        <v>0</v>
      </c>
      <c r="Y34" s="3"/>
      <c r="Z34" s="8">
        <f t="shared" si="19"/>
        <v>0</v>
      </c>
    </row>
    <row r="35" spans="1:26" s="29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4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7"/>
      <c r="B36" s="12" t="str">
        <f>CONCATENATE("          ", "6001", " - ", "ADMINISTRATIVE SALARIES")</f>
        <v xml:space="preserve">          6001 - ADMINISTRATIVE SALARIES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"6002", " - ", "STAFF SALARIES")</f>
        <v xml:space="preserve">          6002 - STAFF SALARIES</v>
      </c>
      <c r="C37" s="12"/>
      <c r="D37" s="7"/>
      <c r="E37" s="3"/>
      <c r="F37" s="8">
        <f t="shared" si="20"/>
        <v>0</v>
      </c>
      <c r="G37" s="3"/>
      <c r="H37" s="7">
        <v>0</v>
      </c>
      <c r="I37" s="3"/>
      <c r="J37" s="8">
        <f t="shared" si="21"/>
        <v>0</v>
      </c>
      <c r="K37" s="3"/>
      <c r="L37" s="7">
        <f t="shared" si="22"/>
        <v>0</v>
      </c>
      <c r="M37" s="3"/>
      <c r="N37" s="8">
        <f t="shared" si="23"/>
        <v>0</v>
      </c>
      <c r="O37" s="12"/>
      <c r="P37" s="7"/>
      <c r="Q37" s="3"/>
      <c r="R37" s="8">
        <f t="shared" si="24"/>
        <v>0</v>
      </c>
      <c r="S37" s="3"/>
      <c r="T37" s="7">
        <v>0</v>
      </c>
      <c r="U37" s="3"/>
      <c r="V37" s="8">
        <f t="shared" si="25"/>
        <v>0</v>
      </c>
      <c r="W37" s="3"/>
      <c r="X37" s="7">
        <f t="shared" si="26"/>
        <v>0</v>
      </c>
      <c r="Y37" s="3"/>
      <c r="Z37" s="8">
        <f t="shared" si="27"/>
        <v>0</v>
      </c>
    </row>
    <row r="38" spans="1:26" s="24" customFormat="1" hidden="1" outlineLevel="2" x14ac:dyDescent="0.25">
      <c r="A38" s="27"/>
      <c r="B38" s="12" t="str">
        <f>CONCATENATE("          ", "6003", " - ", "STAFF HOURLY-9 MONTH")</f>
        <v xml:space="preserve">          6003 - STAFF HOURLY-9 MONTH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"6004", " - ", "STAFF HOURLY")</f>
        <v xml:space="preserve">          6004 - STAFF HOURLY</v>
      </c>
      <c r="C39" s="12"/>
      <c r="D39" s="7"/>
      <c r="E39" s="3"/>
      <c r="F39" s="8">
        <f t="shared" si="20"/>
        <v>0</v>
      </c>
      <c r="G39" s="3"/>
      <c r="H39" s="7">
        <v>0</v>
      </c>
      <c r="I39" s="3"/>
      <c r="J39" s="8">
        <f t="shared" si="21"/>
        <v>0</v>
      </c>
      <c r="K39" s="3"/>
      <c r="L39" s="7">
        <f t="shared" si="22"/>
        <v>0</v>
      </c>
      <c r="M39" s="3"/>
      <c r="N39" s="8">
        <f t="shared" si="23"/>
        <v>0</v>
      </c>
      <c r="O39" s="12"/>
      <c r="P39" s="7"/>
      <c r="Q39" s="3"/>
      <c r="R39" s="8">
        <f t="shared" si="24"/>
        <v>0</v>
      </c>
      <c r="S39" s="3"/>
      <c r="T39" s="7">
        <v>0</v>
      </c>
      <c r="U39" s="3"/>
      <c r="V39" s="8">
        <f t="shared" si="25"/>
        <v>0</v>
      </c>
      <c r="W39" s="3"/>
      <c r="X39" s="7">
        <f t="shared" si="26"/>
        <v>0</v>
      </c>
      <c r="Y39" s="3"/>
      <c r="Z39" s="8">
        <f t="shared" si="27"/>
        <v>0</v>
      </c>
    </row>
    <row r="40" spans="1:26" s="24" customFormat="1" hidden="1" outlineLevel="2" x14ac:dyDescent="0.25">
      <c r="A40" s="27"/>
      <c r="B40" s="12" t="str">
        <f>CONCATENATE("          ", "6005", " - ", "TEMPORARY WAGES-HOURLY")</f>
        <v xml:space="preserve">          6005 - TEMPORARY WAGES-HOURLY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4" customFormat="1" hidden="1" outlineLevel="2" x14ac:dyDescent="0.25">
      <c r="A41" s="27"/>
      <c r="B41" s="12" t="str">
        <f>CONCATENATE("          ", "6006", " - ", "TEMPORARY PART TIME")</f>
        <v xml:space="preserve">          6006 - TEMPORARY PART TIME</v>
      </c>
      <c r="C41" s="12"/>
      <c r="D41" s="7"/>
      <c r="E41" s="3"/>
      <c r="F41" s="8">
        <f t="shared" si="20"/>
        <v>0</v>
      </c>
      <c r="G41" s="3"/>
      <c r="H41" s="7">
        <v>0</v>
      </c>
      <c r="I41" s="3"/>
      <c r="J41" s="8">
        <f t="shared" si="21"/>
        <v>0</v>
      </c>
      <c r="K41" s="3"/>
      <c r="L41" s="7">
        <f t="shared" si="22"/>
        <v>0</v>
      </c>
      <c r="M41" s="3"/>
      <c r="N41" s="8">
        <f t="shared" si="23"/>
        <v>0</v>
      </c>
      <c r="O41" s="12"/>
      <c r="P41" s="7"/>
      <c r="Q41" s="3"/>
      <c r="R41" s="8">
        <f t="shared" si="24"/>
        <v>0</v>
      </c>
      <c r="S41" s="3"/>
      <c r="T41" s="7">
        <v>0</v>
      </c>
      <c r="U41" s="3"/>
      <c r="V41" s="8">
        <f t="shared" si="25"/>
        <v>0</v>
      </c>
      <c r="W41" s="3"/>
      <c r="X41" s="7">
        <f t="shared" si="26"/>
        <v>0</v>
      </c>
      <c r="Y41" s="3"/>
      <c r="Z41" s="8">
        <f t="shared" si="27"/>
        <v>0</v>
      </c>
    </row>
    <row r="42" spans="1:26" s="24" customFormat="1" hidden="1" outlineLevel="2" x14ac:dyDescent="0.25">
      <c r="A42" s="27"/>
      <c r="B42" s="12" t="str">
        <f>CONCATENATE("          ", "6007", " - ", "STUDENT HOURLY")</f>
        <v xml:space="preserve">          6007 - STUDENT HOURLY</v>
      </c>
      <c r="C42" s="12"/>
      <c r="D42" s="7"/>
      <c r="E42" s="3"/>
      <c r="F42" s="8">
        <f t="shared" si="20"/>
        <v>0</v>
      </c>
      <c r="G42" s="3"/>
      <c r="H42" s="7">
        <v>0</v>
      </c>
      <c r="I42" s="3"/>
      <c r="J42" s="8">
        <f t="shared" si="21"/>
        <v>0</v>
      </c>
      <c r="K42" s="3"/>
      <c r="L42" s="7">
        <f t="shared" si="22"/>
        <v>0</v>
      </c>
      <c r="M42" s="3"/>
      <c r="N42" s="8">
        <f t="shared" si="23"/>
        <v>0</v>
      </c>
      <c r="O42" s="12"/>
      <c r="P42" s="7"/>
      <c r="Q42" s="3"/>
      <c r="R42" s="8">
        <f t="shared" si="24"/>
        <v>0</v>
      </c>
      <c r="S42" s="3"/>
      <c r="T42" s="7">
        <v>0</v>
      </c>
      <c r="U42" s="3"/>
      <c r="V42" s="8">
        <f t="shared" si="25"/>
        <v>0</v>
      </c>
      <c r="W42" s="3"/>
      <c r="X42" s="7">
        <f t="shared" si="26"/>
        <v>0</v>
      </c>
      <c r="Y42" s="3"/>
      <c r="Z42" s="8">
        <f t="shared" si="27"/>
        <v>0</v>
      </c>
    </row>
    <row r="43" spans="1:26" s="24" customFormat="1" hidden="1" outlineLevel="2" x14ac:dyDescent="0.25">
      <c r="A43" s="27"/>
      <c r="B43" s="12" t="str">
        <f>CONCATENATE("          ", "6008", " - ", "STUDENT HOURLY-FICA EXEMPT")</f>
        <v xml:space="preserve">          6008 - STUDENT HOURLY-FICA EXEMPT</v>
      </c>
      <c r="C43" s="12"/>
      <c r="D43" s="7"/>
      <c r="E43" s="3"/>
      <c r="F43" s="8">
        <f t="shared" si="20"/>
        <v>0</v>
      </c>
      <c r="G43" s="3"/>
      <c r="H43" s="7">
        <v>0</v>
      </c>
      <c r="I43" s="3"/>
      <c r="J43" s="8">
        <f t="shared" si="21"/>
        <v>0</v>
      </c>
      <c r="K43" s="3"/>
      <c r="L43" s="7">
        <f t="shared" si="22"/>
        <v>0</v>
      </c>
      <c r="M43" s="3"/>
      <c r="N43" s="8">
        <f t="shared" si="23"/>
        <v>0</v>
      </c>
      <c r="O43" s="12"/>
      <c r="P43" s="7"/>
      <c r="Q43" s="3"/>
      <c r="R43" s="8">
        <f t="shared" si="24"/>
        <v>0</v>
      </c>
      <c r="S43" s="3"/>
      <c r="T43" s="7">
        <v>0</v>
      </c>
      <c r="U43" s="3"/>
      <c r="V43" s="8">
        <f t="shared" si="25"/>
        <v>0</v>
      </c>
      <c r="W43" s="3"/>
      <c r="X43" s="7">
        <f t="shared" si="26"/>
        <v>0</v>
      </c>
      <c r="Y43" s="3"/>
      <c r="Z43" s="8">
        <f t="shared" si="27"/>
        <v>0</v>
      </c>
    </row>
    <row r="44" spans="1:26" s="24" customFormat="1" hidden="1" outlineLevel="2" x14ac:dyDescent="0.25">
      <c r="A44" s="27"/>
      <c r="B44" s="12" t="str">
        <f>CONCATENATE("          ", "6009", " - ", "TEMPORARY-SEASONAL")</f>
        <v xml:space="preserve">          6009 - TEMPORARY-SEASONAL</v>
      </c>
      <c r="C44" s="12"/>
      <c r="D44" s="7"/>
      <c r="E44" s="3"/>
      <c r="F44" s="8">
        <f t="shared" si="20"/>
        <v>0</v>
      </c>
      <c r="G44" s="3"/>
      <c r="H44" s="7">
        <v>0</v>
      </c>
      <c r="I44" s="3"/>
      <c r="J44" s="8">
        <f t="shared" si="21"/>
        <v>0</v>
      </c>
      <c r="K44" s="3"/>
      <c r="L44" s="7">
        <f t="shared" si="22"/>
        <v>0</v>
      </c>
      <c r="M44" s="3"/>
      <c r="N44" s="8">
        <f t="shared" si="23"/>
        <v>0</v>
      </c>
      <c r="O44" s="12"/>
      <c r="P44" s="7"/>
      <c r="Q44" s="3"/>
      <c r="R44" s="8">
        <f t="shared" si="24"/>
        <v>0</v>
      </c>
      <c r="S44" s="3"/>
      <c r="T44" s="7">
        <v>0</v>
      </c>
      <c r="U44" s="3"/>
      <c r="V44" s="8">
        <f t="shared" si="25"/>
        <v>0</v>
      </c>
      <c r="W44" s="3"/>
      <c r="X44" s="7">
        <f t="shared" si="26"/>
        <v>0</v>
      </c>
      <c r="Y44" s="3"/>
      <c r="Z44" s="8">
        <f t="shared" si="27"/>
        <v>0</v>
      </c>
    </row>
    <row r="45" spans="1:26" s="24" customFormat="1" hidden="1" outlineLevel="2" x14ac:dyDescent="0.25">
      <c r="A45" s="27"/>
      <c r="B45" s="12" t="str">
        <f>CONCATENATE("          ", "6010", " - ", "GRATUITY")</f>
        <v xml:space="preserve">          6010 - GRATUITY</v>
      </c>
      <c r="C45" s="12"/>
      <c r="D45" s="7"/>
      <c r="E45" s="3"/>
      <c r="F45" s="8">
        <f t="shared" si="20"/>
        <v>0</v>
      </c>
      <c r="G45" s="3"/>
      <c r="H45" s="7">
        <v>0</v>
      </c>
      <c r="I45" s="3"/>
      <c r="J45" s="8">
        <f t="shared" si="21"/>
        <v>0</v>
      </c>
      <c r="K45" s="3"/>
      <c r="L45" s="7">
        <f t="shared" si="22"/>
        <v>0</v>
      </c>
      <c r="M45" s="3"/>
      <c r="N45" s="8">
        <f t="shared" si="23"/>
        <v>0</v>
      </c>
      <c r="O45" s="12"/>
      <c r="P45" s="7"/>
      <c r="Q45" s="3"/>
      <c r="R45" s="8">
        <f t="shared" si="24"/>
        <v>0</v>
      </c>
      <c r="S45" s="3"/>
      <c r="T45" s="7">
        <v>0</v>
      </c>
      <c r="U45" s="3"/>
      <c r="V45" s="8">
        <f t="shared" si="25"/>
        <v>0</v>
      </c>
      <c r="W45" s="3"/>
      <c r="X45" s="7">
        <f t="shared" si="26"/>
        <v>0</v>
      </c>
      <c r="Y45" s="3"/>
      <c r="Z45" s="8">
        <f t="shared" si="27"/>
        <v>0</v>
      </c>
    </row>
    <row r="46" spans="1:26" s="54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2" customFormat="1" x14ac:dyDescent="0.25">
      <c r="A47" s="10"/>
      <c r="B47" s="26" t="s">
        <v>0</v>
      </c>
      <c r="C47" s="10"/>
      <c r="D47" s="4">
        <f>SUM(0)</f>
        <v>0</v>
      </c>
      <c r="E47" s="4"/>
      <c r="F47" s="11">
        <f>IF(D$12=0,0,D47/D$12)</f>
        <v>0</v>
      </c>
      <c r="G47" s="4"/>
      <c r="H47" s="4">
        <f>SUM(0)</f>
        <v>0</v>
      </c>
      <c r="I47" s="4"/>
      <c r="J47" s="11">
        <f>IF(H$12=0,0,H47/H$12)</f>
        <v>0</v>
      </c>
      <c r="K47" s="4"/>
      <c r="L47" s="4">
        <f>+D47-H47</f>
        <v>0</v>
      </c>
      <c r="M47" s="4"/>
      <c r="N47" s="11">
        <f>IF(H47=0,0,L47/H47)</f>
        <v>0</v>
      </c>
      <c r="O47" s="10"/>
      <c r="P47" s="4">
        <f>SUM(0)</f>
        <v>0</v>
      </c>
      <c r="Q47" s="4"/>
      <c r="R47" s="11">
        <f>IF(P$12=0,0,P47/P$12)</f>
        <v>0</v>
      </c>
      <c r="S47" s="4"/>
      <c r="T47" s="4">
        <f>SUM(0)</f>
        <v>0</v>
      </c>
      <c r="U47" s="4"/>
      <c r="V47" s="11">
        <f>IF(T$12=0,0,T47/T$12)</f>
        <v>0</v>
      </c>
      <c r="W47" s="4"/>
      <c r="X47" s="4">
        <f>+P47-T47</f>
        <v>0</v>
      </c>
      <c r="Y47" s="4"/>
      <c r="Z47" s="11">
        <f>IF(T47=0,0,X47/T47)</f>
        <v>0</v>
      </c>
    </row>
    <row r="48" spans="1:26" x14ac:dyDescent="0.25">
      <c r="A48" s="9"/>
      <c r="B48" s="10"/>
      <c r="C48" s="10"/>
      <c r="D48" s="2"/>
      <c r="E48" s="2"/>
      <c r="F48" s="6"/>
      <c r="G48" s="2"/>
      <c r="H48" s="2"/>
      <c r="I48" s="2"/>
      <c r="J48" s="6"/>
      <c r="K48" s="2"/>
      <c r="L48" s="2"/>
      <c r="M48" s="2"/>
      <c r="N48" s="6"/>
      <c r="O48" s="10"/>
      <c r="P48" s="2"/>
      <c r="Q48" s="2"/>
      <c r="R48" s="6"/>
      <c r="S48" s="2"/>
      <c r="T48" s="2"/>
      <c r="U48" s="2"/>
      <c r="V48" s="6"/>
      <c r="W48" s="2"/>
      <c r="X48" s="2"/>
      <c r="Y48" s="2"/>
      <c r="Z48" s="6"/>
    </row>
    <row r="49" spans="1:26" s="22" customFormat="1" x14ac:dyDescent="0.25">
      <c r="A49" s="10"/>
      <c r="B49" s="25" t="s">
        <v>3</v>
      </c>
      <c r="C49" s="25"/>
      <c r="D49" s="21">
        <f>+D23-D25+D47</f>
        <v>2570.3600000000006</v>
      </c>
      <c r="E49" s="13"/>
      <c r="F49" s="20">
        <f>IF(D$12=0,0,D49/D$12)</f>
        <v>0.35212147448367326</v>
      </c>
      <c r="G49" s="13"/>
      <c r="H49" s="21">
        <f>+H23-H25+H47</f>
        <v>3613</v>
      </c>
      <c r="I49" s="13"/>
      <c r="J49" s="20">
        <f>IF(H$12=0,0,H49/H$12)</f>
        <v>0.27502473928598614</v>
      </c>
      <c r="K49" s="15"/>
      <c r="L49" s="21">
        <f>+D49-H49</f>
        <v>-1042.6399999999994</v>
      </c>
      <c r="M49" s="15"/>
      <c r="N49" s="20">
        <f>IF(H49=0,0,L49/H49)</f>
        <v>-0.28858012731801813</v>
      </c>
      <c r="O49" s="26"/>
      <c r="P49" s="21">
        <f>+P23-P25+P47</f>
        <v>2570.3600000000006</v>
      </c>
      <c r="Q49" s="13"/>
      <c r="R49" s="20">
        <f>IF(P$12=0,0,P49/P$12)</f>
        <v>0.35212147448367326</v>
      </c>
      <c r="S49" s="13"/>
      <c r="T49" s="21">
        <f>+T23-T25+T47</f>
        <v>3613</v>
      </c>
      <c r="U49" s="13"/>
      <c r="V49" s="20">
        <f>IF(T$12=0,0,T49/T$12)</f>
        <v>0.27502473928598614</v>
      </c>
      <c r="W49" s="15"/>
      <c r="X49" s="21">
        <f>+P49-T49</f>
        <v>-1042.6399999999994</v>
      </c>
      <c r="Y49" s="15"/>
      <c r="Z49" s="20">
        <f>IF(T49=0,0,X49/T49)</f>
        <v>-0.28858012731801813</v>
      </c>
    </row>
    <row r="50" spans="1:26" x14ac:dyDescent="0.25">
      <c r="A50" s="9"/>
      <c r="B50" s="10"/>
      <c r="C50" s="9"/>
      <c r="D50" s="2"/>
      <c r="E50" s="2"/>
      <c r="F50" s="6"/>
      <c r="G50" s="2"/>
      <c r="H50" s="2"/>
      <c r="I50" s="2"/>
      <c r="J50" s="6"/>
      <c r="K50" s="2"/>
      <c r="L50" s="2"/>
      <c r="M50" s="2"/>
      <c r="N50" s="6"/>
      <c r="P50" s="2"/>
      <c r="Q50" s="2"/>
      <c r="R50" s="6"/>
      <c r="S50" s="2"/>
      <c r="T50" s="2"/>
      <c r="U50" s="2"/>
      <c r="V50" s="6"/>
      <c r="W50" s="2"/>
      <c r="X50" s="2"/>
      <c r="Y50" s="2"/>
      <c r="Z50" s="6"/>
    </row>
    <row r="51" spans="1:26" s="22" customFormat="1" x14ac:dyDescent="0.25">
      <c r="A51" s="52"/>
      <c r="B51" s="10" t="s">
        <v>14</v>
      </c>
      <c r="C51" s="10"/>
      <c r="D51" s="4">
        <v>3510.74</v>
      </c>
      <c r="E51" s="4"/>
      <c r="F51" s="11">
        <f>IF(D$12=0,0,D51/D$12)</f>
        <v>0.48094700560575587</v>
      </c>
      <c r="G51" s="4"/>
      <c r="H51" s="4">
        <v>6381</v>
      </c>
      <c r="I51" s="4"/>
      <c r="J51" s="11">
        <f>IF(H$12=0,0,H51/H$12)</f>
        <v>0.4857273350079927</v>
      </c>
      <c r="K51" s="4"/>
      <c r="L51" s="4">
        <f>+D51-H51</f>
        <v>-2870.26</v>
      </c>
      <c r="M51" s="4"/>
      <c r="N51" s="11">
        <f>IF(H51=0,0,L51/H51)</f>
        <v>-0.44981350885441157</v>
      </c>
      <c r="O51" s="10"/>
      <c r="P51" s="4">
        <v>3510.74</v>
      </c>
      <c r="Q51" s="4"/>
      <c r="R51" s="11">
        <f>IF(P$12=0,0,P51/P$12)</f>
        <v>0.48094700560575587</v>
      </c>
      <c r="S51" s="4"/>
      <c r="T51" s="4">
        <v>6381</v>
      </c>
      <c r="U51" s="4"/>
      <c r="V51" s="11">
        <f>IF(T$12=0,0,T51/T$12)</f>
        <v>0.4857273350079927</v>
      </c>
      <c r="W51" s="4"/>
      <c r="X51" s="4">
        <f>+P51-T51</f>
        <v>-2870.26</v>
      </c>
      <c r="Y51" s="4"/>
      <c r="Z51" s="11">
        <f>IF(T51=0,0,X51/T51)</f>
        <v>-0.44981350885441157</v>
      </c>
    </row>
    <row r="52" spans="1:26" x14ac:dyDescent="0.25">
      <c r="A52" s="9"/>
      <c r="B52" s="10"/>
      <c r="C52" s="10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O52" s="10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22" customFormat="1" ht="15.75" thickBot="1" x14ac:dyDescent="0.3">
      <c r="A53" s="10"/>
      <c r="B53" s="25" t="s">
        <v>4</v>
      </c>
      <c r="C53" s="25"/>
      <c r="D53" s="34">
        <f>+D49-D51</f>
        <v>-940.3799999999992</v>
      </c>
      <c r="E53" s="13"/>
      <c r="F53" s="30">
        <f>IF(D$12=0,0,D53/D$12)</f>
        <v>-0.12882553112208261</v>
      </c>
      <c r="G53" s="13"/>
      <c r="H53" s="34">
        <f>+H49-H51</f>
        <v>-2768</v>
      </c>
      <c r="I53" s="13"/>
      <c r="J53" s="30">
        <f>IF(H$12=0,0,H53/H$12)</f>
        <v>-0.21070259572200656</v>
      </c>
      <c r="K53" s="15"/>
      <c r="L53" s="34">
        <f>D53-H53</f>
        <v>1827.6200000000008</v>
      </c>
      <c r="M53" s="15"/>
      <c r="N53" s="30">
        <f>IF(H53=0,0,L53/H53)</f>
        <v>-0.6602673410404627</v>
      </c>
      <c r="O53" s="26"/>
      <c r="P53" s="34">
        <f>+P49-P51</f>
        <v>-940.3799999999992</v>
      </c>
      <c r="Q53" s="13"/>
      <c r="R53" s="30">
        <f>IF(P$12=0,0,P53/P$12)</f>
        <v>-0.12882553112208261</v>
      </c>
      <c r="S53" s="13"/>
      <c r="T53" s="34">
        <f>+T49-T51</f>
        <v>-2768</v>
      </c>
      <c r="U53" s="13"/>
      <c r="V53" s="30">
        <f>IF(T$12=0,0,T53/T$12)</f>
        <v>-0.21070259572200656</v>
      </c>
      <c r="W53" s="15"/>
      <c r="X53" s="34">
        <f>P53-T53</f>
        <v>1827.6200000000008</v>
      </c>
      <c r="Y53" s="15"/>
      <c r="Z53" s="30">
        <f>IF(T53=0,0,X53/T53)</f>
        <v>-0.6602673410404627</v>
      </c>
    </row>
    <row r="54" spans="1:26" ht="15.75" thickTop="1" x14ac:dyDescent="0.25">
      <c r="A54" s="9"/>
      <c r="B54" s="9"/>
      <c r="C54" s="9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x14ac:dyDescent="0.25">
      <c r="A55" s="9"/>
      <c r="B55" s="9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2" customFormat="1" ht="15.75" thickBot="1" x14ac:dyDescent="0.3">
      <c r="A56" s="10"/>
      <c r="B56" s="25" t="s">
        <v>5</v>
      </c>
      <c r="C56" s="25"/>
      <c r="D56" s="32">
        <f>SUM(D53:D55)</f>
        <v>-940.3799999999992</v>
      </c>
      <c r="E56" s="13"/>
      <c r="F56" s="33">
        <f>IF(D$12=0,0,D56/D$12)</f>
        <v>-0.12882553112208261</v>
      </c>
      <c r="G56" s="13"/>
      <c r="H56" s="32">
        <f>SUM(H53:H55)</f>
        <v>-2768</v>
      </c>
      <c r="I56" s="13"/>
      <c r="J56" s="33">
        <f>IF(H$12=0,0,H56/H$12)</f>
        <v>-0.21070259572200656</v>
      </c>
      <c r="K56" s="15"/>
      <c r="L56" s="32">
        <f>+D56-H56</f>
        <v>1827.6200000000008</v>
      </c>
      <c r="M56" s="15"/>
      <c r="N56" s="33">
        <f>IF(H56=0,0,L56/H56)</f>
        <v>-0.6602673410404627</v>
      </c>
      <c r="O56" s="26"/>
      <c r="P56" s="32">
        <f>SUM(P53:P55)</f>
        <v>-940.3799999999992</v>
      </c>
      <c r="Q56" s="13"/>
      <c r="R56" s="33">
        <f>IF(P$12=0,0,P56/P$12)</f>
        <v>-0.12882553112208261</v>
      </c>
      <c r="S56" s="13"/>
      <c r="T56" s="32">
        <f>SUM(T53:T55)</f>
        <v>-2768</v>
      </c>
      <c r="U56" s="13"/>
      <c r="V56" s="33">
        <f>IF(T$12=0,0,T56/T$12)</f>
        <v>-0.21070259572200656</v>
      </c>
      <c r="W56" s="15"/>
      <c r="X56" s="32">
        <f>+P56-T56</f>
        <v>1827.6200000000008</v>
      </c>
      <c r="Y56" s="15"/>
      <c r="Z56" s="33">
        <f>IF(T56=0,0,X56/T56)</f>
        <v>-0.6602673410404627</v>
      </c>
    </row>
    <row r="57" spans="1:26" ht="15.75" thickTop="1" x14ac:dyDescent="0.25">
      <c r="A57" s="9"/>
      <c r="C57" s="9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A58" s="9"/>
      <c r="B58" s="58">
        <v>44104.686133796298</v>
      </c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6" t="s">
        <v>314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62"/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174780.81999999998</v>
      </c>
      <c r="E12" s="4"/>
      <c r="F12" s="11"/>
      <c r="G12" s="4"/>
      <c r="H12" s="4">
        <f>SUM(OSRRefH13x_0)</f>
        <v>229951</v>
      </c>
      <c r="I12" s="4"/>
      <c r="J12" s="11"/>
      <c r="K12" s="4"/>
      <c r="L12" s="4">
        <f t="shared" ref="L12:L45" si="0">+D12-H12</f>
        <v>-55170.180000000022</v>
      </c>
      <c r="M12" s="4"/>
      <c r="N12" s="11">
        <f t="shared" ref="N12:N45" si="1">IF(H12=0,0,L12/H12)</f>
        <v>-0.23992146152876057</v>
      </c>
      <c r="O12" s="10"/>
      <c r="P12" s="4">
        <f>SUM(OSRRefP13x_0)</f>
        <v>174780.81999999998</v>
      </c>
      <c r="Q12" s="4"/>
      <c r="R12" s="11"/>
      <c r="S12" s="4"/>
      <c r="T12" s="4">
        <f>SUM(OSRRefT13x_0)</f>
        <v>229951</v>
      </c>
      <c r="U12" s="4"/>
      <c r="V12" s="11"/>
      <c r="W12" s="4"/>
      <c r="X12" s="4">
        <f t="shared" ref="X12:X45" si="2">+P12-T12</f>
        <v>-55170.180000000022</v>
      </c>
      <c r="Y12" s="4"/>
      <c r="Z12" s="11">
        <f t="shared" ref="Z12:Z45" si="3">IF(T12=0,0,X12/T12)</f>
        <v>-0.23992146152876057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-9953.39</f>
        <v>-9953.39</v>
      </c>
      <c r="E13" s="3"/>
      <c r="F13" s="23"/>
      <c r="G13" s="3"/>
      <c r="H13" s="3">
        <v>229951</v>
      </c>
      <c r="I13" s="3"/>
      <c r="J13" s="23"/>
      <c r="K13" s="3"/>
      <c r="L13" s="3">
        <f t="shared" si="0"/>
        <v>-239904.39</v>
      </c>
      <c r="M13" s="3"/>
      <c r="N13" s="23">
        <f t="shared" si="1"/>
        <v>-1.0432848302464439</v>
      </c>
      <c r="O13" s="12"/>
      <c r="P13" s="3">
        <f>-9953.39</f>
        <v>-9953.39</v>
      </c>
      <c r="Q13" s="3"/>
      <c r="R13" s="23"/>
      <c r="S13" s="3"/>
      <c r="T13" s="3">
        <v>229951</v>
      </c>
      <c r="U13" s="3"/>
      <c r="V13" s="23"/>
      <c r="W13" s="3"/>
      <c r="X13" s="3">
        <f t="shared" si="2"/>
        <v>-239904.39</v>
      </c>
      <c r="Y13" s="3"/>
      <c r="Z13" s="23">
        <f t="shared" si="3"/>
        <v>-1.0432848302464439</v>
      </c>
    </row>
    <row r="14" spans="1:26" s="24" customFormat="1" hidden="1" outlineLevel="1" x14ac:dyDescent="0.25">
      <c r="A14" s="51"/>
      <c r="B14" s="12" t="str">
        <f>CONCATENATE("          ", "4026", " - ", "TAXABLE SALES-WRITING INSTRUME")</f>
        <v xml:space="preserve">          4026 - TAXABLE SALES-WRITING INSTRUME</v>
      </c>
      <c r="C14" s="12"/>
      <c r="D14" s="3">
        <f>--236.56</f>
        <v>236.56</v>
      </c>
      <c r="E14" s="3"/>
      <c r="F14" s="23"/>
      <c r="G14" s="3"/>
      <c r="H14" s="3"/>
      <c r="I14" s="3"/>
      <c r="J14" s="23"/>
      <c r="K14" s="3"/>
      <c r="L14" s="3">
        <f t="shared" si="0"/>
        <v>236.56</v>
      </c>
      <c r="M14" s="3"/>
      <c r="N14" s="23">
        <f t="shared" si="1"/>
        <v>0</v>
      </c>
      <c r="O14" s="12"/>
      <c r="P14" s="3">
        <f>--236.56</f>
        <v>236.56</v>
      </c>
      <c r="Q14" s="3"/>
      <c r="R14" s="23"/>
      <c r="S14" s="3"/>
      <c r="T14" s="3"/>
      <c r="U14" s="3"/>
      <c r="V14" s="23"/>
      <c r="W14" s="3"/>
      <c r="X14" s="3">
        <f t="shared" si="2"/>
        <v>236.56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"4027", " - ", "TAXABLE SALES-SCHOOL SUPPLIES")</f>
        <v xml:space="preserve">          4027 - TAXABLE SALES-SCHOOL SUPPLIES</v>
      </c>
      <c r="C15" s="12"/>
      <c r="D15" s="3">
        <f>--1653.17</f>
        <v>1653.17</v>
      </c>
      <c r="E15" s="3"/>
      <c r="F15" s="23"/>
      <c r="G15" s="3"/>
      <c r="H15" s="3"/>
      <c r="I15" s="3"/>
      <c r="J15" s="23"/>
      <c r="K15" s="3"/>
      <c r="L15" s="3">
        <f t="shared" si="0"/>
        <v>1653.17</v>
      </c>
      <c r="M15" s="3"/>
      <c r="N15" s="23">
        <f t="shared" si="1"/>
        <v>0</v>
      </c>
      <c r="O15" s="12"/>
      <c r="P15" s="3">
        <f>--1653.17</f>
        <v>1653.17</v>
      </c>
      <c r="Q15" s="3"/>
      <c r="R15" s="23"/>
      <c r="S15" s="3"/>
      <c r="T15" s="3"/>
      <c r="U15" s="3"/>
      <c r="V15" s="23"/>
      <c r="W15" s="3"/>
      <c r="X15" s="3">
        <f t="shared" si="2"/>
        <v>1653.17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"4028", " - ", "TAXABLE SALES-ART/TECH")</f>
        <v xml:space="preserve">          4028 - TAXABLE SALES-ART/TECH</v>
      </c>
      <c r="C16" s="12"/>
      <c r="D16" s="3">
        <f>--19.85</f>
        <v>19.850000000000001</v>
      </c>
      <c r="E16" s="3"/>
      <c r="F16" s="23"/>
      <c r="G16" s="3"/>
      <c r="H16" s="3"/>
      <c r="I16" s="3"/>
      <c r="J16" s="23"/>
      <c r="K16" s="3"/>
      <c r="L16" s="3">
        <f t="shared" si="0"/>
        <v>19.850000000000001</v>
      </c>
      <c r="M16" s="3"/>
      <c r="N16" s="23">
        <f t="shared" si="1"/>
        <v>0</v>
      </c>
      <c r="O16" s="12"/>
      <c r="P16" s="3">
        <f>--19.85</f>
        <v>19.850000000000001</v>
      </c>
      <c r="Q16" s="3"/>
      <c r="R16" s="23"/>
      <c r="S16" s="3"/>
      <c r="T16" s="3"/>
      <c r="U16" s="3"/>
      <c r="V16" s="23"/>
      <c r="W16" s="3"/>
      <c r="X16" s="3">
        <f t="shared" si="2"/>
        <v>19.850000000000001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"4031", " - ", "TAXABLE SALES-FOOD")</f>
        <v xml:space="preserve">          4031 - TAXABLE SALES-FOOD</v>
      </c>
      <c r="C17" s="12"/>
      <c r="D17" s="3">
        <f>--19.75</f>
        <v>19.75</v>
      </c>
      <c r="E17" s="3"/>
      <c r="F17" s="23"/>
      <c r="G17" s="3"/>
      <c r="H17" s="3"/>
      <c r="I17" s="3"/>
      <c r="J17" s="23"/>
      <c r="K17" s="3"/>
      <c r="L17" s="3">
        <f t="shared" si="0"/>
        <v>19.75</v>
      </c>
      <c r="M17" s="3"/>
      <c r="N17" s="23">
        <f t="shared" si="1"/>
        <v>0</v>
      </c>
      <c r="O17" s="12"/>
      <c r="P17" s="3">
        <f>--19.75</f>
        <v>19.75</v>
      </c>
      <c r="Q17" s="3"/>
      <c r="R17" s="23"/>
      <c r="S17" s="3"/>
      <c r="T17" s="3"/>
      <c r="U17" s="3"/>
      <c r="V17" s="23"/>
      <c r="W17" s="3"/>
      <c r="X17" s="3">
        <f t="shared" si="2"/>
        <v>19.75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"4034", " - ", "TAXABLE SALES-SODA")</f>
        <v xml:space="preserve">          4034 - TAXABLE SALES-SODA</v>
      </c>
      <c r="C18" s="12"/>
      <c r="D18" s="3">
        <f>--6.78</f>
        <v>6.78</v>
      </c>
      <c r="E18" s="3"/>
      <c r="F18" s="23"/>
      <c r="G18" s="3"/>
      <c r="H18" s="3"/>
      <c r="I18" s="3"/>
      <c r="J18" s="23"/>
      <c r="K18" s="3"/>
      <c r="L18" s="3">
        <f t="shared" si="0"/>
        <v>6.78</v>
      </c>
      <c r="M18" s="3"/>
      <c r="N18" s="23">
        <f t="shared" si="1"/>
        <v>0</v>
      </c>
      <c r="O18" s="12"/>
      <c r="P18" s="3">
        <f>--6.78</f>
        <v>6.78</v>
      </c>
      <c r="Q18" s="3"/>
      <c r="R18" s="23"/>
      <c r="S18" s="3"/>
      <c r="T18" s="3"/>
      <c r="U18" s="3"/>
      <c r="V18" s="23"/>
      <c r="W18" s="3"/>
      <c r="X18" s="3">
        <f t="shared" si="2"/>
        <v>6.78</v>
      </c>
      <c r="Y18" s="3"/>
      <c r="Z18" s="23">
        <f t="shared" si="3"/>
        <v>0</v>
      </c>
    </row>
    <row r="19" spans="1:26" s="24" customFormat="1" hidden="1" outlineLevel="1" x14ac:dyDescent="0.25">
      <c r="A19" s="51"/>
      <c r="B19" s="12" t="str">
        <f>CONCATENATE("          ", "4040", " - ", "TAXABLE SALES-LOGO CLOTHING")</f>
        <v xml:space="preserve">          4040 - TAXABLE SALES-LOGO CLOTHING</v>
      </c>
      <c r="C19" s="12"/>
      <c r="D19" s="3">
        <f>--72292.26</f>
        <v>72292.259999999995</v>
      </c>
      <c r="E19" s="3"/>
      <c r="F19" s="23"/>
      <c r="G19" s="3"/>
      <c r="H19" s="3"/>
      <c r="I19" s="3"/>
      <c r="J19" s="23"/>
      <c r="K19" s="3"/>
      <c r="L19" s="3">
        <f t="shared" si="0"/>
        <v>72292.259999999995</v>
      </c>
      <c r="M19" s="3"/>
      <c r="N19" s="23">
        <f t="shared" si="1"/>
        <v>0</v>
      </c>
      <c r="O19" s="12"/>
      <c r="P19" s="3">
        <f>--72292.26</f>
        <v>72292.259999999995</v>
      </c>
      <c r="Q19" s="3"/>
      <c r="R19" s="23"/>
      <c r="S19" s="3"/>
      <c r="T19" s="3"/>
      <c r="U19" s="3"/>
      <c r="V19" s="23"/>
      <c r="W19" s="3"/>
      <c r="X19" s="3">
        <f t="shared" si="2"/>
        <v>72292.259999999995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"4041", " - ", "TAXABLE SALES-LOGO GIFTS")</f>
        <v xml:space="preserve">          4041 - TAXABLE SALES-LOGO GIFTS</v>
      </c>
      <c r="C20" s="12"/>
      <c r="D20" s="3">
        <f>--20103.31</f>
        <v>20103.310000000001</v>
      </c>
      <c r="E20" s="3"/>
      <c r="F20" s="23"/>
      <c r="G20" s="3"/>
      <c r="H20" s="3"/>
      <c r="I20" s="3"/>
      <c r="J20" s="23"/>
      <c r="K20" s="3"/>
      <c r="L20" s="3">
        <f t="shared" si="0"/>
        <v>20103.310000000001</v>
      </c>
      <c r="M20" s="3"/>
      <c r="N20" s="23">
        <f t="shared" si="1"/>
        <v>0</v>
      </c>
      <c r="O20" s="12"/>
      <c r="P20" s="3">
        <f>--20103.31</f>
        <v>20103.310000000001</v>
      </c>
      <c r="Q20" s="3"/>
      <c r="R20" s="23"/>
      <c r="S20" s="3"/>
      <c r="T20" s="3"/>
      <c r="U20" s="3"/>
      <c r="V20" s="23"/>
      <c r="W20" s="3"/>
      <c r="X20" s="3">
        <f t="shared" si="2"/>
        <v>20103.310000000001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"4042", " - ", "TAXABLE SALES-EVERYDAY GIFTS")</f>
        <v xml:space="preserve">          4042 - TAXABLE SALES-EVERYDAY GIFTS</v>
      </c>
      <c r="C21" s="12"/>
      <c r="D21" s="3">
        <f>--5753.38</f>
        <v>5753.38</v>
      </c>
      <c r="E21" s="3"/>
      <c r="F21" s="23"/>
      <c r="G21" s="3"/>
      <c r="H21" s="3"/>
      <c r="I21" s="3"/>
      <c r="J21" s="23"/>
      <c r="K21" s="3"/>
      <c r="L21" s="3">
        <f t="shared" si="0"/>
        <v>5753.38</v>
      </c>
      <c r="M21" s="3"/>
      <c r="N21" s="23">
        <f t="shared" si="1"/>
        <v>0</v>
      </c>
      <c r="O21" s="12"/>
      <c r="P21" s="3">
        <f>--5753.38</f>
        <v>5753.38</v>
      </c>
      <c r="Q21" s="3"/>
      <c r="R21" s="23"/>
      <c r="S21" s="3"/>
      <c r="T21" s="3"/>
      <c r="U21" s="3"/>
      <c r="V21" s="23"/>
      <c r="W21" s="3"/>
      <c r="X21" s="3">
        <f t="shared" si="2"/>
        <v>5753.38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"4043", " - ", "TAXABLE SALES-CARDS")</f>
        <v xml:space="preserve">          4043 - TAXABLE SALES-CARDS</v>
      </c>
      <c r="C22" s="12"/>
      <c r="D22" s="3">
        <f>--217.36</f>
        <v>217.36</v>
      </c>
      <c r="E22" s="3"/>
      <c r="F22" s="23"/>
      <c r="G22" s="3"/>
      <c r="H22" s="3"/>
      <c r="I22" s="3"/>
      <c r="J22" s="23"/>
      <c r="K22" s="3"/>
      <c r="L22" s="3">
        <f t="shared" si="0"/>
        <v>217.36</v>
      </c>
      <c r="M22" s="3"/>
      <c r="N22" s="23">
        <f t="shared" si="1"/>
        <v>0</v>
      </c>
      <c r="O22" s="12"/>
      <c r="P22" s="3">
        <f>--217.36</f>
        <v>217.36</v>
      </c>
      <c r="Q22" s="3"/>
      <c r="R22" s="23"/>
      <c r="S22" s="3"/>
      <c r="T22" s="3"/>
      <c r="U22" s="3"/>
      <c r="V22" s="23"/>
      <c r="W22" s="3"/>
      <c r="X22" s="3">
        <f t="shared" si="2"/>
        <v>217.36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"4044", " - ", "TAXABLE SALES-ACCESSORIES")</f>
        <v xml:space="preserve">          4044 - TAXABLE SALES-ACCESSORIES</v>
      </c>
      <c r="C23" s="12"/>
      <c r="D23" s="3">
        <f>--1800.68</f>
        <v>1800.68</v>
      </c>
      <c r="E23" s="3"/>
      <c r="F23" s="23"/>
      <c r="G23" s="3"/>
      <c r="H23" s="3"/>
      <c r="I23" s="3"/>
      <c r="J23" s="23"/>
      <c r="K23" s="3"/>
      <c r="L23" s="3">
        <f t="shared" si="0"/>
        <v>1800.68</v>
      </c>
      <c r="M23" s="3"/>
      <c r="N23" s="23">
        <f t="shared" si="1"/>
        <v>0</v>
      </c>
      <c r="O23" s="12"/>
      <c r="P23" s="3">
        <f>--1800.68</f>
        <v>1800.68</v>
      </c>
      <c r="Q23" s="3"/>
      <c r="R23" s="23"/>
      <c r="S23" s="3"/>
      <c r="T23" s="3"/>
      <c r="U23" s="3"/>
      <c r="V23" s="23"/>
      <c r="W23" s="3"/>
      <c r="X23" s="3">
        <f t="shared" si="2"/>
        <v>1800.68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"4045", " - ", "TAXABLE SALES-SPECIAL ORDERS")</f>
        <v xml:space="preserve">          4045 - TAXABLE SALES-SPECIAL ORDERS</v>
      </c>
      <c r="C24" s="12"/>
      <c r="D24" s="3">
        <f>--43426.73</f>
        <v>43426.73</v>
      </c>
      <c r="E24" s="3"/>
      <c r="F24" s="23"/>
      <c r="G24" s="3"/>
      <c r="H24" s="3"/>
      <c r="I24" s="3"/>
      <c r="J24" s="23"/>
      <c r="K24" s="3"/>
      <c r="L24" s="3">
        <f t="shared" si="0"/>
        <v>43426.73</v>
      </c>
      <c r="M24" s="3"/>
      <c r="N24" s="23">
        <f t="shared" si="1"/>
        <v>0</v>
      </c>
      <c r="O24" s="12"/>
      <c r="P24" s="3">
        <f>--43426.73</f>
        <v>43426.73</v>
      </c>
      <c r="Q24" s="3"/>
      <c r="R24" s="23"/>
      <c r="S24" s="3"/>
      <c r="T24" s="3"/>
      <c r="U24" s="3"/>
      <c r="V24" s="23"/>
      <c r="W24" s="3"/>
      <c r="X24" s="3">
        <f t="shared" si="2"/>
        <v>43426.73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"4126", " - ", "NON-TAXABLE SALES-WRITING INST")</f>
        <v xml:space="preserve">          4126 - NON-TAXABLE SALES-WRITING INST</v>
      </c>
      <c r="C25" s="12"/>
      <c r="D25" s="3">
        <f>--52.68</f>
        <v>52.68</v>
      </c>
      <c r="E25" s="3"/>
      <c r="F25" s="23"/>
      <c r="G25" s="3"/>
      <c r="H25" s="3"/>
      <c r="I25" s="3"/>
      <c r="J25" s="23"/>
      <c r="K25" s="3"/>
      <c r="L25" s="3">
        <f t="shared" si="0"/>
        <v>52.68</v>
      </c>
      <c r="M25" s="3"/>
      <c r="N25" s="23">
        <f t="shared" si="1"/>
        <v>0</v>
      </c>
      <c r="O25" s="12"/>
      <c r="P25" s="3">
        <f>--52.68</f>
        <v>52.68</v>
      </c>
      <c r="Q25" s="3"/>
      <c r="R25" s="23"/>
      <c r="S25" s="3"/>
      <c r="T25" s="3"/>
      <c r="U25" s="3"/>
      <c r="V25" s="23"/>
      <c r="W25" s="3"/>
      <c r="X25" s="3">
        <f t="shared" si="2"/>
        <v>52.68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"4127", " - ", "NON-TAXABLE SALES-SCHOOL SUPPL")</f>
        <v xml:space="preserve">          4127 - NON-TAXABLE SALES-SCHOOL SUPPL</v>
      </c>
      <c r="C26" s="12"/>
      <c r="D26" s="3">
        <f>--72.25</f>
        <v>72.25</v>
      </c>
      <c r="E26" s="3"/>
      <c r="F26" s="23"/>
      <c r="G26" s="3"/>
      <c r="H26" s="3"/>
      <c r="I26" s="3"/>
      <c r="J26" s="23"/>
      <c r="K26" s="3"/>
      <c r="L26" s="3">
        <f t="shared" si="0"/>
        <v>72.25</v>
      </c>
      <c r="M26" s="3"/>
      <c r="N26" s="23">
        <f t="shared" si="1"/>
        <v>0</v>
      </c>
      <c r="O26" s="12"/>
      <c r="P26" s="3">
        <f>--72.25</f>
        <v>72.25</v>
      </c>
      <c r="Q26" s="3"/>
      <c r="R26" s="23"/>
      <c r="S26" s="3"/>
      <c r="T26" s="3"/>
      <c r="U26" s="3"/>
      <c r="V26" s="23"/>
      <c r="W26" s="3"/>
      <c r="X26" s="3">
        <f t="shared" si="2"/>
        <v>72.25</v>
      </c>
      <c r="Y26" s="3"/>
      <c r="Z26" s="23">
        <f t="shared" si="3"/>
        <v>0</v>
      </c>
    </row>
    <row r="27" spans="1:26" s="24" customFormat="1" hidden="1" outlineLevel="1" x14ac:dyDescent="0.25">
      <c r="A27" s="51"/>
      <c r="B27" s="12" t="str">
        <f>CONCATENATE("          ", "4131", " - ", "NON-TAXABLE SALES-FOOD")</f>
        <v xml:space="preserve">          4131 - NON-TAXABLE SALES-FOOD</v>
      </c>
      <c r="C27" s="12"/>
      <c r="D27" s="3">
        <f>--259.43</f>
        <v>259.43</v>
      </c>
      <c r="E27" s="3"/>
      <c r="F27" s="23"/>
      <c r="G27" s="3"/>
      <c r="H27" s="3"/>
      <c r="I27" s="3"/>
      <c r="J27" s="23"/>
      <c r="K27" s="3"/>
      <c r="L27" s="3">
        <f t="shared" si="0"/>
        <v>259.43</v>
      </c>
      <c r="M27" s="3"/>
      <c r="N27" s="23">
        <f t="shared" si="1"/>
        <v>0</v>
      </c>
      <c r="O27" s="12"/>
      <c r="P27" s="3">
        <f>--259.43</f>
        <v>259.43</v>
      </c>
      <c r="Q27" s="3"/>
      <c r="R27" s="23"/>
      <c r="S27" s="3"/>
      <c r="T27" s="3"/>
      <c r="U27" s="3"/>
      <c r="V27" s="23"/>
      <c r="W27" s="3"/>
      <c r="X27" s="3">
        <f t="shared" si="2"/>
        <v>259.43</v>
      </c>
      <c r="Y27" s="3"/>
      <c r="Z27" s="23">
        <f t="shared" si="3"/>
        <v>0</v>
      </c>
    </row>
    <row r="28" spans="1:26" s="24" customFormat="1" hidden="1" outlineLevel="1" x14ac:dyDescent="0.25">
      <c r="A28" s="51"/>
      <c r="B28" s="12" t="str">
        <f>CONCATENATE("          ", "4132", " - ", "NON-TAXABLE SALES-JUICE")</f>
        <v xml:space="preserve">          4132 - NON-TAXABLE SALES-JUICE</v>
      </c>
      <c r="C28" s="12"/>
      <c r="D28" s="3">
        <f>--22.49</f>
        <v>22.49</v>
      </c>
      <c r="E28" s="3"/>
      <c r="F28" s="23"/>
      <c r="G28" s="3"/>
      <c r="H28" s="3"/>
      <c r="I28" s="3"/>
      <c r="J28" s="23"/>
      <c r="K28" s="3"/>
      <c r="L28" s="3">
        <f t="shared" si="0"/>
        <v>22.49</v>
      </c>
      <c r="M28" s="3"/>
      <c r="N28" s="23">
        <f t="shared" si="1"/>
        <v>0</v>
      </c>
      <c r="O28" s="12"/>
      <c r="P28" s="3">
        <f>--22.49</f>
        <v>22.49</v>
      </c>
      <c r="Q28" s="3"/>
      <c r="R28" s="23"/>
      <c r="S28" s="3"/>
      <c r="T28" s="3"/>
      <c r="U28" s="3"/>
      <c r="V28" s="23"/>
      <c r="W28" s="3"/>
      <c r="X28" s="3">
        <f t="shared" si="2"/>
        <v>22.49</v>
      </c>
      <c r="Y28" s="3"/>
      <c r="Z28" s="23">
        <f t="shared" si="3"/>
        <v>0</v>
      </c>
    </row>
    <row r="29" spans="1:26" s="24" customFormat="1" hidden="1" outlineLevel="1" x14ac:dyDescent="0.25">
      <c r="A29" s="51"/>
      <c r="B29" s="12" t="str">
        <f>CONCATENATE("          ", "4133", " - ", "NON-TAXABLE SALES-CANDY")</f>
        <v xml:space="preserve">          4133 - NON-TAXABLE SALES-CANDY</v>
      </c>
      <c r="C29" s="12"/>
      <c r="D29" s="3">
        <f>--68.28</f>
        <v>68.28</v>
      </c>
      <c r="E29" s="3"/>
      <c r="F29" s="23"/>
      <c r="G29" s="3"/>
      <c r="H29" s="3"/>
      <c r="I29" s="3"/>
      <c r="J29" s="23"/>
      <c r="K29" s="3"/>
      <c r="L29" s="3">
        <f t="shared" si="0"/>
        <v>68.28</v>
      </c>
      <c r="M29" s="3"/>
      <c r="N29" s="23">
        <f t="shared" si="1"/>
        <v>0</v>
      </c>
      <c r="O29" s="12"/>
      <c r="P29" s="3">
        <f>--68.28</f>
        <v>68.28</v>
      </c>
      <c r="Q29" s="3"/>
      <c r="R29" s="23"/>
      <c r="S29" s="3"/>
      <c r="T29" s="3"/>
      <c r="U29" s="3"/>
      <c r="V29" s="23"/>
      <c r="W29" s="3"/>
      <c r="X29" s="3">
        <f t="shared" si="2"/>
        <v>68.28</v>
      </c>
      <c r="Y29" s="3"/>
      <c r="Z29" s="23">
        <f t="shared" si="3"/>
        <v>0</v>
      </c>
    </row>
    <row r="30" spans="1:26" s="24" customFormat="1" hidden="1" outlineLevel="1" x14ac:dyDescent="0.25">
      <c r="A30" s="51"/>
      <c r="B30" s="12" t="str">
        <f>CONCATENATE("          ", "4134", " - ", "NON-TAXABLE SALES-SODA")</f>
        <v xml:space="preserve">          4134 - NON-TAXABLE SALES-SODA</v>
      </c>
      <c r="C30" s="12"/>
      <c r="D30" s="3">
        <f>--45.53</f>
        <v>45.53</v>
      </c>
      <c r="E30" s="3"/>
      <c r="F30" s="23"/>
      <c r="G30" s="3"/>
      <c r="H30" s="3"/>
      <c r="I30" s="3"/>
      <c r="J30" s="23"/>
      <c r="K30" s="3"/>
      <c r="L30" s="3">
        <f t="shared" si="0"/>
        <v>45.53</v>
      </c>
      <c r="M30" s="3"/>
      <c r="N30" s="23">
        <f t="shared" si="1"/>
        <v>0</v>
      </c>
      <c r="O30" s="12"/>
      <c r="P30" s="3">
        <f>--45.53</f>
        <v>45.53</v>
      </c>
      <c r="Q30" s="3"/>
      <c r="R30" s="23"/>
      <c r="S30" s="3"/>
      <c r="T30" s="3"/>
      <c r="U30" s="3"/>
      <c r="V30" s="23"/>
      <c r="W30" s="3"/>
      <c r="X30" s="3">
        <f t="shared" si="2"/>
        <v>45.53</v>
      </c>
      <c r="Y30" s="3"/>
      <c r="Z30" s="23">
        <f t="shared" si="3"/>
        <v>0</v>
      </c>
    </row>
    <row r="31" spans="1:26" s="24" customFormat="1" hidden="1" outlineLevel="1" x14ac:dyDescent="0.25">
      <c r="A31" s="51"/>
      <c r="B31" s="12" t="str">
        <f>CONCATENATE("          ", "4137", " - ", "NON-TAXABLE SALES-WATER")</f>
        <v xml:space="preserve">          4137 - NON-TAXABLE SALES-WATER</v>
      </c>
      <c r="C31" s="12"/>
      <c r="D31" s="3">
        <f>--68.25</f>
        <v>68.25</v>
      </c>
      <c r="E31" s="3"/>
      <c r="F31" s="23"/>
      <c r="G31" s="3"/>
      <c r="H31" s="3"/>
      <c r="I31" s="3"/>
      <c r="J31" s="23"/>
      <c r="K31" s="3"/>
      <c r="L31" s="3">
        <f t="shared" si="0"/>
        <v>68.25</v>
      </c>
      <c r="M31" s="3"/>
      <c r="N31" s="23">
        <f t="shared" si="1"/>
        <v>0</v>
      </c>
      <c r="O31" s="12"/>
      <c r="P31" s="3">
        <f>--68.25</f>
        <v>68.25</v>
      </c>
      <c r="Q31" s="3"/>
      <c r="R31" s="23"/>
      <c r="S31" s="3"/>
      <c r="T31" s="3"/>
      <c r="U31" s="3"/>
      <c r="V31" s="23"/>
      <c r="W31" s="3"/>
      <c r="X31" s="3">
        <f t="shared" si="2"/>
        <v>68.25</v>
      </c>
      <c r="Y31" s="3"/>
      <c r="Z31" s="23">
        <f t="shared" si="3"/>
        <v>0</v>
      </c>
    </row>
    <row r="32" spans="1:26" s="24" customFormat="1" hidden="1" outlineLevel="1" x14ac:dyDescent="0.25">
      <c r="A32" s="51"/>
      <c r="B32" s="12" t="str">
        <f>CONCATENATE("          ", "4140", " - ", "NON-TAXABLE SALES-LOGO CLOTHIN")</f>
        <v xml:space="preserve">          4140 - NON-TAXABLE SALES-LOGO CLOTHIN</v>
      </c>
      <c r="C32" s="12"/>
      <c r="D32" s="3">
        <f>--6846.24</f>
        <v>6846.24</v>
      </c>
      <c r="E32" s="3"/>
      <c r="F32" s="23"/>
      <c r="G32" s="3"/>
      <c r="H32" s="3"/>
      <c r="I32" s="3"/>
      <c r="J32" s="23"/>
      <c r="K32" s="3"/>
      <c r="L32" s="3">
        <f t="shared" si="0"/>
        <v>6846.24</v>
      </c>
      <c r="M32" s="3"/>
      <c r="N32" s="23">
        <f t="shared" si="1"/>
        <v>0</v>
      </c>
      <c r="O32" s="12"/>
      <c r="P32" s="3">
        <f>--6846.24</f>
        <v>6846.24</v>
      </c>
      <c r="Q32" s="3"/>
      <c r="R32" s="23"/>
      <c r="S32" s="3"/>
      <c r="T32" s="3"/>
      <c r="U32" s="3"/>
      <c r="V32" s="23"/>
      <c r="W32" s="3"/>
      <c r="X32" s="3">
        <f t="shared" si="2"/>
        <v>6846.24</v>
      </c>
      <c r="Y32" s="3"/>
      <c r="Z32" s="23">
        <f t="shared" si="3"/>
        <v>0</v>
      </c>
    </row>
    <row r="33" spans="1:26" s="24" customFormat="1" hidden="1" outlineLevel="1" x14ac:dyDescent="0.25">
      <c r="A33" s="51"/>
      <c r="B33" s="12" t="str">
        <f>CONCATENATE("          ", "4141", " - ", "NON-TAXABLE SALES-LOGO GIFTS")</f>
        <v xml:space="preserve">          4141 - NON-TAXABLE SALES-LOGO GIFTS</v>
      </c>
      <c r="C33" s="12"/>
      <c r="D33" s="3">
        <f>--1189.44</f>
        <v>1189.44</v>
      </c>
      <c r="E33" s="3"/>
      <c r="F33" s="23"/>
      <c r="G33" s="3"/>
      <c r="H33" s="3"/>
      <c r="I33" s="3"/>
      <c r="J33" s="23"/>
      <c r="K33" s="3"/>
      <c r="L33" s="3">
        <f t="shared" si="0"/>
        <v>1189.44</v>
      </c>
      <c r="M33" s="3"/>
      <c r="N33" s="23">
        <f t="shared" si="1"/>
        <v>0</v>
      </c>
      <c r="O33" s="12"/>
      <c r="P33" s="3">
        <f>--1189.44</f>
        <v>1189.44</v>
      </c>
      <c r="Q33" s="3"/>
      <c r="R33" s="23"/>
      <c r="S33" s="3"/>
      <c r="T33" s="3"/>
      <c r="U33" s="3"/>
      <c r="V33" s="23"/>
      <c r="W33" s="3"/>
      <c r="X33" s="3">
        <f t="shared" si="2"/>
        <v>1189.44</v>
      </c>
      <c r="Y33" s="3"/>
      <c r="Z33" s="23">
        <f t="shared" si="3"/>
        <v>0</v>
      </c>
    </row>
    <row r="34" spans="1:26" s="24" customFormat="1" hidden="1" outlineLevel="1" x14ac:dyDescent="0.25">
      <c r="A34" s="51"/>
      <c r="B34" s="12" t="str">
        <f>CONCATENATE("          ", "4142", " - ", "NON-TAXABLE SALES-EVERYDAY GIF")</f>
        <v xml:space="preserve">          4142 - NON-TAXABLE SALES-EVERYDAY GIF</v>
      </c>
      <c r="C34" s="12"/>
      <c r="D34" s="3">
        <f>--640.17</f>
        <v>640.16999999999996</v>
      </c>
      <c r="E34" s="3"/>
      <c r="F34" s="23"/>
      <c r="G34" s="3"/>
      <c r="H34" s="3"/>
      <c r="I34" s="3"/>
      <c r="J34" s="23"/>
      <c r="K34" s="3"/>
      <c r="L34" s="3">
        <f t="shared" si="0"/>
        <v>640.16999999999996</v>
      </c>
      <c r="M34" s="3"/>
      <c r="N34" s="23">
        <f t="shared" si="1"/>
        <v>0</v>
      </c>
      <c r="O34" s="12"/>
      <c r="P34" s="3">
        <f>--640.17</f>
        <v>640.16999999999996</v>
      </c>
      <c r="Q34" s="3"/>
      <c r="R34" s="23"/>
      <c r="S34" s="3"/>
      <c r="T34" s="3"/>
      <c r="U34" s="3"/>
      <c r="V34" s="23"/>
      <c r="W34" s="3"/>
      <c r="X34" s="3">
        <f t="shared" si="2"/>
        <v>640.16999999999996</v>
      </c>
      <c r="Y34" s="3"/>
      <c r="Z34" s="23">
        <f t="shared" si="3"/>
        <v>0</v>
      </c>
    </row>
    <row r="35" spans="1:26" s="24" customFormat="1" hidden="1" outlineLevel="1" x14ac:dyDescent="0.25">
      <c r="A35" s="51"/>
      <c r="B35" s="12" t="str">
        <f>CONCATENATE("          ", "4144", " - ", "NON-TAXABLE SALES-ACCESSORIES")</f>
        <v xml:space="preserve">          4144 - NON-TAXABLE SALES-ACCESSORIES</v>
      </c>
      <c r="C35" s="12"/>
      <c r="D35" s="3">
        <f>--47.85</f>
        <v>47.85</v>
      </c>
      <c r="E35" s="3"/>
      <c r="F35" s="23"/>
      <c r="G35" s="3"/>
      <c r="H35" s="3"/>
      <c r="I35" s="3"/>
      <c r="J35" s="23"/>
      <c r="K35" s="3"/>
      <c r="L35" s="3">
        <f t="shared" si="0"/>
        <v>47.85</v>
      </c>
      <c r="M35" s="3"/>
      <c r="N35" s="23">
        <f t="shared" si="1"/>
        <v>0</v>
      </c>
      <c r="O35" s="12"/>
      <c r="P35" s="3">
        <f>--47.85</f>
        <v>47.85</v>
      </c>
      <c r="Q35" s="3"/>
      <c r="R35" s="23"/>
      <c r="S35" s="3"/>
      <c r="T35" s="3"/>
      <c r="U35" s="3"/>
      <c r="V35" s="23"/>
      <c r="W35" s="3"/>
      <c r="X35" s="3">
        <f t="shared" si="2"/>
        <v>47.85</v>
      </c>
      <c r="Y35" s="3"/>
      <c r="Z35" s="23">
        <f t="shared" si="3"/>
        <v>0</v>
      </c>
    </row>
    <row r="36" spans="1:26" s="24" customFormat="1" hidden="1" outlineLevel="1" x14ac:dyDescent="0.25">
      <c r="A36" s="51"/>
      <c r="B36" s="12" t="str">
        <f>CONCATENATE("          ", "4145", " - ", "NON-TAXABLE SALES-SPECIAL ORDE")</f>
        <v xml:space="preserve">          4145 - NON-TAXABLE SALES-SPECIAL ORDE</v>
      </c>
      <c r="C36" s="12"/>
      <c r="D36" s="3">
        <f>--35496</f>
        <v>35496</v>
      </c>
      <c r="E36" s="3"/>
      <c r="F36" s="23"/>
      <c r="G36" s="3"/>
      <c r="H36" s="3"/>
      <c r="I36" s="3"/>
      <c r="J36" s="23"/>
      <c r="K36" s="3"/>
      <c r="L36" s="3">
        <f t="shared" si="0"/>
        <v>35496</v>
      </c>
      <c r="M36" s="3"/>
      <c r="N36" s="23">
        <f t="shared" si="1"/>
        <v>0</v>
      </c>
      <c r="O36" s="12"/>
      <c r="P36" s="3">
        <f>--35496</f>
        <v>35496</v>
      </c>
      <c r="Q36" s="3"/>
      <c r="R36" s="23"/>
      <c r="S36" s="3"/>
      <c r="T36" s="3"/>
      <c r="U36" s="3"/>
      <c r="V36" s="23"/>
      <c r="W36" s="3"/>
      <c r="X36" s="3">
        <f t="shared" si="2"/>
        <v>35496</v>
      </c>
      <c r="Y36" s="3"/>
      <c r="Z36" s="23">
        <f t="shared" si="3"/>
        <v>0</v>
      </c>
    </row>
    <row r="37" spans="1:26" s="24" customFormat="1" hidden="1" outlineLevel="1" x14ac:dyDescent="0.25">
      <c r="A37" s="51"/>
      <c r="B37" s="12" t="str">
        <f>CONCATENATE("          ", "4226", " - ", "SALES RETURN TAXABLE-WRITING I")</f>
        <v xml:space="preserve">          4226 - SALES RETURN TAXABLE-WRITING I</v>
      </c>
      <c r="C37" s="12"/>
      <c r="D37" s="3">
        <f>-6.38</f>
        <v>-6.38</v>
      </c>
      <c r="E37" s="3"/>
      <c r="F37" s="23"/>
      <c r="G37" s="3"/>
      <c r="H37" s="3"/>
      <c r="I37" s="3"/>
      <c r="J37" s="23"/>
      <c r="K37" s="3"/>
      <c r="L37" s="3">
        <f t="shared" si="0"/>
        <v>-6.38</v>
      </c>
      <c r="M37" s="3"/>
      <c r="N37" s="23">
        <f t="shared" si="1"/>
        <v>0</v>
      </c>
      <c r="O37" s="12"/>
      <c r="P37" s="3">
        <f>-6.38</f>
        <v>-6.38</v>
      </c>
      <c r="Q37" s="3"/>
      <c r="R37" s="23"/>
      <c r="S37" s="3"/>
      <c r="T37" s="3"/>
      <c r="U37" s="3"/>
      <c r="V37" s="23"/>
      <c r="W37" s="3"/>
      <c r="X37" s="3">
        <f t="shared" si="2"/>
        <v>-6.38</v>
      </c>
      <c r="Y37" s="3"/>
      <c r="Z37" s="23">
        <f t="shared" si="3"/>
        <v>0</v>
      </c>
    </row>
    <row r="38" spans="1:26" s="24" customFormat="1" hidden="1" outlineLevel="1" x14ac:dyDescent="0.25">
      <c r="A38" s="51"/>
      <c r="B38" s="12" t="str">
        <f>CONCATENATE("          ", "4227", " - ", "SALES RETURN TAXABLE-SCHOOL SU")</f>
        <v xml:space="preserve">          4227 - SALES RETURN TAXABLE-SCHOOL SU</v>
      </c>
      <c r="C38" s="12"/>
      <c r="D38" s="3">
        <f>-56.77</f>
        <v>-56.77</v>
      </c>
      <c r="E38" s="3"/>
      <c r="F38" s="23"/>
      <c r="G38" s="3"/>
      <c r="H38" s="3"/>
      <c r="I38" s="3"/>
      <c r="J38" s="23"/>
      <c r="K38" s="3"/>
      <c r="L38" s="3">
        <f t="shared" si="0"/>
        <v>-56.77</v>
      </c>
      <c r="M38" s="3"/>
      <c r="N38" s="23">
        <f t="shared" si="1"/>
        <v>0</v>
      </c>
      <c r="O38" s="12"/>
      <c r="P38" s="3">
        <f>-56.77</f>
        <v>-56.77</v>
      </c>
      <c r="Q38" s="3"/>
      <c r="R38" s="23"/>
      <c r="S38" s="3"/>
      <c r="T38" s="3"/>
      <c r="U38" s="3"/>
      <c r="V38" s="23"/>
      <c r="W38" s="3"/>
      <c r="X38" s="3">
        <f t="shared" si="2"/>
        <v>-56.77</v>
      </c>
      <c r="Y38" s="3"/>
      <c r="Z38" s="23">
        <f t="shared" si="3"/>
        <v>0</v>
      </c>
    </row>
    <row r="39" spans="1:26" s="24" customFormat="1" hidden="1" outlineLevel="1" x14ac:dyDescent="0.25">
      <c r="A39" s="51"/>
      <c r="B39" s="12" t="str">
        <f>CONCATENATE("          ", "4240", " - ", "SALES RETURN TAXABLE-LOGO CLOT")</f>
        <v xml:space="preserve">          4240 - SALES RETURN TAXABLE-LOGO CLOT</v>
      </c>
      <c r="C39" s="12"/>
      <c r="D39" s="3">
        <f>-3368.1</f>
        <v>-3368.1</v>
      </c>
      <c r="E39" s="3"/>
      <c r="F39" s="23"/>
      <c r="G39" s="3"/>
      <c r="H39" s="3"/>
      <c r="I39" s="3"/>
      <c r="J39" s="23"/>
      <c r="K39" s="3"/>
      <c r="L39" s="3">
        <f t="shared" si="0"/>
        <v>-3368.1</v>
      </c>
      <c r="M39" s="3"/>
      <c r="N39" s="23">
        <f t="shared" si="1"/>
        <v>0</v>
      </c>
      <c r="O39" s="12"/>
      <c r="P39" s="3">
        <f>-3368.1</f>
        <v>-3368.1</v>
      </c>
      <c r="Q39" s="3"/>
      <c r="R39" s="23"/>
      <c r="S39" s="3"/>
      <c r="T39" s="3"/>
      <c r="U39" s="3"/>
      <c r="V39" s="23"/>
      <c r="W39" s="3"/>
      <c r="X39" s="3">
        <f t="shared" si="2"/>
        <v>-3368.1</v>
      </c>
      <c r="Y39" s="3"/>
      <c r="Z39" s="23">
        <f t="shared" si="3"/>
        <v>0</v>
      </c>
    </row>
    <row r="40" spans="1:26" s="24" customFormat="1" hidden="1" outlineLevel="1" x14ac:dyDescent="0.25">
      <c r="A40" s="51"/>
      <c r="B40" s="12" t="str">
        <f>CONCATENATE("          ", "4241", " - ", "SALES RETURN TAXABLE-LOGO GIFT")</f>
        <v xml:space="preserve">          4241 - SALES RETURN TAXABLE-LOGO GIFT</v>
      </c>
      <c r="C40" s="12"/>
      <c r="D40" s="3">
        <f>-341.98</f>
        <v>-341.98</v>
      </c>
      <c r="E40" s="3"/>
      <c r="F40" s="23"/>
      <c r="G40" s="3"/>
      <c r="H40" s="3"/>
      <c r="I40" s="3"/>
      <c r="J40" s="23"/>
      <c r="K40" s="3"/>
      <c r="L40" s="3">
        <f t="shared" si="0"/>
        <v>-341.98</v>
      </c>
      <c r="M40" s="3"/>
      <c r="N40" s="23">
        <f t="shared" si="1"/>
        <v>0</v>
      </c>
      <c r="O40" s="12"/>
      <c r="P40" s="3">
        <f>-341.98</f>
        <v>-341.98</v>
      </c>
      <c r="Q40" s="3"/>
      <c r="R40" s="23"/>
      <c r="S40" s="3"/>
      <c r="T40" s="3"/>
      <c r="U40" s="3"/>
      <c r="V40" s="23"/>
      <c r="W40" s="3"/>
      <c r="X40" s="3">
        <f t="shared" si="2"/>
        <v>-341.98</v>
      </c>
      <c r="Y40" s="3"/>
      <c r="Z40" s="23">
        <f t="shared" si="3"/>
        <v>0</v>
      </c>
    </row>
    <row r="41" spans="1:26" s="24" customFormat="1" hidden="1" outlineLevel="1" x14ac:dyDescent="0.25">
      <c r="A41" s="51"/>
      <c r="B41" s="12" t="str">
        <f>CONCATENATE("          ", "4242", " - ", "SALES RETURN TAXABLE-EVERYDAY")</f>
        <v xml:space="preserve">          4242 - SALES RETURN TAXABLE-EVERYDAY</v>
      </c>
      <c r="C41" s="12"/>
      <c r="D41" s="3">
        <f>-178.96</f>
        <v>-178.96</v>
      </c>
      <c r="E41" s="3"/>
      <c r="F41" s="23"/>
      <c r="G41" s="3"/>
      <c r="H41" s="3"/>
      <c r="I41" s="3"/>
      <c r="J41" s="23"/>
      <c r="K41" s="3"/>
      <c r="L41" s="3">
        <f t="shared" si="0"/>
        <v>-178.96</v>
      </c>
      <c r="M41" s="3"/>
      <c r="N41" s="23">
        <f t="shared" si="1"/>
        <v>0</v>
      </c>
      <c r="O41" s="12"/>
      <c r="P41" s="3">
        <f>-178.96</f>
        <v>-178.96</v>
      </c>
      <c r="Q41" s="3"/>
      <c r="R41" s="23"/>
      <c r="S41" s="3"/>
      <c r="T41" s="3"/>
      <c r="U41" s="3"/>
      <c r="V41" s="23"/>
      <c r="W41" s="3"/>
      <c r="X41" s="3">
        <f t="shared" si="2"/>
        <v>-178.96</v>
      </c>
      <c r="Y41" s="3"/>
      <c r="Z41" s="23">
        <f t="shared" si="3"/>
        <v>0</v>
      </c>
    </row>
    <row r="42" spans="1:26" s="24" customFormat="1" hidden="1" outlineLevel="1" x14ac:dyDescent="0.25">
      <c r="A42" s="51"/>
      <c r="B42" s="12" t="str">
        <f>CONCATENATE("          ", "4245", " - ", "SALES RETURN TAXABLE-SPECIAL O")</f>
        <v xml:space="preserve">          4245 - SALES RETURN TAXABLE-SPECIAL O</v>
      </c>
      <c r="C42" s="12"/>
      <c r="D42" s="3">
        <f>-1121</f>
        <v>-1121</v>
      </c>
      <c r="E42" s="3"/>
      <c r="F42" s="23"/>
      <c r="G42" s="3"/>
      <c r="H42" s="3"/>
      <c r="I42" s="3"/>
      <c r="J42" s="23"/>
      <c r="K42" s="3"/>
      <c r="L42" s="3">
        <f t="shared" si="0"/>
        <v>-1121</v>
      </c>
      <c r="M42" s="3"/>
      <c r="N42" s="23">
        <f t="shared" si="1"/>
        <v>0</v>
      </c>
      <c r="O42" s="12"/>
      <c r="P42" s="3">
        <f>-1121</f>
        <v>-1121</v>
      </c>
      <c r="Q42" s="3"/>
      <c r="R42" s="23"/>
      <c r="S42" s="3"/>
      <c r="T42" s="3"/>
      <c r="U42" s="3"/>
      <c r="V42" s="23"/>
      <c r="W42" s="3"/>
      <c r="X42" s="3">
        <f t="shared" si="2"/>
        <v>-1121</v>
      </c>
      <c r="Y42" s="3"/>
      <c r="Z42" s="23">
        <f t="shared" si="3"/>
        <v>0</v>
      </c>
    </row>
    <row r="43" spans="1:26" s="24" customFormat="1" hidden="1" outlineLevel="1" x14ac:dyDescent="0.25">
      <c r="A43" s="51"/>
      <c r="B43" s="12" t="str">
        <f>CONCATENATE("          ", "4340", " - ", "SALES RETURN NON TAXABLE-LOGO")</f>
        <v xml:space="preserve">          4340 - SALES RETURN NON TAXABLE-LOGO</v>
      </c>
      <c r="C43" s="12"/>
      <c r="D43" s="3">
        <f>-434.24</f>
        <v>-434.24</v>
      </c>
      <c r="E43" s="3"/>
      <c r="F43" s="23"/>
      <c r="G43" s="3"/>
      <c r="H43" s="3"/>
      <c r="I43" s="3"/>
      <c r="J43" s="23"/>
      <c r="K43" s="3"/>
      <c r="L43" s="3">
        <f t="shared" si="0"/>
        <v>-434.24</v>
      </c>
      <c r="M43" s="3"/>
      <c r="N43" s="23">
        <f t="shared" si="1"/>
        <v>0</v>
      </c>
      <c r="O43" s="12"/>
      <c r="P43" s="3">
        <f>-434.24</f>
        <v>-434.24</v>
      </c>
      <c r="Q43" s="3"/>
      <c r="R43" s="23"/>
      <c r="S43" s="3"/>
      <c r="T43" s="3"/>
      <c r="U43" s="3"/>
      <c r="V43" s="23"/>
      <c r="W43" s="3"/>
      <c r="X43" s="3">
        <f t="shared" si="2"/>
        <v>-434.24</v>
      </c>
      <c r="Y43" s="3"/>
      <c r="Z43" s="23">
        <f t="shared" si="3"/>
        <v>0</v>
      </c>
    </row>
    <row r="44" spans="1:26" s="24" customFormat="1" hidden="1" outlineLevel="1" x14ac:dyDescent="0.25">
      <c r="A44" s="51"/>
      <c r="B44" s="12" t="str">
        <f>CONCATENATE("          ", "4341", " - ", "SALES RETURN NON TAXABLE-LOGO")</f>
        <v xml:space="preserve">          4341 - SALES RETURN NON TAXABLE-LOGO</v>
      </c>
      <c r="C44" s="12"/>
      <c r="D44" s="3">
        <f>-16.95</f>
        <v>-16.95</v>
      </c>
      <c r="E44" s="3"/>
      <c r="F44" s="23"/>
      <c r="G44" s="3"/>
      <c r="H44" s="3"/>
      <c r="I44" s="3"/>
      <c r="J44" s="23"/>
      <c r="K44" s="3"/>
      <c r="L44" s="3">
        <f t="shared" si="0"/>
        <v>-16.95</v>
      </c>
      <c r="M44" s="3"/>
      <c r="N44" s="23">
        <f t="shared" si="1"/>
        <v>0</v>
      </c>
      <c r="O44" s="12"/>
      <c r="P44" s="3">
        <f>-16.95</f>
        <v>-16.95</v>
      </c>
      <c r="Q44" s="3"/>
      <c r="R44" s="23"/>
      <c r="S44" s="3"/>
      <c r="T44" s="3"/>
      <c r="U44" s="3"/>
      <c r="V44" s="23"/>
      <c r="W44" s="3"/>
      <c r="X44" s="3">
        <f t="shared" si="2"/>
        <v>-16.95</v>
      </c>
      <c r="Y44" s="3"/>
      <c r="Z44" s="23">
        <f t="shared" si="3"/>
        <v>0</v>
      </c>
    </row>
    <row r="45" spans="1:26" s="24" customFormat="1" hidden="1" outlineLevel="1" x14ac:dyDescent="0.25">
      <c r="A45" s="51"/>
      <c r="B45" s="12" t="str">
        <f>CONCATENATE("          ", "4342", " - ", "SALES RETURN NON TAXABLE-EVERY")</f>
        <v xml:space="preserve">          4342 - SALES RETURN NON TAXABLE-EVERY</v>
      </c>
      <c r="C45" s="12"/>
      <c r="D45" s="3">
        <f>-79.85</f>
        <v>-79.849999999999994</v>
      </c>
      <c r="E45" s="3"/>
      <c r="F45" s="23"/>
      <c r="G45" s="3"/>
      <c r="H45" s="3"/>
      <c r="I45" s="3"/>
      <c r="J45" s="23"/>
      <c r="K45" s="3"/>
      <c r="L45" s="3">
        <f t="shared" si="0"/>
        <v>-79.849999999999994</v>
      </c>
      <c r="M45" s="3"/>
      <c r="N45" s="23">
        <f t="shared" si="1"/>
        <v>0</v>
      </c>
      <c r="O45" s="12"/>
      <c r="P45" s="3">
        <f>-79.85</f>
        <v>-79.849999999999994</v>
      </c>
      <c r="Q45" s="3"/>
      <c r="R45" s="23"/>
      <c r="S45" s="3"/>
      <c r="T45" s="3"/>
      <c r="U45" s="3"/>
      <c r="V45" s="23"/>
      <c r="W45" s="3"/>
      <c r="X45" s="3">
        <f t="shared" si="2"/>
        <v>-79.849999999999994</v>
      </c>
      <c r="Y45" s="3"/>
      <c r="Z45" s="23">
        <f t="shared" si="3"/>
        <v>0</v>
      </c>
    </row>
    <row r="46" spans="1:26" x14ac:dyDescent="0.25">
      <c r="A46" s="9"/>
      <c r="B46" s="10"/>
      <c r="C46" s="9"/>
      <c r="D46" s="2"/>
      <c r="E46" s="2"/>
      <c r="F46" s="6"/>
      <c r="G46" s="2"/>
      <c r="H46" s="2"/>
      <c r="I46" s="2"/>
      <c r="J46" s="6"/>
      <c r="K46" s="2"/>
      <c r="L46" s="2"/>
      <c r="M46" s="2"/>
      <c r="N46" s="6"/>
      <c r="P46" s="2"/>
      <c r="Q46" s="2"/>
      <c r="R46" s="6"/>
      <c r="S46" s="2"/>
      <c r="T46" s="2"/>
      <c r="U46" s="2"/>
      <c r="V46" s="6"/>
      <c r="W46" s="2"/>
      <c r="X46" s="2"/>
      <c r="Y46" s="2"/>
      <c r="Z46" s="6"/>
    </row>
    <row r="47" spans="1:26" s="22" customFormat="1" collapsed="1" x14ac:dyDescent="0.25">
      <c r="A47" s="10"/>
      <c r="B47" s="26" t="s">
        <v>8</v>
      </c>
      <c r="C47" s="10"/>
      <c r="D47" s="4">
        <f>SUM(OSRRefD16x_0)</f>
        <v>110539.94</v>
      </c>
      <c r="E47" s="4"/>
      <c r="F47" s="11">
        <f t="shared" ref="F47:F60" si="4">IF(D$12=0,0,D47/D$12)</f>
        <v>0.6324489151612861</v>
      </c>
      <c r="G47" s="4"/>
      <c r="H47" s="4">
        <f>SUM(OSRRefH16x_0)</f>
        <v>104763</v>
      </c>
      <c r="I47" s="4"/>
      <c r="J47" s="11">
        <f t="shared" ref="J47:J60" si="5">IF(H$12=0,0,H47/H$12)</f>
        <v>0.45558836447764961</v>
      </c>
      <c r="K47" s="4"/>
      <c r="L47" s="4">
        <f t="shared" ref="L47:L60" si="6">+D47-H47</f>
        <v>5776.9400000000023</v>
      </c>
      <c r="M47" s="4"/>
      <c r="N47" s="11">
        <f t="shared" ref="N47:N60" si="7">IF(H47=0,0,L47/H47)</f>
        <v>5.5142941687427838E-2</v>
      </c>
      <c r="O47" s="10"/>
      <c r="P47" s="4">
        <f>SUM(OSRRefP16x_0)</f>
        <v>110539.94</v>
      </c>
      <c r="Q47" s="4"/>
      <c r="R47" s="11">
        <f t="shared" ref="R47:R60" si="8">IF(P$12=0,0,P47/P$12)</f>
        <v>0.6324489151612861</v>
      </c>
      <c r="S47" s="4"/>
      <c r="T47" s="4">
        <f>SUM(OSRRefT16x_0)</f>
        <v>104763</v>
      </c>
      <c r="U47" s="4"/>
      <c r="V47" s="11">
        <f t="shared" ref="V47:V60" si="9">IF(T$12=0,0,T47/T$12)</f>
        <v>0.45558836447764961</v>
      </c>
      <c r="W47" s="4"/>
      <c r="X47" s="4">
        <f t="shared" ref="X47:X60" si="10">+P47-T47</f>
        <v>5776.9400000000023</v>
      </c>
      <c r="Y47" s="4"/>
      <c r="Z47" s="11">
        <f t="shared" ref="Z47:Z60" si="11">IF(T47=0,0,X47/T47)</f>
        <v>5.5142941687427838E-2</v>
      </c>
    </row>
    <row r="48" spans="1:26" s="24" customFormat="1" hidden="1" outlineLevel="1" x14ac:dyDescent="0.25">
      <c r="A48" s="51"/>
      <c r="B48" s="12" t="str">
        <f>CONCATENATE("          ", "5000", " - ", "PURCHASES @ COST")</f>
        <v xml:space="preserve">          5000 - PURCHASES @ COST</v>
      </c>
      <c r="C48" s="12"/>
      <c r="D48" s="3"/>
      <c r="E48" s="3"/>
      <c r="F48" s="23">
        <f t="shared" si="4"/>
        <v>0</v>
      </c>
      <c r="G48" s="3"/>
      <c r="H48" s="3">
        <v>104763</v>
      </c>
      <c r="I48" s="3"/>
      <c r="J48" s="23">
        <f t="shared" si="5"/>
        <v>0.45558836447764961</v>
      </c>
      <c r="K48" s="3"/>
      <c r="L48" s="3">
        <f t="shared" si="6"/>
        <v>-104763</v>
      </c>
      <c r="M48" s="3"/>
      <c r="N48" s="23">
        <f t="shared" si="7"/>
        <v>-1</v>
      </c>
      <c r="O48" s="12"/>
      <c r="P48" s="3"/>
      <c r="Q48" s="3"/>
      <c r="R48" s="23">
        <f t="shared" si="8"/>
        <v>0</v>
      </c>
      <c r="S48" s="3"/>
      <c r="T48" s="3">
        <v>104763</v>
      </c>
      <c r="U48" s="3"/>
      <c r="V48" s="23">
        <f t="shared" si="9"/>
        <v>0.45558836447764961</v>
      </c>
      <c r="W48" s="3"/>
      <c r="X48" s="3">
        <f t="shared" si="10"/>
        <v>-104763</v>
      </c>
      <c r="Y48" s="3"/>
      <c r="Z48" s="23">
        <f t="shared" si="11"/>
        <v>-1</v>
      </c>
    </row>
    <row r="49" spans="1:26" s="24" customFormat="1" hidden="1" outlineLevel="1" x14ac:dyDescent="0.25">
      <c r="A49" s="51"/>
      <c r="B49" s="12" t="str">
        <f>CONCATENATE("          ", "5027", " - ", "PURCHASES @ COST-SCHOOL SUPPLI")</f>
        <v xml:space="preserve">          5027 - PURCHASES @ COST-SCHOOL SUPPLI</v>
      </c>
      <c r="C49" s="12"/>
      <c r="D49" s="3">
        <v>8503.4</v>
      </c>
      <c r="E49" s="3"/>
      <c r="F49" s="23">
        <f t="shared" si="4"/>
        <v>4.8651791426542114E-2</v>
      </c>
      <c r="G49" s="3"/>
      <c r="H49" s="3"/>
      <c r="I49" s="3"/>
      <c r="J49" s="23">
        <f t="shared" si="5"/>
        <v>0</v>
      </c>
      <c r="K49" s="3"/>
      <c r="L49" s="3">
        <f t="shared" si="6"/>
        <v>8503.4</v>
      </c>
      <c r="M49" s="3"/>
      <c r="N49" s="23">
        <f t="shared" si="7"/>
        <v>0</v>
      </c>
      <c r="O49" s="12"/>
      <c r="P49" s="3">
        <v>8503.4</v>
      </c>
      <c r="Q49" s="3"/>
      <c r="R49" s="23">
        <f t="shared" si="8"/>
        <v>4.8651791426542114E-2</v>
      </c>
      <c r="S49" s="3"/>
      <c r="T49" s="3"/>
      <c r="U49" s="3"/>
      <c r="V49" s="23">
        <f t="shared" si="9"/>
        <v>0</v>
      </c>
      <c r="W49" s="3"/>
      <c r="X49" s="3">
        <f t="shared" si="10"/>
        <v>8503.4</v>
      </c>
      <c r="Y49" s="3"/>
      <c r="Z49" s="23">
        <f t="shared" si="11"/>
        <v>0</v>
      </c>
    </row>
    <row r="50" spans="1:26" s="24" customFormat="1" hidden="1" outlineLevel="1" x14ac:dyDescent="0.25">
      <c r="A50" s="51"/>
      <c r="B50" s="12" t="str">
        <f>CONCATENATE("          ", "5040", " - ", "PURCHASES @ COST-LOGO CLOTHING")</f>
        <v xml:space="preserve">          5040 - PURCHASES @ COST-LOGO CLOTHING</v>
      </c>
      <c r="C50" s="12"/>
      <c r="D50" s="3">
        <v>1723.07</v>
      </c>
      <c r="E50" s="3"/>
      <c r="F50" s="23">
        <f t="shared" si="4"/>
        <v>9.8584615863456879E-3</v>
      </c>
      <c r="G50" s="3"/>
      <c r="H50" s="3"/>
      <c r="I50" s="3"/>
      <c r="J50" s="23">
        <f t="shared" si="5"/>
        <v>0</v>
      </c>
      <c r="K50" s="3"/>
      <c r="L50" s="3">
        <f t="shared" si="6"/>
        <v>1723.07</v>
      </c>
      <c r="M50" s="3"/>
      <c r="N50" s="23">
        <f t="shared" si="7"/>
        <v>0</v>
      </c>
      <c r="O50" s="12"/>
      <c r="P50" s="3">
        <v>1723.07</v>
      </c>
      <c r="Q50" s="3"/>
      <c r="R50" s="23">
        <f t="shared" si="8"/>
        <v>9.8584615863456879E-3</v>
      </c>
      <c r="S50" s="3"/>
      <c r="T50" s="3"/>
      <c r="U50" s="3"/>
      <c r="V50" s="23">
        <f t="shared" si="9"/>
        <v>0</v>
      </c>
      <c r="W50" s="3"/>
      <c r="X50" s="3">
        <f t="shared" si="10"/>
        <v>1723.07</v>
      </c>
      <c r="Y50" s="3"/>
      <c r="Z50" s="23">
        <f t="shared" si="11"/>
        <v>0</v>
      </c>
    </row>
    <row r="51" spans="1:26" s="24" customFormat="1" hidden="1" outlineLevel="1" x14ac:dyDescent="0.25">
      <c r="A51" s="51"/>
      <c r="B51" s="12" t="str">
        <f>CONCATENATE("          ", "5041", " - ", "PURCHASES @ COST-LOGO GIFTS")</f>
        <v xml:space="preserve">          5041 - PURCHASES @ COST-LOGO GIFTS</v>
      </c>
      <c r="C51" s="12"/>
      <c r="D51" s="3">
        <v>-713.75</v>
      </c>
      <c r="E51" s="3"/>
      <c r="F51" s="23">
        <f t="shared" si="4"/>
        <v>-4.0836860703594366E-3</v>
      </c>
      <c r="G51" s="3"/>
      <c r="H51" s="3"/>
      <c r="I51" s="3"/>
      <c r="J51" s="23">
        <f t="shared" si="5"/>
        <v>0</v>
      </c>
      <c r="K51" s="3"/>
      <c r="L51" s="3">
        <f t="shared" si="6"/>
        <v>-713.75</v>
      </c>
      <c r="M51" s="3"/>
      <c r="N51" s="23">
        <f t="shared" si="7"/>
        <v>0</v>
      </c>
      <c r="O51" s="12"/>
      <c r="P51" s="3">
        <v>-713.75</v>
      </c>
      <c r="Q51" s="3"/>
      <c r="R51" s="23">
        <f t="shared" si="8"/>
        <v>-4.0836860703594366E-3</v>
      </c>
      <c r="S51" s="3"/>
      <c r="T51" s="3"/>
      <c r="U51" s="3"/>
      <c r="V51" s="23">
        <f t="shared" si="9"/>
        <v>0</v>
      </c>
      <c r="W51" s="3"/>
      <c r="X51" s="3">
        <f t="shared" si="10"/>
        <v>-713.75</v>
      </c>
      <c r="Y51" s="3"/>
      <c r="Z51" s="23">
        <f t="shared" si="11"/>
        <v>0</v>
      </c>
    </row>
    <row r="52" spans="1:26" s="24" customFormat="1" hidden="1" outlineLevel="1" x14ac:dyDescent="0.25">
      <c r="A52" s="51"/>
      <c r="B52" s="12" t="str">
        <f>CONCATENATE("          ", "5042", " - ", "PURCHASES @ COST-EVERYDAY GIFT")</f>
        <v xml:space="preserve">          5042 - PURCHASES @ COST-EVERYDAY GIFT</v>
      </c>
      <c r="C52" s="12"/>
      <c r="D52" s="3">
        <v>236.16</v>
      </c>
      <c r="E52" s="3"/>
      <c r="F52" s="23">
        <f t="shared" si="4"/>
        <v>1.3511780068316422E-3</v>
      </c>
      <c r="G52" s="3"/>
      <c r="H52" s="3"/>
      <c r="I52" s="3"/>
      <c r="J52" s="23">
        <f t="shared" si="5"/>
        <v>0</v>
      </c>
      <c r="K52" s="3"/>
      <c r="L52" s="3">
        <f t="shared" si="6"/>
        <v>236.16</v>
      </c>
      <c r="M52" s="3"/>
      <c r="N52" s="23">
        <f t="shared" si="7"/>
        <v>0</v>
      </c>
      <c r="O52" s="12"/>
      <c r="P52" s="3">
        <v>236.16</v>
      </c>
      <c r="Q52" s="3"/>
      <c r="R52" s="23">
        <f t="shared" si="8"/>
        <v>1.3511780068316422E-3</v>
      </c>
      <c r="S52" s="3"/>
      <c r="T52" s="3"/>
      <c r="U52" s="3"/>
      <c r="V52" s="23">
        <f t="shared" si="9"/>
        <v>0</v>
      </c>
      <c r="W52" s="3"/>
      <c r="X52" s="3">
        <f t="shared" si="10"/>
        <v>236.16</v>
      </c>
      <c r="Y52" s="3"/>
      <c r="Z52" s="23">
        <f t="shared" si="11"/>
        <v>0</v>
      </c>
    </row>
    <row r="53" spans="1:26" s="24" customFormat="1" hidden="1" outlineLevel="1" x14ac:dyDescent="0.25">
      <c r="A53" s="51"/>
      <c r="B53" s="12" t="str">
        <f>CONCATENATE("          ", "5043", " - ", "PURCHASES @ COST-CARDS")</f>
        <v xml:space="preserve">          5043 - PURCHASES @ COST-CARDS</v>
      </c>
      <c r="C53" s="12"/>
      <c r="D53" s="3">
        <v>308.7</v>
      </c>
      <c r="E53" s="3"/>
      <c r="F53" s="23">
        <f t="shared" si="4"/>
        <v>1.7662121049666665E-3</v>
      </c>
      <c r="G53" s="3"/>
      <c r="H53" s="3"/>
      <c r="I53" s="3"/>
      <c r="J53" s="23">
        <f t="shared" si="5"/>
        <v>0</v>
      </c>
      <c r="K53" s="3"/>
      <c r="L53" s="3">
        <f t="shared" si="6"/>
        <v>308.7</v>
      </c>
      <c r="M53" s="3"/>
      <c r="N53" s="23">
        <f t="shared" si="7"/>
        <v>0</v>
      </c>
      <c r="O53" s="12"/>
      <c r="P53" s="3">
        <v>308.7</v>
      </c>
      <c r="Q53" s="3"/>
      <c r="R53" s="23">
        <f t="shared" si="8"/>
        <v>1.7662121049666665E-3</v>
      </c>
      <c r="S53" s="3"/>
      <c r="T53" s="3"/>
      <c r="U53" s="3"/>
      <c r="V53" s="23">
        <f t="shared" si="9"/>
        <v>0</v>
      </c>
      <c r="W53" s="3"/>
      <c r="X53" s="3">
        <f t="shared" si="10"/>
        <v>308.7</v>
      </c>
      <c r="Y53" s="3"/>
      <c r="Z53" s="23">
        <f t="shared" si="11"/>
        <v>0</v>
      </c>
    </row>
    <row r="54" spans="1:26" s="24" customFormat="1" hidden="1" outlineLevel="1" x14ac:dyDescent="0.25">
      <c r="A54" s="51"/>
      <c r="B54" s="12" t="str">
        <f>CONCATENATE("          ", "5045", " - ", "PURCHASES @ COST-SPECIAL ORDER")</f>
        <v xml:space="preserve">          5045 - PURCHASES @ COST-SPECIAL ORDER</v>
      </c>
      <c r="C54" s="12"/>
      <c r="D54" s="3">
        <v>2756.21</v>
      </c>
      <c r="E54" s="3"/>
      <c r="F54" s="23">
        <f t="shared" si="4"/>
        <v>1.5769522079138891E-2</v>
      </c>
      <c r="G54" s="3"/>
      <c r="H54" s="3"/>
      <c r="I54" s="3"/>
      <c r="J54" s="23">
        <f t="shared" si="5"/>
        <v>0</v>
      </c>
      <c r="K54" s="3"/>
      <c r="L54" s="3">
        <f t="shared" si="6"/>
        <v>2756.21</v>
      </c>
      <c r="M54" s="3"/>
      <c r="N54" s="23">
        <f t="shared" si="7"/>
        <v>0</v>
      </c>
      <c r="O54" s="12"/>
      <c r="P54" s="3">
        <v>2756.21</v>
      </c>
      <c r="Q54" s="3"/>
      <c r="R54" s="23">
        <f t="shared" si="8"/>
        <v>1.5769522079138891E-2</v>
      </c>
      <c r="S54" s="3"/>
      <c r="T54" s="3"/>
      <c r="U54" s="3"/>
      <c r="V54" s="23">
        <f t="shared" si="9"/>
        <v>0</v>
      </c>
      <c r="W54" s="3"/>
      <c r="X54" s="3">
        <f t="shared" si="10"/>
        <v>2756.21</v>
      </c>
      <c r="Y54" s="3"/>
      <c r="Z54" s="23">
        <f t="shared" si="11"/>
        <v>0</v>
      </c>
    </row>
    <row r="55" spans="1:26" s="24" customFormat="1" hidden="1" outlineLevel="1" x14ac:dyDescent="0.25">
      <c r="A55" s="51"/>
      <c r="B55" s="12" t="str">
        <f>CONCATENATE("          ", "5200", " - ", "PURCHASES OFFSET")</f>
        <v xml:space="preserve">          5200 - PURCHASES OFFSET</v>
      </c>
      <c r="C55" s="12"/>
      <c r="D55" s="3">
        <v>-13113.6</v>
      </c>
      <c r="E55" s="3"/>
      <c r="F55" s="23">
        <f t="shared" si="4"/>
        <v>-7.502882753382209E-2</v>
      </c>
      <c r="G55" s="3"/>
      <c r="H55" s="3"/>
      <c r="I55" s="3"/>
      <c r="J55" s="23">
        <f t="shared" si="5"/>
        <v>0</v>
      </c>
      <c r="K55" s="3"/>
      <c r="L55" s="3">
        <f t="shared" si="6"/>
        <v>-13113.6</v>
      </c>
      <c r="M55" s="3"/>
      <c r="N55" s="23">
        <f t="shared" si="7"/>
        <v>0</v>
      </c>
      <c r="O55" s="12"/>
      <c r="P55" s="3">
        <v>-13113.6</v>
      </c>
      <c r="Q55" s="3"/>
      <c r="R55" s="23">
        <f t="shared" si="8"/>
        <v>-7.502882753382209E-2</v>
      </c>
      <c r="S55" s="3"/>
      <c r="T55" s="3"/>
      <c r="U55" s="3"/>
      <c r="V55" s="23">
        <f t="shared" si="9"/>
        <v>0</v>
      </c>
      <c r="W55" s="3"/>
      <c r="X55" s="3">
        <f t="shared" si="10"/>
        <v>-13113.6</v>
      </c>
      <c r="Y55" s="3"/>
      <c r="Z55" s="23">
        <f t="shared" si="11"/>
        <v>0</v>
      </c>
    </row>
    <row r="56" spans="1:26" s="24" customFormat="1" hidden="1" outlineLevel="1" x14ac:dyDescent="0.25">
      <c r="A56" s="51"/>
      <c r="B56" s="12" t="str">
        <f>CONCATENATE("          ", "5300", " - ", "COG$ OFFSET")</f>
        <v xml:space="preserve">          5300 - COG$ OFFSET</v>
      </c>
      <c r="C56" s="12"/>
      <c r="D56" s="3">
        <v>109540</v>
      </c>
      <c r="E56" s="3"/>
      <c r="F56" s="23">
        <f t="shared" si="4"/>
        <v>0.62672780686118768</v>
      </c>
      <c r="G56" s="3"/>
      <c r="H56" s="3"/>
      <c r="I56" s="3"/>
      <c r="J56" s="23">
        <f t="shared" si="5"/>
        <v>0</v>
      </c>
      <c r="K56" s="3"/>
      <c r="L56" s="3">
        <f t="shared" si="6"/>
        <v>109540</v>
      </c>
      <c r="M56" s="3"/>
      <c r="N56" s="23">
        <f t="shared" si="7"/>
        <v>0</v>
      </c>
      <c r="O56" s="12"/>
      <c r="P56" s="3">
        <v>109540</v>
      </c>
      <c r="Q56" s="3"/>
      <c r="R56" s="23">
        <f t="shared" si="8"/>
        <v>0.62672780686118768</v>
      </c>
      <c r="S56" s="3"/>
      <c r="T56" s="3"/>
      <c r="U56" s="3"/>
      <c r="V56" s="23">
        <f t="shared" si="9"/>
        <v>0</v>
      </c>
      <c r="W56" s="3"/>
      <c r="X56" s="3">
        <f t="shared" si="10"/>
        <v>109540</v>
      </c>
      <c r="Y56" s="3"/>
      <c r="Z56" s="23">
        <f t="shared" si="11"/>
        <v>0</v>
      </c>
    </row>
    <row r="57" spans="1:26" s="24" customFormat="1" hidden="1" outlineLevel="1" x14ac:dyDescent="0.25">
      <c r="A57" s="51"/>
      <c r="B57" s="12" t="str">
        <f>CONCATENATE("          ", "5540", " - ", "FREIGHT-IN-LOGO CLOTHING")</f>
        <v xml:space="preserve">          5540 - FREIGHT-IN-LOGO CLOTHING</v>
      </c>
      <c r="C57" s="12"/>
      <c r="D57" s="3">
        <v>909.83</v>
      </c>
      <c r="E57" s="3"/>
      <c r="F57" s="23">
        <f t="shared" si="4"/>
        <v>5.2055482975763593E-3</v>
      </c>
      <c r="G57" s="3"/>
      <c r="H57" s="3"/>
      <c r="I57" s="3"/>
      <c r="J57" s="23">
        <f t="shared" si="5"/>
        <v>0</v>
      </c>
      <c r="K57" s="3"/>
      <c r="L57" s="3">
        <f t="shared" si="6"/>
        <v>909.83</v>
      </c>
      <c r="M57" s="3"/>
      <c r="N57" s="23">
        <f t="shared" si="7"/>
        <v>0</v>
      </c>
      <c r="O57" s="12"/>
      <c r="P57" s="3">
        <v>909.83</v>
      </c>
      <c r="Q57" s="3"/>
      <c r="R57" s="23">
        <f t="shared" si="8"/>
        <v>5.2055482975763593E-3</v>
      </c>
      <c r="S57" s="3"/>
      <c r="T57" s="3"/>
      <c r="U57" s="3"/>
      <c r="V57" s="23">
        <f t="shared" si="9"/>
        <v>0</v>
      </c>
      <c r="W57" s="3"/>
      <c r="X57" s="3">
        <f t="shared" si="10"/>
        <v>909.83</v>
      </c>
      <c r="Y57" s="3"/>
      <c r="Z57" s="23">
        <f t="shared" si="11"/>
        <v>0</v>
      </c>
    </row>
    <row r="58" spans="1:26" s="24" customFormat="1" hidden="1" outlineLevel="1" x14ac:dyDescent="0.25">
      <c r="A58" s="51"/>
      <c r="B58" s="12" t="str">
        <f>CONCATENATE("          ", "5541", " - ", "FREIGHT-IN-LOGO GIFTS")</f>
        <v xml:space="preserve">          5541 - FREIGHT-IN-LOGO GIFTS</v>
      </c>
      <c r="C58" s="12"/>
      <c r="D58" s="3">
        <v>83.58</v>
      </c>
      <c r="E58" s="3"/>
      <c r="F58" s="23">
        <f t="shared" si="4"/>
        <v>4.7819892365764168E-4</v>
      </c>
      <c r="G58" s="3"/>
      <c r="H58" s="3"/>
      <c r="I58" s="3"/>
      <c r="J58" s="23">
        <f t="shared" si="5"/>
        <v>0</v>
      </c>
      <c r="K58" s="3"/>
      <c r="L58" s="3">
        <f t="shared" si="6"/>
        <v>83.58</v>
      </c>
      <c r="M58" s="3"/>
      <c r="N58" s="23">
        <f t="shared" si="7"/>
        <v>0</v>
      </c>
      <c r="O58" s="12"/>
      <c r="P58" s="3">
        <v>83.58</v>
      </c>
      <c r="Q58" s="3"/>
      <c r="R58" s="23">
        <f t="shared" si="8"/>
        <v>4.7819892365764168E-4</v>
      </c>
      <c r="S58" s="3"/>
      <c r="T58" s="3"/>
      <c r="U58" s="3"/>
      <c r="V58" s="23">
        <f t="shared" si="9"/>
        <v>0</v>
      </c>
      <c r="W58" s="3"/>
      <c r="X58" s="3">
        <f t="shared" si="10"/>
        <v>83.58</v>
      </c>
      <c r="Y58" s="3"/>
      <c r="Z58" s="23">
        <f t="shared" si="11"/>
        <v>0</v>
      </c>
    </row>
    <row r="59" spans="1:26" s="24" customFormat="1" hidden="1" outlineLevel="1" x14ac:dyDescent="0.25">
      <c r="A59" s="51"/>
      <c r="B59" s="12" t="str">
        <f>CONCATENATE("          ", "5542", " - ", "FREIGHT-IN-EVERYDAY GIFTS")</f>
        <v xml:space="preserve">          5542 - FREIGHT-IN-EVERYDAY GIFTS</v>
      </c>
      <c r="C59" s="12"/>
      <c r="D59" s="3">
        <v>5.94</v>
      </c>
      <c r="E59" s="3"/>
      <c r="F59" s="23">
        <f t="shared" si="4"/>
        <v>3.3985422427930025E-5</v>
      </c>
      <c r="G59" s="3"/>
      <c r="H59" s="3"/>
      <c r="I59" s="3"/>
      <c r="J59" s="23">
        <f t="shared" si="5"/>
        <v>0</v>
      </c>
      <c r="K59" s="3"/>
      <c r="L59" s="3">
        <f t="shared" si="6"/>
        <v>5.94</v>
      </c>
      <c r="M59" s="3"/>
      <c r="N59" s="23">
        <f t="shared" si="7"/>
        <v>0</v>
      </c>
      <c r="O59" s="12"/>
      <c r="P59" s="3">
        <v>5.94</v>
      </c>
      <c r="Q59" s="3"/>
      <c r="R59" s="23">
        <f t="shared" si="8"/>
        <v>3.3985422427930025E-5</v>
      </c>
      <c r="S59" s="3"/>
      <c r="T59" s="3"/>
      <c r="U59" s="3"/>
      <c r="V59" s="23">
        <f t="shared" si="9"/>
        <v>0</v>
      </c>
      <c r="W59" s="3"/>
      <c r="X59" s="3">
        <f t="shared" si="10"/>
        <v>5.94</v>
      </c>
      <c r="Y59" s="3"/>
      <c r="Z59" s="23">
        <f t="shared" si="11"/>
        <v>0</v>
      </c>
    </row>
    <row r="60" spans="1:26" s="24" customFormat="1" hidden="1" outlineLevel="1" x14ac:dyDescent="0.25">
      <c r="A60" s="51"/>
      <c r="B60" s="12" t="str">
        <f>CONCATENATE("          ", "5545", " - ", "FREIGHT-IN-SPECIAL ORDERS")</f>
        <v xml:space="preserve">          5545 - FREIGHT-IN-SPECIAL ORDERS</v>
      </c>
      <c r="C60" s="12"/>
      <c r="D60" s="3">
        <v>300.39999999999998</v>
      </c>
      <c r="E60" s="3"/>
      <c r="F60" s="23">
        <f t="shared" si="4"/>
        <v>1.7187240567929595E-3</v>
      </c>
      <c r="G60" s="3"/>
      <c r="H60" s="3"/>
      <c r="I60" s="3"/>
      <c r="J60" s="23">
        <f t="shared" si="5"/>
        <v>0</v>
      </c>
      <c r="K60" s="3"/>
      <c r="L60" s="3">
        <f t="shared" si="6"/>
        <v>300.39999999999998</v>
      </c>
      <c r="M60" s="3"/>
      <c r="N60" s="23">
        <f t="shared" si="7"/>
        <v>0</v>
      </c>
      <c r="O60" s="12"/>
      <c r="P60" s="3">
        <v>300.39999999999998</v>
      </c>
      <c r="Q60" s="3"/>
      <c r="R60" s="23">
        <f t="shared" si="8"/>
        <v>1.7187240567929595E-3</v>
      </c>
      <c r="S60" s="3"/>
      <c r="T60" s="3"/>
      <c r="U60" s="3"/>
      <c r="V60" s="23">
        <f t="shared" si="9"/>
        <v>0</v>
      </c>
      <c r="W60" s="3"/>
      <c r="X60" s="3">
        <f t="shared" si="10"/>
        <v>300.39999999999998</v>
      </c>
      <c r="Y60" s="3"/>
      <c r="Z60" s="23">
        <f t="shared" si="11"/>
        <v>0</v>
      </c>
    </row>
    <row r="61" spans="1:26" x14ac:dyDescent="0.25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2" customFormat="1" x14ac:dyDescent="0.25">
      <c r="A62" s="10"/>
      <c r="B62" s="25" t="s">
        <v>6</v>
      </c>
      <c r="C62" s="25"/>
      <c r="D62" s="21">
        <f>D12-D47</f>
        <v>64240.879999999976</v>
      </c>
      <c r="E62" s="13"/>
      <c r="F62" s="20">
        <f>IF(D$12=0,0,D62/D$12)</f>
        <v>0.3675510848387139</v>
      </c>
      <c r="G62" s="13"/>
      <c r="H62" s="21">
        <f>H12-H47</f>
        <v>125188</v>
      </c>
      <c r="I62" s="13"/>
      <c r="J62" s="20">
        <f>IF(H$12=0,0,H62/H$12)</f>
        <v>0.54441163552235039</v>
      </c>
      <c r="K62" s="15"/>
      <c r="L62" s="21">
        <f>+D62-H62</f>
        <v>-60947.120000000024</v>
      </c>
      <c r="M62" s="15"/>
      <c r="N62" s="20">
        <f>IF(H62=0,0,L62/H62)</f>
        <v>-0.48684474550276402</v>
      </c>
      <c r="O62" s="26"/>
      <c r="P62" s="21">
        <f>P12-P47</f>
        <v>64240.879999999976</v>
      </c>
      <c r="Q62" s="13"/>
      <c r="R62" s="20">
        <f>IF(P$12=0,0,P62/P$12)</f>
        <v>0.3675510848387139</v>
      </c>
      <c r="S62" s="13"/>
      <c r="T62" s="21">
        <f>T12-T47</f>
        <v>125188</v>
      </c>
      <c r="U62" s="13"/>
      <c r="V62" s="20">
        <f>IF(T$12=0,0,T62/T$12)</f>
        <v>0.54441163552235039</v>
      </c>
      <c r="W62" s="15"/>
      <c r="X62" s="21">
        <f>+P62-T62</f>
        <v>-60947.120000000024</v>
      </c>
      <c r="Y62" s="15"/>
      <c r="Z62" s="20">
        <f>IF(T62=0,0,X62/T62)</f>
        <v>-0.48684474550276402</v>
      </c>
    </row>
    <row r="63" spans="1:26" x14ac:dyDescent="0.25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2" customFormat="1" x14ac:dyDescent="0.25">
      <c r="A64" s="10"/>
      <c r="B64" s="26" t="s">
        <v>9</v>
      </c>
      <c r="C64" s="10"/>
      <c r="D64" s="19">
        <f>SUM(OSRRefD22x_0)</f>
        <v>62782.459999999992</v>
      </c>
      <c r="E64" s="19"/>
      <c r="F64" s="31">
        <f t="shared" ref="F64:F74" si="12">IF(D$12=0,0,D64/D$12)</f>
        <v>0.35920680541491912</v>
      </c>
      <c r="G64" s="19"/>
      <c r="H64" s="19">
        <f>SUM(OSRRefH22x_0)</f>
        <v>125493.18646615386</v>
      </c>
      <c r="I64" s="19"/>
      <c r="J64" s="31">
        <f t="shared" ref="J64:J74" si="13">IF(H$12=0,0,H64/H$12)</f>
        <v>0.54573881594841445</v>
      </c>
      <c r="K64" s="4"/>
      <c r="L64" s="19">
        <f t="shared" ref="L64:L74" si="14">+D64-H64</f>
        <v>-62710.726466153865</v>
      </c>
      <c r="M64" s="4"/>
      <c r="N64" s="31">
        <f t="shared" ref="N64:N74" si="15">IF(H64=0,0,L64/H64)</f>
        <v>-0.49971419351175106</v>
      </c>
      <c r="O64" s="10"/>
      <c r="P64" s="19">
        <f>SUM(OSRRefP22x_0)</f>
        <v>62782.459999999992</v>
      </c>
      <c r="Q64" s="19"/>
      <c r="R64" s="31">
        <f t="shared" ref="R64:R74" si="16">IF(P$12=0,0,P64/P$12)</f>
        <v>0.35920680541491912</v>
      </c>
      <c r="S64" s="19"/>
      <c r="T64" s="19">
        <f>SUM(OSRRefT22x_0)</f>
        <v>125493.18646615386</v>
      </c>
      <c r="U64" s="19"/>
      <c r="V64" s="31">
        <f t="shared" ref="V64:V74" si="17">IF(T$12=0,0,T64/T$12)</f>
        <v>0.54573881594841445</v>
      </c>
      <c r="W64" s="4"/>
      <c r="X64" s="19">
        <f t="shared" ref="X64:X74" si="18">+P64-T64</f>
        <v>-62710.726466153865</v>
      </c>
      <c r="Y64" s="4"/>
      <c r="Z64" s="31">
        <f t="shared" ref="Z64:Z74" si="19">IF(T64=0,0,X64/T64)</f>
        <v>-0.49971419351175106</v>
      </c>
    </row>
    <row r="65" spans="1:26" s="29" customFormat="1" outlineLevel="1" collapsed="1" x14ac:dyDescent="0.25">
      <c r="A65" s="28"/>
      <c r="B65" s="14" t="str">
        <f>CONCATENATE("     ","*Benefits                                         ")</f>
        <v xml:space="preserve">     *Benefits                                         </v>
      </c>
      <c r="C65" s="14"/>
      <c r="D65" s="1">
        <f>SUM(OSRRefD22_0x_0)</f>
        <v>13065.430000000002</v>
      </c>
      <c r="E65" s="1"/>
      <c r="F65" s="5">
        <f t="shared" si="12"/>
        <v>7.4753225210866983E-2</v>
      </c>
      <c r="G65" s="1"/>
      <c r="H65" s="1">
        <f>SUM(OSRRefH22_0x_0)</f>
        <v>18096.359543076909</v>
      </c>
      <c r="I65" s="1"/>
      <c r="J65" s="5">
        <f t="shared" si="13"/>
        <v>7.8696589895573016E-2</v>
      </c>
      <c r="K65" s="1"/>
      <c r="L65" s="1">
        <f t="shared" si="14"/>
        <v>-5030.9295430769071</v>
      </c>
      <c r="M65" s="1"/>
      <c r="N65" s="5">
        <f t="shared" si="15"/>
        <v>-0.27800782423123221</v>
      </c>
      <c r="O65" s="14"/>
      <c r="P65" s="1">
        <f>SUM(OSRRefP22_0x_0)</f>
        <v>13065.430000000002</v>
      </c>
      <c r="Q65" s="1"/>
      <c r="R65" s="5">
        <f t="shared" si="16"/>
        <v>7.4753225210866983E-2</v>
      </c>
      <c r="S65" s="1"/>
      <c r="T65" s="1">
        <f>SUM(OSRRefT22_0x_0)</f>
        <v>18096.359543076909</v>
      </c>
      <c r="U65" s="1"/>
      <c r="V65" s="5">
        <f t="shared" si="17"/>
        <v>7.8696589895573016E-2</v>
      </c>
      <c r="W65" s="1"/>
      <c r="X65" s="1">
        <f t="shared" si="18"/>
        <v>-5030.9295430769071</v>
      </c>
      <c r="Y65" s="1"/>
      <c r="Z65" s="5">
        <f t="shared" si="19"/>
        <v>-0.27800782423123221</v>
      </c>
    </row>
    <row r="66" spans="1:26" s="24" customFormat="1" hidden="1" outlineLevel="2" x14ac:dyDescent="0.25">
      <c r="A66" s="27"/>
      <c r="B66" s="12" t="str">
        <f>CONCATENATE("          ", "6111", " - ", "F.I.C.A.")</f>
        <v xml:space="preserve">          6111 - F.I.C.A.</v>
      </c>
      <c r="C66" s="12"/>
      <c r="D66" s="7">
        <v>2072.21</v>
      </c>
      <c r="E66" s="3"/>
      <c r="F66" s="8">
        <f t="shared" si="12"/>
        <v>1.1856049193498464E-2</v>
      </c>
      <c r="G66" s="3"/>
      <c r="H66" s="7">
        <v>5079.0135276923056</v>
      </c>
      <c r="I66" s="3"/>
      <c r="J66" s="8">
        <f t="shared" si="13"/>
        <v>2.2087373082492815E-2</v>
      </c>
      <c r="K66" s="3"/>
      <c r="L66" s="7">
        <f t="shared" si="14"/>
        <v>-3006.8035276923056</v>
      </c>
      <c r="M66" s="3"/>
      <c r="N66" s="8">
        <f t="shared" si="15"/>
        <v>-0.59200541823689001</v>
      </c>
      <c r="O66" s="12"/>
      <c r="P66" s="7">
        <v>2072.21</v>
      </c>
      <c r="Q66" s="3"/>
      <c r="R66" s="8">
        <f t="shared" si="16"/>
        <v>1.1856049193498464E-2</v>
      </c>
      <c r="S66" s="3"/>
      <c r="T66" s="7">
        <v>5079.0135276923056</v>
      </c>
      <c r="U66" s="3"/>
      <c r="V66" s="8">
        <f t="shared" si="17"/>
        <v>2.2087373082492815E-2</v>
      </c>
      <c r="W66" s="3"/>
      <c r="X66" s="7">
        <f t="shared" si="18"/>
        <v>-3006.8035276923056</v>
      </c>
      <c r="Y66" s="3"/>
      <c r="Z66" s="8">
        <f t="shared" si="19"/>
        <v>-0.59200541823689001</v>
      </c>
    </row>
    <row r="67" spans="1:26" s="24" customFormat="1" hidden="1" outlineLevel="2" x14ac:dyDescent="0.25">
      <c r="A67" s="27"/>
      <c r="B67" s="12" t="str">
        <f>CONCATENATE("          ", "6112", " - ", "COMPENSATION INSURANCE")</f>
        <v xml:space="preserve">          6112 - COMPENSATION INSURANCE</v>
      </c>
      <c r="C67" s="12"/>
      <c r="D67" s="7">
        <v>590.98</v>
      </c>
      <c r="E67" s="3"/>
      <c r="F67" s="8">
        <f t="shared" si="12"/>
        <v>3.3812634589996779E-3</v>
      </c>
      <c r="G67" s="3"/>
      <c r="H67" s="7">
        <v>1227.7766923076949</v>
      </c>
      <c r="I67" s="3"/>
      <c r="J67" s="8">
        <f t="shared" si="13"/>
        <v>5.3392970341842169E-3</v>
      </c>
      <c r="K67" s="3"/>
      <c r="L67" s="7">
        <f t="shared" si="14"/>
        <v>-636.79669230769491</v>
      </c>
      <c r="M67" s="3"/>
      <c r="N67" s="8">
        <f t="shared" si="15"/>
        <v>-0.51865839797853597</v>
      </c>
      <c r="O67" s="12"/>
      <c r="P67" s="7">
        <v>590.98</v>
      </c>
      <c r="Q67" s="3"/>
      <c r="R67" s="8">
        <f t="shared" si="16"/>
        <v>3.3812634589996779E-3</v>
      </c>
      <c r="S67" s="3"/>
      <c r="T67" s="7">
        <v>1227.7766923076949</v>
      </c>
      <c r="U67" s="3"/>
      <c r="V67" s="8">
        <f t="shared" si="17"/>
        <v>5.3392970341842169E-3</v>
      </c>
      <c r="W67" s="3"/>
      <c r="X67" s="7">
        <f t="shared" si="18"/>
        <v>-636.79669230769491</v>
      </c>
      <c r="Y67" s="3"/>
      <c r="Z67" s="8">
        <f t="shared" si="19"/>
        <v>-0.51865839797853597</v>
      </c>
    </row>
    <row r="68" spans="1:26" s="24" customFormat="1" hidden="1" outlineLevel="2" x14ac:dyDescent="0.25">
      <c r="A68" s="27"/>
      <c r="B68" s="12" t="str">
        <f>CONCATENATE("          ", "6113", " - ", "GROUP INSURANCE")</f>
        <v xml:space="preserve">          6113 - GROUP INSURANCE</v>
      </c>
      <c r="C68" s="12"/>
      <c r="D68" s="7">
        <v>4838.6000000000004</v>
      </c>
      <c r="E68" s="3"/>
      <c r="F68" s="8">
        <f t="shared" si="12"/>
        <v>2.7683815649794989E-2</v>
      </c>
      <c r="G68" s="3"/>
      <c r="H68" s="7">
        <v>6112.3076923076906</v>
      </c>
      <c r="I68" s="3"/>
      <c r="J68" s="8">
        <f t="shared" si="13"/>
        <v>2.6580913726436027E-2</v>
      </c>
      <c r="K68" s="3"/>
      <c r="L68" s="7">
        <f t="shared" si="14"/>
        <v>-1273.7076923076902</v>
      </c>
      <c r="M68" s="3"/>
      <c r="N68" s="8">
        <f t="shared" si="15"/>
        <v>-0.20838409262521995</v>
      </c>
      <c r="O68" s="12"/>
      <c r="P68" s="7">
        <v>4838.6000000000004</v>
      </c>
      <c r="Q68" s="3"/>
      <c r="R68" s="8">
        <f t="shared" si="16"/>
        <v>2.7683815649794989E-2</v>
      </c>
      <c r="S68" s="3"/>
      <c r="T68" s="7">
        <v>6112.3076923076906</v>
      </c>
      <c r="U68" s="3"/>
      <c r="V68" s="8">
        <f t="shared" si="17"/>
        <v>2.6580913726436027E-2</v>
      </c>
      <c r="W68" s="3"/>
      <c r="X68" s="7">
        <f t="shared" si="18"/>
        <v>-1273.7076923076902</v>
      </c>
      <c r="Y68" s="3"/>
      <c r="Z68" s="8">
        <f t="shared" si="19"/>
        <v>-0.20838409262521995</v>
      </c>
    </row>
    <row r="69" spans="1:26" s="24" customFormat="1" hidden="1" outlineLevel="2" x14ac:dyDescent="0.25">
      <c r="A69" s="27"/>
      <c r="B69" s="12" t="str">
        <f>CONCATENATE("          ", "6114", " - ", "STATE UNEMPLOYMENT INSURANCE")</f>
        <v xml:space="preserve">          6114 - STATE UNEMPLOYMENT INSURANCE</v>
      </c>
      <c r="C69" s="12"/>
      <c r="D69" s="7">
        <v>67.400000000000006</v>
      </c>
      <c r="E69" s="3"/>
      <c r="F69" s="8">
        <f t="shared" si="12"/>
        <v>3.8562583697684916E-4</v>
      </c>
      <c r="G69" s="3"/>
      <c r="H69" s="7">
        <v>172.55240000000001</v>
      </c>
      <c r="I69" s="3"/>
      <c r="J69" s="8">
        <f t="shared" si="13"/>
        <v>7.503876912907533E-4</v>
      </c>
      <c r="K69" s="3"/>
      <c r="L69" s="7">
        <f t="shared" si="14"/>
        <v>-105.1524</v>
      </c>
      <c r="M69" s="3"/>
      <c r="N69" s="8">
        <f t="shared" si="15"/>
        <v>-0.60939401596268727</v>
      </c>
      <c r="O69" s="12"/>
      <c r="P69" s="7">
        <v>67.400000000000006</v>
      </c>
      <c r="Q69" s="3"/>
      <c r="R69" s="8">
        <f t="shared" si="16"/>
        <v>3.8562583697684916E-4</v>
      </c>
      <c r="S69" s="3"/>
      <c r="T69" s="7">
        <v>172.55240000000001</v>
      </c>
      <c r="U69" s="3"/>
      <c r="V69" s="8">
        <f t="shared" si="17"/>
        <v>7.503876912907533E-4</v>
      </c>
      <c r="W69" s="3"/>
      <c r="X69" s="7">
        <f t="shared" si="18"/>
        <v>-105.1524</v>
      </c>
      <c r="Y69" s="3"/>
      <c r="Z69" s="8">
        <f t="shared" si="19"/>
        <v>-0.60939401596268727</v>
      </c>
    </row>
    <row r="70" spans="1:26" s="24" customFormat="1" hidden="1" outlineLevel="2" x14ac:dyDescent="0.25">
      <c r="A70" s="27"/>
      <c r="B70" s="12" t="str">
        <f>CONCATENATE("          ", "6115", " - ", "P.E.R.S.")</f>
        <v xml:space="preserve">          6115 - P.E.R.S.</v>
      </c>
      <c r="C70" s="12"/>
      <c r="D70" s="7">
        <v>2512.37</v>
      </c>
      <c r="E70" s="3"/>
      <c r="F70" s="8">
        <f t="shared" si="12"/>
        <v>1.4374403324117602E-2</v>
      </c>
      <c r="G70" s="3"/>
      <c r="H70" s="7">
        <v>1678.4884615384569</v>
      </c>
      <c r="I70" s="3"/>
      <c r="J70" s="8">
        <f t="shared" si="13"/>
        <v>7.2993309945964873E-3</v>
      </c>
      <c r="K70" s="3"/>
      <c r="L70" s="7">
        <f t="shared" si="14"/>
        <v>833.88153846154296</v>
      </c>
      <c r="M70" s="3"/>
      <c r="N70" s="8">
        <f t="shared" si="15"/>
        <v>0.49680504666515835</v>
      </c>
      <c r="O70" s="12"/>
      <c r="P70" s="7">
        <v>2512.37</v>
      </c>
      <c r="Q70" s="3"/>
      <c r="R70" s="8">
        <f t="shared" si="16"/>
        <v>1.4374403324117602E-2</v>
      </c>
      <c r="S70" s="3"/>
      <c r="T70" s="7">
        <v>1678.4884615384569</v>
      </c>
      <c r="U70" s="3"/>
      <c r="V70" s="8">
        <f t="shared" si="17"/>
        <v>7.2993309945964873E-3</v>
      </c>
      <c r="W70" s="3"/>
      <c r="X70" s="7">
        <f t="shared" si="18"/>
        <v>833.88153846154296</v>
      </c>
      <c r="Y70" s="3"/>
      <c r="Z70" s="8">
        <f t="shared" si="19"/>
        <v>0.49680504666515835</v>
      </c>
    </row>
    <row r="71" spans="1:26" s="24" customFormat="1" hidden="1" outlineLevel="2" x14ac:dyDescent="0.25">
      <c r="A71" s="27"/>
      <c r="B71" s="12" t="str">
        <f>CONCATENATE("          ", "6116", " - ", "EDUCATIONAL BENEFITS")</f>
        <v xml:space="preserve">          6116 - EDUCATIONAL BENEFITS</v>
      </c>
      <c r="C71" s="12"/>
      <c r="D71" s="7"/>
      <c r="E71" s="3"/>
      <c r="F71" s="8">
        <f t="shared" si="12"/>
        <v>0</v>
      </c>
      <c r="G71" s="3"/>
      <c r="H71" s="7">
        <v>0</v>
      </c>
      <c r="I71" s="3"/>
      <c r="J71" s="8">
        <f t="shared" si="13"/>
        <v>0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/>
      <c r="Q71" s="3"/>
      <c r="R71" s="8">
        <f t="shared" si="16"/>
        <v>0</v>
      </c>
      <c r="S71" s="3"/>
      <c r="T71" s="7">
        <v>0</v>
      </c>
      <c r="U71" s="3"/>
      <c r="V71" s="8">
        <f t="shared" si="17"/>
        <v>0</v>
      </c>
      <c r="W71" s="3"/>
      <c r="X71" s="7">
        <f t="shared" si="18"/>
        <v>0</v>
      </c>
      <c r="Y71" s="3"/>
      <c r="Z71" s="8">
        <f t="shared" si="19"/>
        <v>0</v>
      </c>
    </row>
    <row r="72" spans="1:26" s="24" customFormat="1" hidden="1" outlineLevel="2" x14ac:dyDescent="0.25">
      <c r="A72" s="27"/>
      <c r="B72" s="12" t="str">
        <f>CONCATENATE("          ", "6118", " - ", "VACATION")</f>
        <v xml:space="preserve">          6118 - VACATION</v>
      </c>
      <c r="C72" s="12"/>
      <c r="D72" s="7">
        <v>1625.03</v>
      </c>
      <c r="E72" s="3"/>
      <c r="F72" s="8">
        <f t="shared" si="12"/>
        <v>9.2975304727372261E-3</v>
      </c>
      <c r="G72" s="3"/>
      <c r="H72" s="7">
        <v>1215.8653846153809</v>
      </c>
      <c r="I72" s="3"/>
      <c r="J72" s="8">
        <f t="shared" si="13"/>
        <v>5.2874977043604115E-3</v>
      </c>
      <c r="K72" s="3"/>
      <c r="L72" s="7">
        <f t="shared" si="14"/>
        <v>409.16461538461908</v>
      </c>
      <c r="M72" s="3"/>
      <c r="N72" s="8">
        <f t="shared" si="15"/>
        <v>0.33652131277185066</v>
      </c>
      <c r="O72" s="12"/>
      <c r="P72" s="7">
        <v>1625.03</v>
      </c>
      <c r="Q72" s="3"/>
      <c r="R72" s="8">
        <f t="shared" si="16"/>
        <v>9.2975304727372261E-3</v>
      </c>
      <c r="S72" s="3"/>
      <c r="T72" s="7">
        <v>1215.8653846153809</v>
      </c>
      <c r="U72" s="3"/>
      <c r="V72" s="8">
        <f t="shared" si="17"/>
        <v>5.2874977043604115E-3</v>
      </c>
      <c r="W72" s="3"/>
      <c r="X72" s="7">
        <f t="shared" si="18"/>
        <v>409.16461538461908</v>
      </c>
      <c r="Y72" s="3"/>
      <c r="Z72" s="8">
        <f t="shared" si="19"/>
        <v>0.33652131277185066</v>
      </c>
    </row>
    <row r="73" spans="1:26" s="24" customFormat="1" hidden="1" outlineLevel="2" x14ac:dyDescent="0.25">
      <c r="A73" s="27"/>
      <c r="B73" s="12" t="str">
        <f>CONCATENATE("          ", "6119", " - ", "SICK LEAVE")</f>
        <v xml:space="preserve">          6119 - SICK LEAVE</v>
      </c>
      <c r="C73" s="12"/>
      <c r="D73" s="7">
        <v>1000.53</v>
      </c>
      <c r="E73" s="3"/>
      <c r="F73" s="8">
        <f t="shared" si="12"/>
        <v>5.7244839565348191E-3</v>
      </c>
      <c r="G73" s="3"/>
      <c r="H73" s="7">
        <v>1735.3553846153809</v>
      </c>
      <c r="I73" s="3"/>
      <c r="J73" s="8">
        <f t="shared" si="13"/>
        <v>7.5466311719252404E-3</v>
      </c>
      <c r="K73" s="3"/>
      <c r="L73" s="7">
        <f t="shared" si="14"/>
        <v>-734.82538461538093</v>
      </c>
      <c r="M73" s="3"/>
      <c r="N73" s="8">
        <f t="shared" si="15"/>
        <v>-0.42344374594962025</v>
      </c>
      <c r="O73" s="12"/>
      <c r="P73" s="7">
        <v>1000.53</v>
      </c>
      <c r="Q73" s="3"/>
      <c r="R73" s="8">
        <f t="shared" si="16"/>
        <v>5.7244839565348191E-3</v>
      </c>
      <c r="S73" s="3"/>
      <c r="T73" s="7">
        <v>1735.3553846153809</v>
      </c>
      <c r="U73" s="3"/>
      <c r="V73" s="8">
        <f t="shared" si="17"/>
        <v>7.5466311719252404E-3</v>
      </c>
      <c r="W73" s="3"/>
      <c r="X73" s="7">
        <f t="shared" si="18"/>
        <v>-734.82538461538093</v>
      </c>
      <c r="Y73" s="3"/>
      <c r="Z73" s="8">
        <f t="shared" si="19"/>
        <v>-0.42344374594962025</v>
      </c>
    </row>
    <row r="74" spans="1:26" s="24" customFormat="1" hidden="1" outlineLevel="2" x14ac:dyDescent="0.25">
      <c r="A74" s="27"/>
      <c r="B74" s="12" t="str">
        <f>CONCATENATE("          ", "6156", " - ", "EMPLOYEE MEALS")</f>
        <v xml:space="preserve">          6156 - EMPLOYEE MEALS</v>
      </c>
      <c r="C74" s="12"/>
      <c r="D74" s="7">
        <v>358.31</v>
      </c>
      <c r="E74" s="3"/>
      <c r="F74" s="8">
        <f t="shared" si="12"/>
        <v>2.0500533182073412E-3</v>
      </c>
      <c r="G74" s="3"/>
      <c r="H74" s="7">
        <v>875</v>
      </c>
      <c r="I74" s="3"/>
      <c r="J74" s="8">
        <f t="shared" si="13"/>
        <v>3.8051584902870613E-3</v>
      </c>
      <c r="K74" s="3"/>
      <c r="L74" s="7">
        <f t="shared" si="14"/>
        <v>-516.69000000000005</v>
      </c>
      <c r="M74" s="3"/>
      <c r="N74" s="8">
        <f t="shared" si="15"/>
        <v>-0.59050285714285722</v>
      </c>
      <c r="O74" s="12"/>
      <c r="P74" s="7">
        <v>358.31</v>
      </c>
      <c r="Q74" s="3"/>
      <c r="R74" s="8">
        <f t="shared" si="16"/>
        <v>2.0500533182073412E-3</v>
      </c>
      <c r="S74" s="3"/>
      <c r="T74" s="7">
        <v>875</v>
      </c>
      <c r="U74" s="3"/>
      <c r="V74" s="8">
        <f t="shared" si="17"/>
        <v>3.8051584902870613E-3</v>
      </c>
      <c r="W74" s="3"/>
      <c r="X74" s="7">
        <f t="shared" si="18"/>
        <v>-516.69000000000005</v>
      </c>
      <c r="Y74" s="3"/>
      <c r="Z74" s="8">
        <f t="shared" si="19"/>
        <v>-0.59050285714285722</v>
      </c>
    </row>
    <row r="75" spans="1:26" s="29" customFormat="1" outlineLevel="1" collapsed="1" x14ac:dyDescent="0.25">
      <c r="A75" s="28"/>
      <c r="B75" s="14" t="str">
        <f>CONCATENATE("     ","*Payroll                                          ")</f>
        <v xml:space="preserve">     *Payroll                                          </v>
      </c>
      <c r="C75" s="14"/>
      <c r="D75" s="1">
        <f>SUM(OSRRefD22_1x_0)</f>
        <v>32293.550000000003</v>
      </c>
      <c r="E75" s="1"/>
      <c r="F75" s="5">
        <f t="shared" ref="F75:F85" si="20">IF(D$12=0,0,D75/D$12)</f>
        <v>0.18476598290361612</v>
      </c>
      <c r="G75" s="1"/>
      <c r="H75" s="1">
        <f>SUM(OSRRefH22_1x_0)</f>
        <v>63810.826923076951</v>
      </c>
      <c r="I75" s="1"/>
      <c r="J75" s="5">
        <f t="shared" ref="J75:J85" si="21">IF(H$12=0,0,H75/H$12)</f>
        <v>0.27749749695838222</v>
      </c>
      <c r="K75" s="1"/>
      <c r="L75" s="1">
        <f t="shared" ref="L75:L85" si="22">+D75-H75</f>
        <v>-31517.276923076948</v>
      </c>
      <c r="M75" s="1"/>
      <c r="N75" s="5">
        <f t="shared" ref="N75:N85" si="23">IF(H75=0,0,L75/H75)</f>
        <v>-0.49391738742189595</v>
      </c>
      <c r="O75" s="14"/>
      <c r="P75" s="1">
        <f>SUM(OSRRefP22_1x_0)</f>
        <v>32293.550000000003</v>
      </c>
      <c r="Q75" s="1"/>
      <c r="R75" s="5">
        <f t="shared" ref="R75:R85" si="24">IF(P$12=0,0,P75/P$12)</f>
        <v>0.18476598290361612</v>
      </c>
      <c r="S75" s="1"/>
      <c r="T75" s="1">
        <f>SUM(OSRRefT22_1x_0)</f>
        <v>63810.826923076951</v>
      </c>
      <c r="U75" s="1"/>
      <c r="V75" s="5">
        <f t="shared" ref="V75:V85" si="25">IF(T$12=0,0,T75/T$12)</f>
        <v>0.27749749695838222</v>
      </c>
      <c r="W75" s="1"/>
      <c r="X75" s="1">
        <f t="shared" ref="X75:X85" si="26">+P75-T75</f>
        <v>-31517.276923076948</v>
      </c>
      <c r="Y75" s="1"/>
      <c r="Z75" s="5">
        <f t="shared" ref="Z75:Z85" si="27">IF(T75=0,0,X75/T75)</f>
        <v>-0.49391738742189595</v>
      </c>
    </row>
    <row r="76" spans="1:26" s="24" customFormat="1" hidden="1" outlineLevel="2" x14ac:dyDescent="0.25">
      <c r="A76" s="27"/>
      <c r="B76" s="12" t="str">
        <f>CONCATENATE("          ", "6001", " - ", "ADMINISTRATIVE SALARIES")</f>
        <v xml:space="preserve">          6001 - ADMINISTRATIVE SALARIES</v>
      </c>
      <c r="C76" s="12"/>
      <c r="D76" s="7"/>
      <c r="E76" s="3"/>
      <c r="F76" s="8">
        <f t="shared" si="20"/>
        <v>0</v>
      </c>
      <c r="G76" s="3"/>
      <c r="H76" s="7">
        <v>0</v>
      </c>
      <c r="I76" s="3"/>
      <c r="J76" s="8">
        <f t="shared" si="21"/>
        <v>0</v>
      </c>
      <c r="K76" s="3"/>
      <c r="L76" s="7">
        <f t="shared" si="22"/>
        <v>0</v>
      </c>
      <c r="M76" s="3"/>
      <c r="N76" s="8">
        <f t="shared" si="23"/>
        <v>0</v>
      </c>
      <c r="O76" s="12"/>
      <c r="P76" s="7"/>
      <c r="Q76" s="3"/>
      <c r="R76" s="8">
        <f t="shared" si="24"/>
        <v>0</v>
      </c>
      <c r="S76" s="3"/>
      <c r="T76" s="7">
        <v>0</v>
      </c>
      <c r="U76" s="3"/>
      <c r="V76" s="8">
        <f t="shared" si="25"/>
        <v>0</v>
      </c>
      <c r="W76" s="3"/>
      <c r="X76" s="7">
        <f t="shared" si="26"/>
        <v>0</v>
      </c>
      <c r="Y76" s="3"/>
      <c r="Z76" s="8">
        <f t="shared" si="27"/>
        <v>0</v>
      </c>
    </row>
    <row r="77" spans="1:26" s="24" customFormat="1" hidden="1" outlineLevel="2" x14ac:dyDescent="0.25">
      <c r="A77" s="27"/>
      <c r="B77" s="12" t="str">
        <f>CONCATENATE("          ", "6002", " - ", "STAFF SALARIES")</f>
        <v xml:space="preserve">          6002 - STAFF SALARIES</v>
      </c>
      <c r="C77" s="12"/>
      <c r="D77" s="7">
        <v>22090.400000000001</v>
      </c>
      <c r="E77" s="3"/>
      <c r="F77" s="8">
        <f t="shared" si="20"/>
        <v>0.12638915414174168</v>
      </c>
      <c r="G77" s="3"/>
      <c r="H77" s="7">
        <v>17565.576923076947</v>
      </c>
      <c r="I77" s="3"/>
      <c r="J77" s="8">
        <f t="shared" si="21"/>
        <v>7.6388347617870542E-2</v>
      </c>
      <c r="K77" s="3"/>
      <c r="L77" s="7">
        <f t="shared" si="22"/>
        <v>4524.823076923054</v>
      </c>
      <c r="M77" s="3"/>
      <c r="N77" s="8">
        <f t="shared" si="23"/>
        <v>0.25759604120821811</v>
      </c>
      <c r="O77" s="12"/>
      <c r="P77" s="7">
        <v>22090.400000000001</v>
      </c>
      <c r="Q77" s="3"/>
      <c r="R77" s="8">
        <f t="shared" si="24"/>
        <v>0.12638915414174168</v>
      </c>
      <c r="S77" s="3"/>
      <c r="T77" s="7">
        <v>17565.576923076947</v>
      </c>
      <c r="U77" s="3"/>
      <c r="V77" s="8">
        <f t="shared" si="25"/>
        <v>7.6388347617870542E-2</v>
      </c>
      <c r="W77" s="3"/>
      <c r="X77" s="7">
        <f t="shared" si="26"/>
        <v>4524.823076923054</v>
      </c>
      <c r="Y77" s="3"/>
      <c r="Z77" s="8">
        <f t="shared" si="27"/>
        <v>0.25759604120821811</v>
      </c>
    </row>
    <row r="78" spans="1:26" s="24" customFormat="1" hidden="1" outlineLevel="2" x14ac:dyDescent="0.25">
      <c r="A78" s="27"/>
      <c r="B78" s="12" t="str">
        <f>CONCATENATE("          ", "6003", " - ", "STAFF HOURLY-9 MONTH")</f>
        <v xml:space="preserve">          6003 - STAFF HOURLY-9 MONTH</v>
      </c>
      <c r="C78" s="12"/>
      <c r="D78" s="7"/>
      <c r="E78" s="3"/>
      <c r="F78" s="8">
        <f t="shared" si="20"/>
        <v>0</v>
      </c>
      <c r="G78" s="3"/>
      <c r="H78" s="7">
        <v>0</v>
      </c>
      <c r="I78" s="3"/>
      <c r="J78" s="8">
        <f t="shared" si="21"/>
        <v>0</v>
      </c>
      <c r="K78" s="3"/>
      <c r="L78" s="7">
        <f t="shared" si="22"/>
        <v>0</v>
      </c>
      <c r="M78" s="3"/>
      <c r="N78" s="8">
        <f t="shared" si="23"/>
        <v>0</v>
      </c>
      <c r="O78" s="12"/>
      <c r="P78" s="7"/>
      <c r="Q78" s="3"/>
      <c r="R78" s="8">
        <f t="shared" si="24"/>
        <v>0</v>
      </c>
      <c r="S78" s="3"/>
      <c r="T78" s="7">
        <v>0</v>
      </c>
      <c r="U78" s="3"/>
      <c r="V78" s="8">
        <f t="shared" si="25"/>
        <v>0</v>
      </c>
      <c r="W78" s="3"/>
      <c r="X78" s="7">
        <f t="shared" si="26"/>
        <v>0</v>
      </c>
      <c r="Y78" s="3"/>
      <c r="Z78" s="8">
        <f t="shared" si="27"/>
        <v>0</v>
      </c>
    </row>
    <row r="79" spans="1:26" s="24" customFormat="1" hidden="1" outlineLevel="2" x14ac:dyDescent="0.25">
      <c r="A79" s="27"/>
      <c r="B79" s="12" t="str">
        <f>CONCATENATE("          ", "6004", " - ", "STAFF HOURLY")</f>
        <v xml:space="preserve">          6004 - STAFF HOURLY</v>
      </c>
      <c r="C79" s="12"/>
      <c r="D79" s="7">
        <v>6739.72</v>
      </c>
      <c r="E79" s="3"/>
      <c r="F79" s="8">
        <f t="shared" si="20"/>
        <v>3.8560981691240497E-2</v>
      </c>
      <c r="G79" s="3"/>
      <c r="H79" s="7">
        <v>8321.25</v>
      </c>
      <c r="I79" s="3"/>
      <c r="J79" s="8">
        <f t="shared" si="21"/>
        <v>3.6187057242629952E-2</v>
      </c>
      <c r="K79" s="3"/>
      <c r="L79" s="7">
        <f t="shared" si="22"/>
        <v>-1581.5299999999997</v>
      </c>
      <c r="M79" s="3"/>
      <c r="N79" s="8">
        <f t="shared" si="23"/>
        <v>-0.19005918581943815</v>
      </c>
      <c r="O79" s="12"/>
      <c r="P79" s="7">
        <v>6739.72</v>
      </c>
      <c r="Q79" s="3"/>
      <c r="R79" s="8">
        <f t="shared" si="24"/>
        <v>3.8560981691240497E-2</v>
      </c>
      <c r="S79" s="3"/>
      <c r="T79" s="7">
        <v>8321.25</v>
      </c>
      <c r="U79" s="3"/>
      <c r="V79" s="8">
        <f t="shared" si="25"/>
        <v>3.6187057242629952E-2</v>
      </c>
      <c r="W79" s="3"/>
      <c r="X79" s="7">
        <f t="shared" si="26"/>
        <v>-1581.5299999999997</v>
      </c>
      <c r="Y79" s="3"/>
      <c r="Z79" s="8">
        <f t="shared" si="27"/>
        <v>-0.19005918581943815</v>
      </c>
    </row>
    <row r="80" spans="1:26" s="24" customFormat="1" hidden="1" outlineLevel="2" x14ac:dyDescent="0.25">
      <c r="A80" s="27"/>
      <c r="B80" s="12" t="str">
        <f>CONCATENATE("          ", "6005", " - ", "TEMPORARY WAGES-HOURLY")</f>
        <v xml:space="preserve">          6005 - TEMPORARY WAGES-HOURLY</v>
      </c>
      <c r="C80" s="12"/>
      <c r="D80" s="7">
        <v>1937.43</v>
      </c>
      <c r="E80" s="3"/>
      <c r="F80" s="8">
        <f t="shared" si="20"/>
        <v>1.108491194857651E-2</v>
      </c>
      <c r="G80" s="3"/>
      <c r="H80" s="7">
        <v>0</v>
      </c>
      <c r="I80" s="3"/>
      <c r="J80" s="8">
        <f t="shared" si="21"/>
        <v>0</v>
      </c>
      <c r="K80" s="3"/>
      <c r="L80" s="7">
        <f t="shared" si="22"/>
        <v>1937.43</v>
      </c>
      <c r="M80" s="3"/>
      <c r="N80" s="8">
        <f t="shared" si="23"/>
        <v>0</v>
      </c>
      <c r="O80" s="12"/>
      <c r="P80" s="7">
        <v>1937.43</v>
      </c>
      <c r="Q80" s="3"/>
      <c r="R80" s="8">
        <f t="shared" si="24"/>
        <v>1.108491194857651E-2</v>
      </c>
      <c r="S80" s="3"/>
      <c r="T80" s="7">
        <v>0</v>
      </c>
      <c r="U80" s="3"/>
      <c r="V80" s="8">
        <f t="shared" si="25"/>
        <v>0</v>
      </c>
      <c r="W80" s="3"/>
      <c r="X80" s="7">
        <f t="shared" si="26"/>
        <v>1937.43</v>
      </c>
      <c r="Y80" s="3"/>
      <c r="Z80" s="8">
        <f t="shared" si="27"/>
        <v>0</v>
      </c>
    </row>
    <row r="81" spans="1:26" s="24" customFormat="1" hidden="1" outlineLevel="2" x14ac:dyDescent="0.25">
      <c r="A81" s="27"/>
      <c r="B81" s="12" t="str">
        <f>CONCATENATE("          ", "6006", " - ", "TEMPORARY PART TIME")</f>
        <v xml:space="preserve">          6006 - TEMPORARY PART TIME</v>
      </c>
      <c r="C81" s="12"/>
      <c r="D81" s="7"/>
      <c r="E81" s="3"/>
      <c r="F81" s="8">
        <f t="shared" si="20"/>
        <v>0</v>
      </c>
      <c r="G81" s="3"/>
      <c r="H81" s="7">
        <v>0</v>
      </c>
      <c r="I81" s="3"/>
      <c r="J81" s="8">
        <f t="shared" si="21"/>
        <v>0</v>
      </c>
      <c r="K81" s="3"/>
      <c r="L81" s="7">
        <f t="shared" si="22"/>
        <v>0</v>
      </c>
      <c r="M81" s="3"/>
      <c r="N81" s="8">
        <f t="shared" si="23"/>
        <v>0</v>
      </c>
      <c r="O81" s="12"/>
      <c r="P81" s="7"/>
      <c r="Q81" s="3"/>
      <c r="R81" s="8">
        <f t="shared" si="24"/>
        <v>0</v>
      </c>
      <c r="S81" s="3"/>
      <c r="T81" s="7">
        <v>0</v>
      </c>
      <c r="U81" s="3"/>
      <c r="V81" s="8">
        <f t="shared" si="25"/>
        <v>0</v>
      </c>
      <c r="W81" s="3"/>
      <c r="X81" s="7">
        <f t="shared" si="26"/>
        <v>0</v>
      </c>
      <c r="Y81" s="3"/>
      <c r="Z81" s="8">
        <f t="shared" si="27"/>
        <v>0</v>
      </c>
    </row>
    <row r="82" spans="1:26" s="24" customFormat="1" hidden="1" outlineLevel="2" x14ac:dyDescent="0.25">
      <c r="A82" s="27"/>
      <c r="B82" s="12" t="str">
        <f>CONCATENATE("          ", "6007", " - ", "STUDENT HOURLY")</f>
        <v xml:space="preserve">          6007 - STUDENT HOURLY</v>
      </c>
      <c r="C82" s="12"/>
      <c r="D82" s="7">
        <v>1526</v>
      </c>
      <c r="E82" s="3"/>
      <c r="F82" s="8">
        <f t="shared" si="20"/>
        <v>8.7309351220574444E-3</v>
      </c>
      <c r="G82" s="3"/>
      <c r="H82" s="7">
        <v>37924</v>
      </c>
      <c r="I82" s="3"/>
      <c r="J82" s="8">
        <f t="shared" si="21"/>
        <v>0.16492209209788172</v>
      </c>
      <c r="K82" s="3"/>
      <c r="L82" s="7">
        <f t="shared" si="22"/>
        <v>-36398</v>
      </c>
      <c r="M82" s="3"/>
      <c r="N82" s="8">
        <f t="shared" si="23"/>
        <v>-0.95976162852019831</v>
      </c>
      <c r="O82" s="12"/>
      <c r="P82" s="7">
        <v>1526</v>
      </c>
      <c r="Q82" s="3"/>
      <c r="R82" s="8">
        <f t="shared" si="24"/>
        <v>8.7309351220574444E-3</v>
      </c>
      <c r="S82" s="3"/>
      <c r="T82" s="7">
        <v>37924</v>
      </c>
      <c r="U82" s="3"/>
      <c r="V82" s="8">
        <f t="shared" si="25"/>
        <v>0.16492209209788172</v>
      </c>
      <c r="W82" s="3"/>
      <c r="X82" s="7">
        <f t="shared" si="26"/>
        <v>-36398</v>
      </c>
      <c r="Y82" s="3"/>
      <c r="Z82" s="8">
        <f t="shared" si="27"/>
        <v>-0.95976162852019831</v>
      </c>
    </row>
    <row r="83" spans="1:26" s="24" customFormat="1" hidden="1" outlineLevel="2" x14ac:dyDescent="0.25">
      <c r="A83" s="27"/>
      <c r="B83" s="12" t="str">
        <f>CONCATENATE("          ", "6008", " - ", "STUDENT HOURLY-FICA EXEMPT")</f>
        <v xml:space="preserve">          6008 - STUDENT HOURLY-FICA EXEMPT</v>
      </c>
      <c r="C83" s="12"/>
      <c r="D83" s="7"/>
      <c r="E83" s="3"/>
      <c r="F83" s="8">
        <f t="shared" si="20"/>
        <v>0</v>
      </c>
      <c r="G83" s="3"/>
      <c r="H83" s="7">
        <v>0</v>
      </c>
      <c r="I83" s="3"/>
      <c r="J83" s="8">
        <f t="shared" si="21"/>
        <v>0</v>
      </c>
      <c r="K83" s="3"/>
      <c r="L83" s="7">
        <f t="shared" si="22"/>
        <v>0</v>
      </c>
      <c r="M83" s="3"/>
      <c r="N83" s="8">
        <f t="shared" si="23"/>
        <v>0</v>
      </c>
      <c r="O83" s="12"/>
      <c r="P83" s="7"/>
      <c r="Q83" s="3"/>
      <c r="R83" s="8">
        <f t="shared" si="24"/>
        <v>0</v>
      </c>
      <c r="S83" s="3"/>
      <c r="T83" s="7">
        <v>0</v>
      </c>
      <c r="U83" s="3"/>
      <c r="V83" s="8">
        <f t="shared" si="25"/>
        <v>0</v>
      </c>
      <c r="W83" s="3"/>
      <c r="X83" s="7">
        <f t="shared" si="26"/>
        <v>0</v>
      </c>
      <c r="Y83" s="3"/>
      <c r="Z83" s="8">
        <f t="shared" si="27"/>
        <v>0</v>
      </c>
    </row>
    <row r="84" spans="1:26" s="24" customFormat="1" hidden="1" outlineLevel="2" x14ac:dyDescent="0.25">
      <c r="A84" s="27"/>
      <c r="B84" s="12" t="str">
        <f>CONCATENATE("          ", "6009", " - ", "TEMPORARY-SEASONAL")</f>
        <v xml:space="preserve">          6009 - TEMPORARY-SEASONAL</v>
      </c>
      <c r="C84" s="12"/>
      <c r="D84" s="7"/>
      <c r="E84" s="3"/>
      <c r="F84" s="8">
        <f t="shared" si="20"/>
        <v>0</v>
      </c>
      <c r="G84" s="3"/>
      <c r="H84" s="7">
        <v>0</v>
      </c>
      <c r="I84" s="3"/>
      <c r="J84" s="8">
        <f t="shared" si="21"/>
        <v>0</v>
      </c>
      <c r="K84" s="3"/>
      <c r="L84" s="7">
        <f t="shared" si="22"/>
        <v>0</v>
      </c>
      <c r="M84" s="3"/>
      <c r="N84" s="8">
        <f t="shared" si="23"/>
        <v>0</v>
      </c>
      <c r="O84" s="12"/>
      <c r="P84" s="7"/>
      <c r="Q84" s="3"/>
      <c r="R84" s="8">
        <f t="shared" si="24"/>
        <v>0</v>
      </c>
      <c r="S84" s="3"/>
      <c r="T84" s="7">
        <v>0</v>
      </c>
      <c r="U84" s="3"/>
      <c r="V84" s="8">
        <f t="shared" si="25"/>
        <v>0</v>
      </c>
      <c r="W84" s="3"/>
      <c r="X84" s="7">
        <f t="shared" si="26"/>
        <v>0</v>
      </c>
      <c r="Y84" s="3"/>
      <c r="Z84" s="8">
        <f t="shared" si="27"/>
        <v>0</v>
      </c>
    </row>
    <row r="85" spans="1:26" s="24" customFormat="1" hidden="1" outlineLevel="2" x14ac:dyDescent="0.25">
      <c r="A85" s="27"/>
      <c r="B85" s="12" t="str">
        <f>CONCATENATE("          ", "6010", " - ", "GRATUITY")</f>
        <v xml:space="preserve">          6010 - GRATUITY</v>
      </c>
      <c r="C85" s="12"/>
      <c r="D85" s="7"/>
      <c r="E85" s="3"/>
      <c r="F85" s="8">
        <f t="shared" si="20"/>
        <v>0</v>
      </c>
      <c r="G85" s="3"/>
      <c r="H85" s="7">
        <v>0</v>
      </c>
      <c r="I85" s="3"/>
      <c r="J85" s="8">
        <f t="shared" si="21"/>
        <v>0</v>
      </c>
      <c r="K85" s="3"/>
      <c r="L85" s="7">
        <f t="shared" si="22"/>
        <v>0</v>
      </c>
      <c r="M85" s="3"/>
      <c r="N85" s="8">
        <f t="shared" si="23"/>
        <v>0</v>
      </c>
      <c r="O85" s="12"/>
      <c r="P85" s="7"/>
      <c r="Q85" s="3"/>
      <c r="R85" s="8">
        <f t="shared" si="24"/>
        <v>0</v>
      </c>
      <c r="S85" s="3"/>
      <c r="T85" s="7">
        <v>0</v>
      </c>
      <c r="U85" s="3"/>
      <c r="V85" s="8">
        <f t="shared" si="25"/>
        <v>0</v>
      </c>
      <c r="W85" s="3"/>
      <c r="X85" s="7">
        <f t="shared" si="26"/>
        <v>0</v>
      </c>
      <c r="Y85" s="3"/>
      <c r="Z85" s="8">
        <f t="shared" si="27"/>
        <v>0</v>
      </c>
    </row>
    <row r="86" spans="1:26" s="29" customFormat="1" outlineLevel="1" collapsed="1" x14ac:dyDescent="0.25">
      <c r="A86" s="28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SUM(OSRRefD22_2x_0)</f>
        <v>1340.93</v>
      </c>
      <c r="E86" s="1"/>
      <c r="F86" s="5">
        <f t="shared" ref="F86:F100" si="28">IF(D$12=0,0,D86/D$12)</f>
        <v>7.6720660768155235E-3</v>
      </c>
      <c r="G86" s="1"/>
      <c r="H86" s="1">
        <f>SUM(OSRRefH22_2x_0)</f>
        <v>630</v>
      </c>
      <c r="I86" s="1"/>
      <c r="J86" s="5">
        <f t="shared" ref="J86:J100" si="29">IF(H$12=0,0,H86/H$12)</f>
        <v>2.7397141130066842E-3</v>
      </c>
      <c r="K86" s="1"/>
      <c r="L86" s="1">
        <f t="shared" ref="L86:L100" si="30">+D86-H86</f>
        <v>710.93000000000006</v>
      </c>
      <c r="M86" s="1"/>
      <c r="N86" s="5">
        <f t="shared" ref="N86:N100" si="31">IF(H86=0,0,L86/H86)</f>
        <v>1.1284603174603176</v>
      </c>
      <c r="O86" s="14"/>
      <c r="P86" s="1">
        <f>SUM(OSRRefP22_2x_0)</f>
        <v>1340.93</v>
      </c>
      <c r="Q86" s="1"/>
      <c r="R86" s="5">
        <f t="shared" ref="R86:R100" si="32">IF(P$12=0,0,P86/P$12)</f>
        <v>7.6720660768155235E-3</v>
      </c>
      <c r="S86" s="1"/>
      <c r="T86" s="1">
        <f>SUM(OSRRefT22_2x_0)</f>
        <v>630</v>
      </c>
      <c r="U86" s="1"/>
      <c r="V86" s="5">
        <f t="shared" ref="V86:V100" si="33">IF(T$12=0,0,T86/T$12)</f>
        <v>2.7397141130066842E-3</v>
      </c>
      <c r="W86" s="1"/>
      <c r="X86" s="1">
        <f t="shared" ref="X86:X100" si="34">+P86-T86</f>
        <v>710.93000000000006</v>
      </c>
      <c r="Y86" s="1"/>
      <c r="Z86" s="5">
        <f t="shared" ref="Z86:Z100" si="35">IF(T86=0,0,X86/T86)</f>
        <v>1.1284603174603176</v>
      </c>
    </row>
    <row r="87" spans="1:26" s="24" customFormat="1" hidden="1" outlineLevel="2" x14ac:dyDescent="0.25">
      <c r="A87" s="27"/>
      <c r="B87" s="12" t="str">
        <f>CONCATENATE("          ", "6362", " - ", "ADVERTISING EXPENSE")</f>
        <v xml:space="preserve">          6362 - ADVERTISING EXPENSE</v>
      </c>
      <c r="C87" s="12"/>
      <c r="D87" s="7">
        <v>1340.93</v>
      </c>
      <c r="E87" s="3"/>
      <c r="F87" s="8">
        <f t="shared" si="28"/>
        <v>7.6720660768155235E-3</v>
      </c>
      <c r="G87" s="3"/>
      <c r="H87" s="7">
        <v>630</v>
      </c>
      <c r="I87" s="3"/>
      <c r="J87" s="8">
        <f t="shared" si="29"/>
        <v>2.7397141130066842E-3</v>
      </c>
      <c r="K87" s="3"/>
      <c r="L87" s="7">
        <f t="shared" si="30"/>
        <v>710.93000000000006</v>
      </c>
      <c r="M87" s="3"/>
      <c r="N87" s="8">
        <f t="shared" si="31"/>
        <v>1.1284603174603176</v>
      </c>
      <c r="O87" s="12"/>
      <c r="P87" s="7">
        <v>1340.93</v>
      </c>
      <c r="Q87" s="3"/>
      <c r="R87" s="8">
        <f t="shared" si="32"/>
        <v>7.6720660768155235E-3</v>
      </c>
      <c r="S87" s="3"/>
      <c r="T87" s="7">
        <v>630</v>
      </c>
      <c r="U87" s="3"/>
      <c r="V87" s="8">
        <f t="shared" si="33"/>
        <v>2.7397141130066842E-3</v>
      </c>
      <c r="W87" s="3"/>
      <c r="X87" s="7">
        <f t="shared" si="34"/>
        <v>710.93000000000006</v>
      </c>
      <c r="Y87" s="3"/>
      <c r="Z87" s="8">
        <f t="shared" si="35"/>
        <v>1.1284603174603176</v>
      </c>
    </row>
    <row r="88" spans="1:26" s="29" customFormat="1" outlineLevel="1" collapsed="1" x14ac:dyDescent="0.25">
      <c r="A88" s="28"/>
      <c r="B88" s="14" t="str">
        <f>CONCATENATE("     ","Bad Debts/Over/Short                              ")</f>
        <v xml:space="preserve">     Bad Debts/Over/Short                              </v>
      </c>
      <c r="C88" s="14"/>
      <c r="D88" s="1">
        <f>SUM(OSRRefD22_3x_0)</f>
        <v>-0.9</v>
      </c>
      <c r="E88" s="1"/>
      <c r="F88" s="5">
        <f t="shared" si="28"/>
        <v>-5.1493064284742461E-6</v>
      </c>
      <c r="G88" s="1"/>
      <c r="H88" s="1">
        <f>SUM(OSRRefH22_3x_0)</f>
        <v>10</v>
      </c>
      <c r="I88" s="1"/>
      <c r="J88" s="5">
        <f t="shared" si="29"/>
        <v>4.3487525603280699E-5</v>
      </c>
      <c r="K88" s="1"/>
      <c r="L88" s="1">
        <f t="shared" si="30"/>
        <v>-10.9</v>
      </c>
      <c r="M88" s="1"/>
      <c r="N88" s="5">
        <f t="shared" si="31"/>
        <v>-1.0900000000000001</v>
      </c>
      <c r="O88" s="14"/>
      <c r="P88" s="1">
        <f>SUM(OSRRefP22_3x_0)</f>
        <v>-0.9</v>
      </c>
      <c r="Q88" s="1"/>
      <c r="R88" s="5">
        <f t="shared" si="32"/>
        <v>-5.1493064284742461E-6</v>
      </c>
      <c r="S88" s="1"/>
      <c r="T88" s="1">
        <f>SUM(OSRRefT22_3x_0)</f>
        <v>10</v>
      </c>
      <c r="U88" s="1"/>
      <c r="V88" s="5">
        <f t="shared" si="33"/>
        <v>4.3487525603280699E-5</v>
      </c>
      <c r="W88" s="1"/>
      <c r="X88" s="1">
        <f t="shared" si="34"/>
        <v>-10.9</v>
      </c>
      <c r="Y88" s="1"/>
      <c r="Z88" s="5">
        <f t="shared" si="35"/>
        <v>-1.0900000000000001</v>
      </c>
    </row>
    <row r="89" spans="1:26" s="24" customFormat="1" hidden="1" outlineLevel="2" x14ac:dyDescent="0.25">
      <c r="A89" s="27"/>
      <c r="B89" s="12" t="str">
        <f>CONCATENATE("          ", "6272", " - ", "CASH (OVER/SHORT)")</f>
        <v xml:space="preserve">          6272 - CASH (OVER/SHORT)</v>
      </c>
      <c r="C89" s="12"/>
      <c r="D89" s="7">
        <v>-0.9</v>
      </c>
      <c r="E89" s="3"/>
      <c r="F89" s="8">
        <f t="shared" si="28"/>
        <v>-5.1493064284742461E-6</v>
      </c>
      <c r="G89" s="3"/>
      <c r="H89" s="7">
        <v>10</v>
      </c>
      <c r="I89" s="3"/>
      <c r="J89" s="8">
        <f t="shared" si="29"/>
        <v>4.3487525603280699E-5</v>
      </c>
      <c r="K89" s="3"/>
      <c r="L89" s="7">
        <f t="shared" si="30"/>
        <v>-10.9</v>
      </c>
      <c r="M89" s="3"/>
      <c r="N89" s="8">
        <f t="shared" si="31"/>
        <v>-1.0900000000000001</v>
      </c>
      <c r="O89" s="12"/>
      <c r="P89" s="7">
        <v>-0.9</v>
      </c>
      <c r="Q89" s="3"/>
      <c r="R89" s="8">
        <f t="shared" si="32"/>
        <v>-5.1493064284742461E-6</v>
      </c>
      <c r="S89" s="3"/>
      <c r="T89" s="7">
        <v>10</v>
      </c>
      <c r="U89" s="3"/>
      <c r="V89" s="8">
        <f t="shared" si="33"/>
        <v>4.3487525603280699E-5</v>
      </c>
      <c r="W89" s="3"/>
      <c r="X89" s="7">
        <f t="shared" si="34"/>
        <v>-10.9</v>
      </c>
      <c r="Y89" s="3"/>
      <c r="Z89" s="8">
        <f t="shared" si="35"/>
        <v>-1.0900000000000001</v>
      </c>
    </row>
    <row r="90" spans="1:26" s="29" customFormat="1" outlineLevel="1" collapsed="1" x14ac:dyDescent="0.25">
      <c r="A90" s="28"/>
      <c r="B90" s="14" t="str">
        <f>CONCATENATE("     ","Bank/card Fees                                    ")</f>
        <v xml:space="preserve">     Bank/card Fees                                    </v>
      </c>
      <c r="C90" s="14"/>
      <c r="D90" s="1">
        <f>SUM(OSRRefD22_4x_0)</f>
        <v>306.89</v>
      </c>
      <c r="E90" s="1"/>
      <c r="F90" s="5">
        <f t="shared" si="28"/>
        <v>1.755856277593846E-3</v>
      </c>
      <c r="G90" s="1"/>
      <c r="H90" s="1">
        <f>SUM(OSRRefH22_4x_0)</f>
        <v>600</v>
      </c>
      <c r="I90" s="1"/>
      <c r="J90" s="5">
        <f t="shared" si="29"/>
        <v>2.6092515361968421E-3</v>
      </c>
      <c r="K90" s="1"/>
      <c r="L90" s="1">
        <f t="shared" si="30"/>
        <v>-293.11</v>
      </c>
      <c r="M90" s="1"/>
      <c r="N90" s="5">
        <f t="shared" si="31"/>
        <v>-0.48851666666666671</v>
      </c>
      <c r="O90" s="14"/>
      <c r="P90" s="1">
        <f>SUM(OSRRefP22_4x_0)</f>
        <v>306.89</v>
      </c>
      <c r="Q90" s="1"/>
      <c r="R90" s="5">
        <f t="shared" si="32"/>
        <v>1.755856277593846E-3</v>
      </c>
      <c r="S90" s="1"/>
      <c r="T90" s="1">
        <f>SUM(OSRRefT22_4x_0)</f>
        <v>600</v>
      </c>
      <c r="U90" s="1"/>
      <c r="V90" s="5">
        <f t="shared" si="33"/>
        <v>2.6092515361968421E-3</v>
      </c>
      <c r="W90" s="1"/>
      <c r="X90" s="1">
        <f t="shared" si="34"/>
        <v>-293.11</v>
      </c>
      <c r="Y90" s="1"/>
      <c r="Z90" s="5">
        <f t="shared" si="35"/>
        <v>-0.48851666666666671</v>
      </c>
    </row>
    <row r="91" spans="1:26" s="24" customFormat="1" hidden="1" outlineLevel="2" x14ac:dyDescent="0.25">
      <c r="A91" s="27"/>
      <c r="B91" s="12" t="str">
        <f>CONCATENATE("          ", "6381", " - ", "BANK/CREDIT CARD FEES")</f>
        <v xml:space="preserve">          6381 - BANK/CREDIT CARD FEES</v>
      </c>
      <c r="C91" s="12"/>
      <c r="D91" s="7">
        <v>306.89</v>
      </c>
      <c r="E91" s="3"/>
      <c r="F91" s="8">
        <f t="shared" si="28"/>
        <v>1.755856277593846E-3</v>
      </c>
      <c r="G91" s="3"/>
      <c r="H91" s="7">
        <v>600</v>
      </c>
      <c r="I91" s="3"/>
      <c r="J91" s="8">
        <f t="shared" si="29"/>
        <v>2.6092515361968421E-3</v>
      </c>
      <c r="K91" s="3"/>
      <c r="L91" s="7">
        <f t="shared" si="30"/>
        <v>-293.11</v>
      </c>
      <c r="M91" s="3"/>
      <c r="N91" s="8">
        <f t="shared" si="31"/>
        <v>-0.48851666666666671</v>
      </c>
      <c r="O91" s="12"/>
      <c r="P91" s="7">
        <v>306.89</v>
      </c>
      <c r="Q91" s="3"/>
      <c r="R91" s="8">
        <f t="shared" si="32"/>
        <v>1.755856277593846E-3</v>
      </c>
      <c r="S91" s="3"/>
      <c r="T91" s="7">
        <v>600</v>
      </c>
      <c r="U91" s="3"/>
      <c r="V91" s="8">
        <f t="shared" si="33"/>
        <v>2.6092515361968421E-3</v>
      </c>
      <c r="W91" s="3"/>
      <c r="X91" s="7">
        <f t="shared" si="34"/>
        <v>-293.11</v>
      </c>
      <c r="Y91" s="3"/>
      <c r="Z91" s="8">
        <f t="shared" si="35"/>
        <v>-0.48851666666666671</v>
      </c>
    </row>
    <row r="92" spans="1:26" s="29" customFormat="1" outlineLevel="1" collapsed="1" x14ac:dyDescent="0.25">
      <c r="A92" s="28"/>
      <c r="B92" s="14" t="str">
        <f>CONCATENATE("     ","Discounts and Markdowns                           ")</f>
        <v xml:space="preserve">     Discounts and Markdowns                           </v>
      </c>
      <c r="C92" s="14"/>
      <c r="D92" s="1">
        <f>SUM(OSRRefD22_5x_0)</f>
        <v>0</v>
      </c>
      <c r="E92" s="1"/>
      <c r="F92" s="5">
        <f t="shared" si="28"/>
        <v>0</v>
      </c>
      <c r="G92" s="1"/>
      <c r="H92" s="1">
        <f>SUM(OSRRefH22_5x_0)</f>
        <v>18469</v>
      </c>
      <c r="I92" s="1"/>
      <c r="J92" s="5">
        <f t="shared" si="29"/>
        <v>8.0317111036699126E-2</v>
      </c>
      <c r="K92" s="1"/>
      <c r="L92" s="1">
        <f t="shared" si="30"/>
        <v>-18469</v>
      </c>
      <c r="M92" s="1"/>
      <c r="N92" s="5">
        <f t="shared" si="31"/>
        <v>-1</v>
      </c>
      <c r="O92" s="14"/>
      <c r="P92" s="1">
        <f>SUM(OSRRefP22_5x_0)</f>
        <v>0</v>
      </c>
      <c r="Q92" s="1"/>
      <c r="R92" s="5">
        <f t="shared" si="32"/>
        <v>0</v>
      </c>
      <c r="S92" s="1"/>
      <c r="T92" s="1">
        <f>SUM(OSRRefT22_5x_0)</f>
        <v>18469</v>
      </c>
      <c r="U92" s="1"/>
      <c r="V92" s="5">
        <f t="shared" si="33"/>
        <v>8.0317111036699126E-2</v>
      </c>
      <c r="W92" s="1"/>
      <c r="X92" s="1">
        <f t="shared" si="34"/>
        <v>-18469</v>
      </c>
      <c r="Y92" s="1"/>
      <c r="Z92" s="5">
        <f t="shared" si="35"/>
        <v>-1</v>
      </c>
    </row>
    <row r="93" spans="1:26" s="24" customFormat="1" hidden="1" outlineLevel="2" x14ac:dyDescent="0.25">
      <c r="A93" s="27"/>
      <c r="B93" s="12" t="str">
        <f>CONCATENATE("          ", "6382", " - ", "DISCOUNTS/MARK DOWNS")</f>
        <v xml:space="preserve">          6382 - DISCOUNTS/MARK DOWNS</v>
      </c>
      <c r="C93" s="12"/>
      <c r="D93" s="7"/>
      <c r="E93" s="3"/>
      <c r="F93" s="8">
        <f t="shared" si="28"/>
        <v>0</v>
      </c>
      <c r="G93" s="3"/>
      <c r="H93" s="7">
        <v>18469</v>
      </c>
      <c r="I93" s="3"/>
      <c r="J93" s="8">
        <f t="shared" si="29"/>
        <v>8.0317111036699126E-2</v>
      </c>
      <c r="K93" s="3"/>
      <c r="L93" s="7">
        <f t="shared" si="30"/>
        <v>-18469</v>
      </c>
      <c r="M93" s="3"/>
      <c r="N93" s="8">
        <f t="shared" si="31"/>
        <v>-1</v>
      </c>
      <c r="O93" s="12"/>
      <c r="P93" s="7"/>
      <c r="Q93" s="3"/>
      <c r="R93" s="8">
        <f t="shared" si="32"/>
        <v>0</v>
      </c>
      <c r="S93" s="3"/>
      <c r="T93" s="7">
        <v>18469</v>
      </c>
      <c r="U93" s="3"/>
      <c r="V93" s="8">
        <f t="shared" si="33"/>
        <v>8.0317111036699126E-2</v>
      </c>
      <c r="W93" s="3"/>
      <c r="X93" s="7">
        <f t="shared" si="34"/>
        <v>-18469</v>
      </c>
      <c r="Y93" s="3"/>
      <c r="Z93" s="8">
        <f t="shared" si="35"/>
        <v>-1</v>
      </c>
    </row>
    <row r="94" spans="1:26" s="29" customFormat="1" outlineLevel="1" collapsed="1" x14ac:dyDescent="0.25">
      <c r="A94" s="28"/>
      <c r="B94" s="14" t="str">
        <f>CONCATENATE("     ","Donations                                         ")</f>
        <v xml:space="preserve">     Donations                                         </v>
      </c>
      <c r="C94" s="14"/>
      <c r="D94" s="1">
        <f>SUM(OSRRefD22_6x_0)</f>
        <v>0</v>
      </c>
      <c r="E94" s="1"/>
      <c r="F94" s="5">
        <f t="shared" si="28"/>
        <v>0</v>
      </c>
      <c r="G94" s="1"/>
      <c r="H94" s="1">
        <f>SUM(OSRRefH22_6x_0)</f>
        <v>0</v>
      </c>
      <c r="I94" s="1"/>
      <c r="J94" s="5">
        <f t="shared" si="29"/>
        <v>0</v>
      </c>
      <c r="K94" s="1"/>
      <c r="L94" s="1">
        <f t="shared" si="30"/>
        <v>0</v>
      </c>
      <c r="M94" s="1"/>
      <c r="N94" s="5">
        <f t="shared" si="31"/>
        <v>0</v>
      </c>
      <c r="O94" s="14"/>
      <c r="P94" s="1">
        <f>SUM(OSRRefP22_6x_0)</f>
        <v>0</v>
      </c>
      <c r="Q94" s="1"/>
      <c r="R94" s="5">
        <f t="shared" si="32"/>
        <v>0</v>
      </c>
      <c r="S94" s="1"/>
      <c r="T94" s="1">
        <f>SUM(OSRRefT22_6x_0)</f>
        <v>0</v>
      </c>
      <c r="U94" s="1"/>
      <c r="V94" s="5">
        <f t="shared" si="33"/>
        <v>0</v>
      </c>
      <c r="W94" s="1"/>
      <c r="X94" s="1">
        <f t="shared" si="34"/>
        <v>0</v>
      </c>
      <c r="Y94" s="1"/>
      <c r="Z94" s="5">
        <f t="shared" si="35"/>
        <v>0</v>
      </c>
    </row>
    <row r="95" spans="1:26" s="24" customFormat="1" hidden="1" outlineLevel="2" x14ac:dyDescent="0.25">
      <c r="A95" s="27"/>
      <c r="B95" s="12" t="str">
        <f>CONCATENATE("          ", "6395", " - ", "DONATION-OFF CAMPUS")</f>
        <v xml:space="preserve">          6395 - DONATION-OFF CAMPUS</v>
      </c>
      <c r="C95" s="12"/>
      <c r="D95" s="7"/>
      <c r="E95" s="3"/>
      <c r="F95" s="8">
        <f t="shared" si="28"/>
        <v>0</v>
      </c>
      <c r="G95" s="3"/>
      <c r="H95" s="7">
        <v>0</v>
      </c>
      <c r="I95" s="3"/>
      <c r="J95" s="8">
        <f t="shared" si="29"/>
        <v>0</v>
      </c>
      <c r="K95" s="3"/>
      <c r="L95" s="7">
        <f t="shared" si="30"/>
        <v>0</v>
      </c>
      <c r="M95" s="3"/>
      <c r="N95" s="8">
        <f t="shared" si="31"/>
        <v>0</v>
      </c>
      <c r="O95" s="12"/>
      <c r="P95" s="7"/>
      <c r="Q95" s="3"/>
      <c r="R95" s="8">
        <f t="shared" si="32"/>
        <v>0</v>
      </c>
      <c r="S95" s="3"/>
      <c r="T95" s="7">
        <v>0</v>
      </c>
      <c r="U95" s="3"/>
      <c r="V95" s="8">
        <f t="shared" si="33"/>
        <v>0</v>
      </c>
      <c r="W95" s="3"/>
      <c r="X95" s="7">
        <f t="shared" si="34"/>
        <v>0</v>
      </c>
      <c r="Y95" s="3"/>
      <c r="Z95" s="8">
        <f t="shared" si="35"/>
        <v>0</v>
      </c>
    </row>
    <row r="96" spans="1:26" s="29" customFormat="1" outlineLevel="1" collapsed="1" x14ac:dyDescent="0.25">
      <c r="A96" s="28"/>
      <c r="B96" s="14" t="str">
        <f>CONCATENATE("     ","Employees' Appreciation                           ")</f>
        <v xml:space="preserve">     Employees' Appreciation                           </v>
      </c>
      <c r="C96" s="14"/>
      <c r="D96" s="1">
        <f>SUM(OSRRefD22_7x_0)</f>
        <v>0</v>
      </c>
      <c r="E96" s="1"/>
      <c r="F96" s="5">
        <f t="shared" si="28"/>
        <v>0</v>
      </c>
      <c r="G96" s="1"/>
      <c r="H96" s="1">
        <f>SUM(OSRRefH22_7x_0)</f>
        <v>200</v>
      </c>
      <c r="I96" s="1"/>
      <c r="J96" s="5">
        <f t="shared" si="29"/>
        <v>8.6975051206561395E-4</v>
      </c>
      <c r="K96" s="1"/>
      <c r="L96" s="1">
        <f t="shared" si="30"/>
        <v>-200</v>
      </c>
      <c r="M96" s="1"/>
      <c r="N96" s="5">
        <f t="shared" si="31"/>
        <v>-1</v>
      </c>
      <c r="O96" s="14"/>
      <c r="P96" s="1">
        <f>SUM(OSRRefP22_7x_0)</f>
        <v>0</v>
      </c>
      <c r="Q96" s="1"/>
      <c r="R96" s="5">
        <f t="shared" si="32"/>
        <v>0</v>
      </c>
      <c r="S96" s="1"/>
      <c r="T96" s="1">
        <f>SUM(OSRRefT22_7x_0)</f>
        <v>200</v>
      </c>
      <c r="U96" s="1"/>
      <c r="V96" s="5">
        <f t="shared" si="33"/>
        <v>8.6975051206561395E-4</v>
      </c>
      <c r="W96" s="1"/>
      <c r="X96" s="1">
        <f t="shared" si="34"/>
        <v>-200</v>
      </c>
      <c r="Y96" s="1"/>
      <c r="Z96" s="5">
        <f t="shared" si="35"/>
        <v>-1</v>
      </c>
    </row>
    <row r="97" spans="1:26" s="24" customFormat="1" hidden="1" outlineLevel="2" x14ac:dyDescent="0.25">
      <c r="A97" s="27"/>
      <c r="B97" s="12" t="str">
        <f>CONCATENATE("          ", "6277", " - ", "EMPLOYEE APPRECIATION")</f>
        <v xml:space="preserve">          6277 - EMPLOYEE APPRECIATION</v>
      </c>
      <c r="C97" s="12"/>
      <c r="D97" s="7"/>
      <c r="E97" s="3"/>
      <c r="F97" s="8">
        <f t="shared" si="28"/>
        <v>0</v>
      </c>
      <c r="G97" s="3"/>
      <c r="H97" s="7">
        <v>200</v>
      </c>
      <c r="I97" s="3"/>
      <c r="J97" s="8">
        <f t="shared" si="29"/>
        <v>8.6975051206561395E-4</v>
      </c>
      <c r="K97" s="3"/>
      <c r="L97" s="7">
        <f t="shared" si="30"/>
        <v>-200</v>
      </c>
      <c r="M97" s="3"/>
      <c r="N97" s="8">
        <f t="shared" si="31"/>
        <v>-1</v>
      </c>
      <c r="O97" s="12"/>
      <c r="P97" s="7"/>
      <c r="Q97" s="3"/>
      <c r="R97" s="8">
        <f t="shared" si="32"/>
        <v>0</v>
      </c>
      <c r="S97" s="3"/>
      <c r="T97" s="7">
        <v>200</v>
      </c>
      <c r="U97" s="3"/>
      <c r="V97" s="8">
        <f t="shared" si="33"/>
        <v>8.6975051206561395E-4</v>
      </c>
      <c r="W97" s="3"/>
      <c r="X97" s="7">
        <f t="shared" si="34"/>
        <v>-200</v>
      </c>
      <c r="Y97" s="3"/>
      <c r="Z97" s="8">
        <f t="shared" si="35"/>
        <v>-1</v>
      </c>
    </row>
    <row r="98" spans="1:26" s="29" customFormat="1" outlineLevel="1" collapsed="1" x14ac:dyDescent="0.25">
      <c r="A98" s="28"/>
      <c r="B98" s="14" t="str">
        <f>CONCATENATE("     ","Freight out/Postage                               ")</f>
        <v xml:space="preserve">     Freight out/Postage                               </v>
      </c>
      <c r="C98" s="14"/>
      <c r="D98" s="1">
        <f>SUM(OSRRefD22_8x_0)</f>
        <v>16.39</v>
      </c>
      <c r="E98" s="1"/>
      <c r="F98" s="5">
        <f t="shared" si="28"/>
        <v>9.3774591514103216E-5</v>
      </c>
      <c r="G98" s="1"/>
      <c r="H98" s="1">
        <f>SUM(OSRRefH22_8x_0)</f>
        <v>10</v>
      </c>
      <c r="I98" s="1"/>
      <c r="J98" s="5">
        <f t="shared" si="29"/>
        <v>4.3487525603280699E-5</v>
      </c>
      <c r="K98" s="1"/>
      <c r="L98" s="1">
        <f t="shared" si="30"/>
        <v>6.3900000000000006</v>
      </c>
      <c r="M98" s="1"/>
      <c r="N98" s="5">
        <f t="shared" si="31"/>
        <v>0.63900000000000001</v>
      </c>
      <c r="O98" s="14"/>
      <c r="P98" s="1">
        <f>SUM(OSRRefP22_8x_0)</f>
        <v>16.39</v>
      </c>
      <c r="Q98" s="1"/>
      <c r="R98" s="5">
        <f t="shared" si="32"/>
        <v>9.3774591514103216E-5</v>
      </c>
      <c r="S98" s="1"/>
      <c r="T98" s="1">
        <f>SUM(OSRRefT22_8x_0)</f>
        <v>10</v>
      </c>
      <c r="U98" s="1"/>
      <c r="V98" s="5">
        <f t="shared" si="33"/>
        <v>4.3487525603280699E-5</v>
      </c>
      <c r="W98" s="1"/>
      <c r="X98" s="1">
        <f t="shared" si="34"/>
        <v>6.3900000000000006</v>
      </c>
      <c r="Y98" s="1"/>
      <c r="Z98" s="5">
        <f t="shared" si="35"/>
        <v>0.63900000000000001</v>
      </c>
    </row>
    <row r="99" spans="1:26" s="24" customFormat="1" hidden="1" outlineLevel="2" x14ac:dyDescent="0.25">
      <c r="A99" s="27"/>
      <c r="B99" s="12" t="str">
        <f>CONCATENATE("          ", "6305", " - ", "FREIGHT OUT")</f>
        <v xml:space="preserve">          6305 - FREIGHT OUT</v>
      </c>
      <c r="C99" s="12"/>
      <c r="D99" s="7">
        <v>16.39</v>
      </c>
      <c r="E99" s="3"/>
      <c r="F99" s="8">
        <f t="shared" si="28"/>
        <v>9.3774591514103216E-5</v>
      </c>
      <c r="G99" s="3"/>
      <c r="H99" s="7"/>
      <c r="I99" s="3"/>
      <c r="J99" s="8">
        <f t="shared" si="29"/>
        <v>0</v>
      </c>
      <c r="K99" s="3"/>
      <c r="L99" s="7">
        <f t="shared" si="30"/>
        <v>16.39</v>
      </c>
      <c r="M99" s="3"/>
      <c r="N99" s="8">
        <f t="shared" si="31"/>
        <v>0</v>
      </c>
      <c r="O99" s="12"/>
      <c r="P99" s="7">
        <v>16.39</v>
      </c>
      <c r="Q99" s="3"/>
      <c r="R99" s="8">
        <f t="shared" si="32"/>
        <v>9.3774591514103216E-5</v>
      </c>
      <c r="S99" s="3"/>
      <c r="T99" s="7"/>
      <c r="U99" s="3"/>
      <c r="V99" s="8">
        <f t="shared" si="33"/>
        <v>0</v>
      </c>
      <c r="W99" s="3"/>
      <c r="X99" s="7">
        <f t="shared" si="34"/>
        <v>16.39</v>
      </c>
      <c r="Y99" s="3"/>
      <c r="Z99" s="8">
        <f t="shared" si="35"/>
        <v>0</v>
      </c>
    </row>
    <row r="100" spans="1:26" s="24" customFormat="1" hidden="1" outlineLevel="2" x14ac:dyDescent="0.25">
      <c r="A100" s="27"/>
      <c r="B100" s="12" t="str">
        <f>CONCATENATE("          ", "6307", " - ", "POSTAGE")</f>
        <v xml:space="preserve">          6307 - POSTAGE</v>
      </c>
      <c r="C100" s="12"/>
      <c r="D100" s="7"/>
      <c r="E100" s="3"/>
      <c r="F100" s="8">
        <f t="shared" si="28"/>
        <v>0</v>
      </c>
      <c r="G100" s="3"/>
      <c r="H100" s="7">
        <v>10</v>
      </c>
      <c r="I100" s="3"/>
      <c r="J100" s="8">
        <f t="shared" si="29"/>
        <v>4.3487525603280699E-5</v>
      </c>
      <c r="K100" s="3"/>
      <c r="L100" s="7">
        <f t="shared" si="30"/>
        <v>-10</v>
      </c>
      <c r="M100" s="3"/>
      <c r="N100" s="8">
        <f t="shared" si="31"/>
        <v>-1</v>
      </c>
      <c r="O100" s="12"/>
      <c r="P100" s="7"/>
      <c r="Q100" s="3"/>
      <c r="R100" s="8">
        <f t="shared" si="32"/>
        <v>0</v>
      </c>
      <c r="S100" s="3"/>
      <c r="T100" s="7">
        <v>10</v>
      </c>
      <c r="U100" s="3"/>
      <c r="V100" s="8">
        <f t="shared" si="33"/>
        <v>4.3487525603280699E-5</v>
      </c>
      <c r="W100" s="3"/>
      <c r="X100" s="7">
        <f t="shared" si="34"/>
        <v>-10</v>
      </c>
      <c r="Y100" s="3"/>
      <c r="Z100" s="8">
        <f t="shared" si="35"/>
        <v>-1</v>
      </c>
    </row>
    <row r="101" spans="1:26" s="29" customFormat="1" outlineLevel="1" collapsed="1" x14ac:dyDescent="0.25">
      <c r="A101" s="28"/>
      <c r="B101" s="14" t="str">
        <f>CONCATENATE("     ","General                                           ")</f>
        <v xml:space="preserve">     General                                           </v>
      </c>
      <c r="C101" s="14"/>
      <c r="D101" s="1">
        <f>SUM(OSRRefD22_9x_0)</f>
        <v>0</v>
      </c>
      <c r="E101" s="1"/>
      <c r="F101" s="5">
        <f t="shared" ref="F101:F103" si="36">IF(D$12=0,0,D101/D$12)</f>
        <v>0</v>
      </c>
      <c r="G101" s="1"/>
      <c r="H101" s="1">
        <f>SUM(OSRRefH22_9x_0)</f>
        <v>150</v>
      </c>
      <c r="I101" s="1"/>
      <c r="J101" s="5">
        <f t="shared" ref="J101:J103" si="37">IF(H$12=0,0,H101/H$12)</f>
        <v>6.5231288404921052E-4</v>
      </c>
      <c r="K101" s="1"/>
      <c r="L101" s="1">
        <f t="shared" ref="L101:L103" si="38">+D101-H101</f>
        <v>-150</v>
      </c>
      <c r="M101" s="1"/>
      <c r="N101" s="5">
        <f t="shared" ref="N101:N103" si="39">IF(H101=0,0,L101/H101)</f>
        <v>-1</v>
      </c>
      <c r="O101" s="14"/>
      <c r="P101" s="1">
        <f>SUM(OSRRefP22_9x_0)</f>
        <v>0</v>
      </c>
      <c r="Q101" s="1"/>
      <c r="R101" s="5">
        <f t="shared" ref="R101:R103" si="40">IF(P$12=0,0,P101/P$12)</f>
        <v>0</v>
      </c>
      <c r="S101" s="1"/>
      <c r="T101" s="1">
        <f>SUM(OSRRefT22_9x_0)</f>
        <v>150</v>
      </c>
      <c r="U101" s="1"/>
      <c r="V101" s="5">
        <f t="shared" ref="V101:V103" si="41">IF(T$12=0,0,T101/T$12)</f>
        <v>6.5231288404921052E-4</v>
      </c>
      <c r="W101" s="1"/>
      <c r="X101" s="1">
        <f t="shared" ref="X101:X103" si="42">+P101-T101</f>
        <v>-150</v>
      </c>
      <c r="Y101" s="1"/>
      <c r="Z101" s="5">
        <f t="shared" ref="Z101:Z103" si="43">IF(T101=0,0,X101/T101)</f>
        <v>-1</v>
      </c>
    </row>
    <row r="102" spans="1:26" s="24" customFormat="1" hidden="1" outlineLevel="2" x14ac:dyDescent="0.25">
      <c r="A102" s="27"/>
      <c r="B102" s="12" t="str">
        <f>CONCATENATE("          ", "6276", " - ", "PROPERTY TAX")</f>
        <v xml:space="preserve">          6276 - PROPERTY TAX</v>
      </c>
      <c r="C102" s="12"/>
      <c r="D102" s="7"/>
      <c r="E102" s="3"/>
      <c r="F102" s="8">
        <f t="shared" si="36"/>
        <v>0</v>
      </c>
      <c r="G102" s="3"/>
      <c r="H102" s="7">
        <v>150</v>
      </c>
      <c r="I102" s="3"/>
      <c r="J102" s="8">
        <f t="shared" si="37"/>
        <v>6.5231288404921052E-4</v>
      </c>
      <c r="K102" s="3"/>
      <c r="L102" s="7">
        <f t="shared" si="38"/>
        <v>-150</v>
      </c>
      <c r="M102" s="3"/>
      <c r="N102" s="8">
        <f t="shared" si="39"/>
        <v>-1</v>
      </c>
      <c r="O102" s="12"/>
      <c r="P102" s="7"/>
      <c r="Q102" s="3"/>
      <c r="R102" s="8">
        <f t="shared" si="40"/>
        <v>0</v>
      </c>
      <c r="S102" s="3"/>
      <c r="T102" s="7">
        <v>150</v>
      </c>
      <c r="U102" s="3"/>
      <c r="V102" s="8">
        <f t="shared" si="41"/>
        <v>6.5231288404921052E-4</v>
      </c>
      <c r="W102" s="3"/>
      <c r="X102" s="7">
        <f t="shared" si="42"/>
        <v>-150</v>
      </c>
      <c r="Y102" s="3"/>
      <c r="Z102" s="8">
        <f t="shared" si="43"/>
        <v>-1</v>
      </c>
    </row>
    <row r="103" spans="1:26" s="24" customFormat="1" hidden="1" outlineLevel="2" x14ac:dyDescent="0.25">
      <c r="A103" s="27"/>
      <c r="B103" s="12" t="str">
        <f>CONCATENATE("          ", "6279", " - ", "GENERAL EXPENSE")</f>
        <v xml:space="preserve">          6279 - GENERAL EXPENSE</v>
      </c>
      <c r="C103" s="12"/>
      <c r="D103" s="7"/>
      <c r="E103" s="3"/>
      <c r="F103" s="8">
        <f t="shared" si="36"/>
        <v>0</v>
      </c>
      <c r="G103" s="3"/>
      <c r="H103" s="7">
        <v>0</v>
      </c>
      <c r="I103" s="3"/>
      <c r="J103" s="8">
        <f t="shared" si="37"/>
        <v>0</v>
      </c>
      <c r="K103" s="3"/>
      <c r="L103" s="7">
        <f t="shared" si="38"/>
        <v>0</v>
      </c>
      <c r="M103" s="3"/>
      <c r="N103" s="8">
        <f t="shared" si="39"/>
        <v>0</v>
      </c>
      <c r="O103" s="12"/>
      <c r="P103" s="7"/>
      <c r="Q103" s="3"/>
      <c r="R103" s="8">
        <f t="shared" si="40"/>
        <v>0</v>
      </c>
      <c r="S103" s="3"/>
      <c r="T103" s="7">
        <v>0</v>
      </c>
      <c r="U103" s="3"/>
      <c r="V103" s="8">
        <f t="shared" si="41"/>
        <v>0</v>
      </c>
      <c r="W103" s="3"/>
      <c r="X103" s="7">
        <f t="shared" si="42"/>
        <v>0</v>
      </c>
      <c r="Y103" s="3"/>
      <c r="Z103" s="8">
        <f t="shared" si="43"/>
        <v>0</v>
      </c>
    </row>
    <row r="104" spans="1:26" s="29" customFormat="1" outlineLevel="1" collapsed="1" x14ac:dyDescent="0.25">
      <c r="A104" s="28"/>
      <c r="B104" s="14" t="str">
        <f>CONCATENATE("     ","Insurance                                         ")</f>
        <v xml:space="preserve">     Insurance                                         </v>
      </c>
      <c r="C104" s="14"/>
      <c r="D104" s="1">
        <f>SUM(OSRRefD22_10x_0)</f>
        <v>161.18</v>
      </c>
      <c r="E104" s="1"/>
      <c r="F104" s="5">
        <f t="shared" ref="F104:F117" si="44">IF(D$12=0,0,D104/D$12)</f>
        <v>9.2218356682386565E-4</v>
      </c>
      <c r="G104" s="1"/>
      <c r="H104" s="1">
        <f>SUM(OSRRefH22_10x_0)</f>
        <v>176</v>
      </c>
      <c r="I104" s="1"/>
      <c r="J104" s="5">
        <f t="shared" ref="J104:J117" si="45">IF(H$12=0,0,H104/H$12)</f>
        <v>7.6538045061774035E-4</v>
      </c>
      <c r="K104" s="1"/>
      <c r="L104" s="1">
        <f t="shared" ref="L104:L117" si="46">+D104-H104</f>
        <v>-14.819999999999993</v>
      </c>
      <c r="M104" s="1"/>
      <c r="N104" s="5">
        <f t="shared" ref="N104:N117" si="47">IF(H104=0,0,L104/H104)</f>
        <v>-8.4204545454545421E-2</v>
      </c>
      <c r="O104" s="14"/>
      <c r="P104" s="1">
        <f>SUM(OSRRefP22_10x_0)</f>
        <v>161.18</v>
      </c>
      <c r="Q104" s="1"/>
      <c r="R104" s="5">
        <f t="shared" ref="R104:R117" si="48">IF(P$12=0,0,P104/P$12)</f>
        <v>9.2218356682386565E-4</v>
      </c>
      <c r="S104" s="1"/>
      <c r="T104" s="1">
        <f>SUM(OSRRefT22_10x_0)</f>
        <v>176</v>
      </c>
      <c r="U104" s="1"/>
      <c r="V104" s="5">
        <f t="shared" ref="V104:V117" si="49">IF(T$12=0,0,T104/T$12)</f>
        <v>7.6538045061774035E-4</v>
      </c>
      <c r="W104" s="1"/>
      <c r="X104" s="1">
        <f t="shared" ref="X104:X117" si="50">+P104-T104</f>
        <v>-14.819999999999993</v>
      </c>
      <c r="Y104" s="1"/>
      <c r="Z104" s="5">
        <f t="shared" ref="Z104:Z117" si="51">IF(T104=0,0,X104/T104)</f>
        <v>-8.4204545454545421E-2</v>
      </c>
    </row>
    <row r="105" spans="1:26" s="24" customFormat="1" hidden="1" outlineLevel="2" x14ac:dyDescent="0.25">
      <c r="A105" s="27"/>
      <c r="B105" s="12" t="str">
        <f>CONCATENATE("          ", "6314", " - ", "LIABILITY INSURANCE")</f>
        <v xml:space="preserve">          6314 - LIABILITY INSURANCE</v>
      </c>
      <c r="C105" s="12"/>
      <c r="D105" s="7">
        <v>161.18</v>
      </c>
      <c r="E105" s="3"/>
      <c r="F105" s="8">
        <f t="shared" si="44"/>
        <v>9.2218356682386565E-4</v>
      </c>
      <c r="G105" s="3"/>
      <c r="H105" s="7">
        <v>176</v>
      </c>
      <c r="I105" s="3"/>
      <c r="J105" s="8">
        <f t="shared" si="45"/>
        <v>7.6538045061774035E-4</v>
      </c>
      <c r="K105" s="3"/>
      <c r="L105" s="7">
        <f t="shared" si="46"/>
        <v>-14.819999999999993</v>
      </c>
      <c r="M105" s="3"/>
      <c r="N105" s="8">
        <f t="shared" si="47"/>
        <v>-8.4204545454545421E-2</v>
      </c>
      <c r="O105" s="12"/>
      <c r="P105" s="7">
        <v>161.18</v>
      </c>
      <c r="Q105" s="3"/>
      <c r="R105" s="8">
        <f t="shared" si="48"/>
        <v>9.2218356682386565E-4</v>
      </c>
      <c r="S105" s="3"/>
      <c r="T105" s="7">
        <v>176</v>
      </c>
      <c r="U105" s="3"/>
      <c r="V105" s="8">
        <f t="shared" si="49"/>
        <v>7.6538045061774035E-4</v>
      </c>
      <c r="W105" s="3"/>
      <c r="X105" s="7">
        <f t="shared" si="50"/>
        <v>-14.819999999999993</v>
      </c>
      <c r="Y105" s="3"/>
      <c r="Z105" s="8">
        <f t="shared" si="51"/>
        <v>-8.4204545454545421E-2</v>
      </c>
    </row>
    <row r="106" spans="1:26" s="29" customFormat="1" outlineLevel="1" collapsed="1" x14ac:dyDescent="0.25">
      <c r="A106" s="28"/>
      <c r="B106" s="14" t="str">
        <f>CONCATENATE("     ","Inventory Adjustment                              ")</f>
        <v xml:space="preserve">     Inventory Adjustment                              </v>
      </c>
      <c r="C106" s="14"/>
      <c r="D106" s="1">
        <f>SUM(OSRRefD22_11x_0)</f>
        <v>1100</v>
      </c>
      <c r="E106" s="1"/>
      <c r="F106" s="5">
        <f t="shared" si="44"/>
        <v>6.2935967459129679E-3</v>
      </c>
      <c r="G106" s="1"/>
      <c r="H106" s="1">
        <f>SUM(OSRRefH22_11x_0)</f>
        <v>1100</v>
      </c>
      <c r="I106" s="1"/>
      <c r="J106" s="5">
        <f t="shared" si="45"/>
        <v>4.7836278163608768E-3</v>
      </c>
      <c r="K106" s="1"/>
      <c r="L106" s="1">
        <f t="shared" si="46"/>
        <v>0</v>
      </c>
      <c r="M106" s="1"/>
      <c r="N106" s="5">
        <f t="shared" si="47"/>
        <v>0</v>
      </c>
      <c r="O106" s="14"/>
      <c r="P106" s="1">
        <f>SUM(OSRRefP22_11x_0)</f>
        <v>1100</v>
      </c>
      <c r="Q106" s="1"/>
      <c r="R106" s="5">
        <f t="shared" si="48"/>
        <v>6.2935967459129679E-3</v>
      </c>
      <c r="S106" s="1"/>
      <c r="T106" s="1">
        <f>SUM(OSRRefT22_11x_0)</f>
        <v>1100</v>
      </c>
      <c r="U106" s="1"/>
      <c r="V106" s="5">
        <f t="shared" si="49"/>
        <v>4.7836278163608768E-3</v>
      </c>
      <c r="W106" s="1"/>
      <c r="X106" s="1">
        <f t="shared" si="50"/>
        <v>0</v>
      </c>
      <c r="Y106" s="1"/>
      <c r="Z106" s="5">
        <f t="shared" si="51"/>
        <v>0</v>
      </c>
    </row>
    <row r="107" spans="1:26" s="24" customFormat="1" hidden="1" outlineLevel="2" x14ac:dyDescent="0.25">
      <c r="A107" s="27"/>
      <c r="B107" s="12" t="str">
        <f>CONCATENATE("          ", "6408", " - ", "INVENTORY ADJUSTMENT")</f>
        <v xml:space="preserve">          6408 - INVENTORY ADJUSTMENT</v>
      </c>
      <c r="C107" s="12"/>
      <c r="D107" s="7">
        <v>1100</v>
      </c>
      <c r="E107" s="3"/>
      <c r="F107" s="8">
        <f t="shared" si="44"/>
        <v>6.2935967459129679E-3</v>
      </c>
      <c r="G107" s="3"/>
      <c r="H107" s="7">
        <v>1100</v>
      </c>
      <c r="I107" s="3"/>
      <c r="J107" s="8">
        <f t="shared" si="45"/>
        <v>4.7836278163608768E-3</v>
      </c>
      <c r="K107" s="3"/>
      <c r="L107" s="7">
        <f t="shared" si="46"/>
        <v>0</v>
      </c>
      <c r="M107" s="3"/>
      <c r="N107" s="8">
        <f t="shared" si="47"/>
        <v>0</v>
      </c>
      <c r="O107" s="12"/>
      <c r="P107" s="7">
        <v>1100</v>
      </c>
      <c r="Q107" s="3"/>
      <c r="R107" s="8">
        <f t="shared" si="48"/>
        <v>6.2935967459129679E-3</v>
      </c>
      <c r="S107" s="3"/>
      <c r="T107" s="7">
        <v>1100</v>
      </c>
      <c r="U107" s="3"/>
      <c r="V107" s="8">
        <f t="shared" si="49"/>
        <v>4.7836278163608768E-3</v>
      </c>
      <c r="W107" s="3"/>
      <c r="X107" s="7">
        <f t="shared" si="50"/>
        <v>0</v>
      </c>
      <c r="Y107" s="3"/>
      <c r="Z107" s="8">
        <f t="shared" si="51"/>
        <v>0</v>
      </c>
    </row>
    <row r="108" spans="1:26" s="29" customFormat="1" outlineLevel="1" collapsed="1" x14ac:dyDescent="0.25">
      <c r="A108" s="28"/>
      <c r="B108" s="14" t="str">
        <f>CONCATENATE("     ","Professional Services                             ")</f>
        <v xml:space="preserve">     Professional Services                             </v>
      </c>
      <c r="C108" s="14"/>
      <c r="D108" s="1">
        <f>SUM(OSRRefD22_12x_0)</f>
        <v>0</v>
      </c>
      <c r="E108" s="1"/>
      <c r="F108" s="5">
        <f t="shared" si="44"/>
        <v>0</v>
      </c>
      <c r="G108" s="1"/>
      <c r="H108" s="1">
        <f>SUM(OSRRefH22_12x_0)</f>
        <v>5750</v>
      </c>
      <c r="I108" s="1"/>
      <c r="J108" s="5">
        <f t="shared" si="45"/>
        <v>2.5005327221886402E-2</v>
      </c>
      <c r="K108" s="1"/>
      <c r="L108" s="1">
        <f t="shared" si="46"/>
        <v>-5750</v>
      </c>
      <c r="M108" s="1"/>
      <c r="N108" s="5">
        <f t="shared" si="47"/>
        <v>-1</v>
      </c>
      <c r="O108" s="14"/>
      <c r="P108" s="1">
        <f>SUM(OSRRefP22_12x_0)</f>
        <v>0</v>
      </c>
      <c r="Q108" s="1"/>
      <c r="R108" s="5">
        <f t="shared" si="48"/>
        <v>0</v>
      </c>
      <c r="S108" s="1"/>
      <c r="T108" s="1">
        <f>SUM(OSRRefT22_12x_0)</f>
        <v>5750</v>
      </c>
      <c r="U108" s="1"/>
      <c r="V108" s="5">
        <f t="shared" si="49"/>
        <v>2.5005327221886402E-2</v>
      </c>
      <c r="W108" s="1"/>
      <c r="X108" s="1">
        <f t="shared" si="50"/>
        <v>-5750</v>
      </c>
      <c r="Y108" s="1"/>
      <c r="Z108" s="5">
        <f t="shared" si="51"/>
        <v>-1</v>
      </c>
    </row>
    <row r="109" spans="1:26" s="24" customFormat="1" hidden="1" outlineLevel="2" x14ac:dyDescent="0.25">
      <c r="A109" s="27"/>
      <c r="B109" s="12" t="str">
        <f>CONCATENATE("          ", "6336", " - ", "PROFESSIONAL SERVICES")</f>
        <v xml:space="preserve">          6336 - PROFESSIONAL SERVICES</v>
      </c>
      <c r="C109" s="12"/>
      <c r="D109" s="7"/>
      <c r="E109" s="3"/>
      <c r="F109" s="8">
        <f t="shared" si="44"/>
        <v>0</v>
      </c>
      <c r="G109" s="3"/>
      <c r="H109" s="7">
        <v>5750</v>
      </c>
      <c r="I109" s="3"/>
      <c r="J109" s="8">
        <f t="shared" si="45"/>
        <v>2.5005327221886402E-2</v>
      </c>
      <c r="K109" s="3"/>
      <c r="L109" s="7">
        <f t="shared" si="46"/>
        <v>-5750</v>
      </c>
      <c r="M109" s="3"/>
      <c r="N109" s="8">
        <f t="shared" si="47"/>
        <v>-1</v>
      </c>
      <c r="O109" s="12"/>
      <c r="P109" s="7"/>
      <c r="Q109" s="3"/>
      <c r="R109" s="8">
        <f t="shared" si="48"/>
        <v>0</v>
      </c>
      <c r="S109" s="3"/>
      <c r="T109" s="7">
        <v>5750</v>
      </c>
      <c r="U109" s="3"/>
      <c r="V109" s="8">
        <f t="shared" si="49"/>
        <v>2.5005327221886402E-2</v>
      </c>
      <c r="W109" s="3"/>
      <c r="X109" s="7">
        <f t="shared" si="50"/>
        <v>-5750</v>
      </c>
      <c r="Y109" s="3"/>
      <c r="Z109" s="8">
        <f t="shared" si="51"/>
        <v>-1</v>
      </c>
    </row>
    <row r="110" spans="1:26" s="29" customFormat="1" outlineLevel="1" collapsed="1" x14ac:dyDescent="0.25">
      <c r="A110" s="28"/>
      <c r="B110" s="14" t="str">
        <f>CONCATENATE("     ","Rent                                              ")</f>
        <v xml:space="preserve">     Rent                                              </v>
      </c>
      <c r="C110" s="14"/>
      <c r="D110" s="1">
        <f>SUM(OSRRefD22_13x_0)</f>
        <v>6900</v>
      </c>
      <c r="E110" s="1"/>
      <c r="F110" s="5">
        <f t="shared" si="44"/>
        <v>3.9478015951635886E-2</v>
      </c>
      <c r="G110" s="1"/>
      <c r="H110" s="1">
        <f>SUM(OSRRefH22_13x_0)</f>
        <v>6900</v>
      </c>
      <c r="I110" s="1"/>
      <c r="J110" s="5">
        <f t="shared" si="45"/>
        <v>3.0006392666263683E-2</v>
      </c>
      <c r="K110" s="1"/>
      <c r="L110" s="1">
        <f t="shared" si="46"/>
        <v>0</v>
      </c>
      <c r="M110" s="1"/>
      <c r="N110" s="5">
        <f t="shared" si="47"/>
        <v>0</v>
      </c>
      <c r="O110" s="14"/>
      <c r="P110" s="1">
        <f>SUM(OSRRefP22_13x_0)</f>
        <v>6900</v>
      </c>
      <c r="Q110" s="1"/>
      <c r="R110" s="5">
        <f t="shared" si="48"/>
        <v>3.9478015951635886E-2</v>
      </c>
      <c r="S110" s="1"/>
      <c r="T110" s="1">
        <f>SUM(OSRRefT22_13x_0)</f>
        <v>6900</v>
      </c>
      <c r="U110" s="1"/>
      <c r="V110" s="5">
        <f t="shared" si="49"/>
        <v>3.0006392666263683E-2</v>
      </c>
      <c r="W110" s="1"/>
      <c r="X110" s="1">
        <f t="shared" si="50"/>
        <v>0</v>
      </c>
      <c r="Y110" s="1"/>
      <c r="Z110" s="5">
        <f t="shared" si="51"/>
        <v>0</v>
      </c>
    </row>
    <row r="111" spans="1:26" s="24" customFormat="1" hidden="1" outlineLevel="2" x14ac:dyDescent="0.25">
      <c r="A111" s="27"/>
      <c r="B111" s="12" t="str">
        <f>CONCATENATE("          ", "6273", " - ", "RENT")</f>
        <v xml:space="preserve">          6273 - RENT</v>
      </c>
      <c r="C111" s="12"/>
      <c r="D111" s="7">
        <v>6900</v>
      </c>
      <c r="E111" s="3"/>
      <c r="F111" s="8">
        <f t="shared" si="44"/>
        <v>3.9478015951635886E-2</v>
      </c>
      <c r="G111" s="3"/>
      <c r="H111" s="7">
        <v>6900</v>
      </c>
      <c r="I111" s="3"/>
      <c r="J111" s="8">
        <f t="shared" si="45"/>
        <v>3.0006392666263683E-2</v>
      </c>
      <c r="K111" s="3"/>
      <c r="L111" s="7">
        <f t="shared" si="46"/>
        <v>0</v>
      </c>
      <c r="M111" s="3"/>
      <c r="N111" s="8">
        <f t="shared" si="47"/>
        <v>0</v>
      </c>
      <c r="O111" s="12"/>
      <c r="P111" s="7">
        <v>6900</v>
      </c>
      <c r="Q111" s="3"/>
      <c r="R111" s="8">
        <f t="shared" si="48"/>
        <v>3.9478015951635886E-2</v>
      </c>
      <c r="S111" s="3"/>
      <c r="T111" s="7">
        <v>6900</v>
      </c>
      <c r="U111" s="3"/>
      <c r="V111" s="8">
        <f t="shared" si="49"/>
        <v>3.0006392666263683E-2</v>
      </c>
      <c r="W111" s="3"/>
      <c r="X111" s="7">
        <f t="shared" si="50"/>
        <v>0</v>
      </c>
      <c r="Y111" s="3"/>
      <c r="Z111" s="8">
        <f t="shared" si="51"/>
        <v>0</v>
      </c>
    </row>
    <row r="112" spans="1:26" s="29" customFormat="1" outlineLevel="1" collapsed="1" x14ac:dyDescent="0.25">
      <c r="A112" s="28"/>
      <c r="B112" s="14" t="str">
        <f>CONCATENATE("     ","Repair and Maintenance                            ")</f>
        <v xml:space="preserve">     Repair and Maintenance                            </v>
      </c>
      <c r="C112" s="14"/>
      <c r="D112" s="1">
        <f>SUM(OSRRefD22_14x_0)</f>
        <v>0</v>
      </c>
      <c r="E112" s="1"/>
      <c r="F112" s="5">
        <f t="shared" si="44"/>
        <v>0</v>
      </c>
      <c r="G112" s="1"/>
      <c r="H112" s="1">
        <f>SUM(OSRRefH22_14x_0)</f>
        <v>150</v>
      </c>
      <c r="I112" s="1"/>
      <c r="J112" s="5">
        <f t="shared" si="45"/>
        <v>6.5231288404921052E-4</v>
      </c>
      <c r="K112" s="1"/>
      <c r="L112" s="1">
        <f t="shared" si="46"/>
        <v>-150</v>
      </c>
      <c r="M112" s="1"/>
      <c r="N112" s="5">
        <f t="shared" si="47"/>
        <v>-1</v>
      </c>
      <c r="O112" s="14"/>
      <c r="P112" s="1">
        <f>SUM(OSRRefP22_14x_0)</f>
        <v>0</v>
      </c>
      <c r="Q112" s="1"/>
      <c r="R112" s="5">
        <f t="shared" si="48"/>
        <v>0</v>
      </c>
      <c r="S112" s="1"/>
      <c r="T112" s="1">
        <f>SUM(OSRRefT22_14x_0)</f>
        <v>150</v>
      </c>
      <c r="U112" s="1"/>
      <c r="V112" s="5">
        <f t="shared" si="49"/>
        <v>6.5231288404921052E-4</v>
      </c>
      <c r="W112" s="1"/>
      <c r="X112" s="1">
        <f t="shared" si="50"/>
        <v>-150</v>
      </c>
      <c r="Y112" s="1"/>
      <c r="Z112" s="5">
        <f t="shared" si="51"/>
        <v>-1</v>
      </c>
    </row>
    <row r="113" spans="1:26" s="24" customFormat="1" hidden="1" outlineLevel="2" x14ac:dyDescent="0.25">
      <c r="A113" s="27"/>
      <c r="B113" s="12" t="str">
        <f>CONCATENATE("          ", "6375", " - ", "OUTSIDE REPAIRS &amp; MAINTENANCE")</f>
        <v xml:space="preserve">          6375 - OUTSIDE REPAIRS &amp; MAINTENANCE</v>
      </c>
      <c r="C113" s="12"/>
      <c r="D113" s="7"/>
      <c r="E113" s="3"/>
      <c r="F113" s="8">
        <f t="shared" si="44"/>
        <v>0</v>
      </c>
      <c r="G113" s="3"/>
      <c r="H113" s="7">
        <v>150</v>
      </c>
      <c r="I113" s="3"/>
      <c r="J113" s="8">
        <f t="shared" si="45"/>
        <v>6.5231288404921052E-4</v>
      </c>
      <c r="K113" s="3"/>
      <c r="L113" s="7">
        <f t="shared" si="46"/>
        <v>-150</v>
      </c>
      <c r="M113" s="3"/>
      <c r="N113" s="8">
        <f t="shared" si="47"/>
        <v>-1</v>
      </c>
      <c r="O113" s="12"/>
      <c r="P113" s="7"/>
      <c r="Q113" s="3"/>
      <c r="R113" s="8">
        <f t="shared" si="48"/>
        <v>0</v>
      </c>
      <c r="S113" s="3"/>
      <c r="T113" s="7">
        <v>150</v>
      </c>
      <c r="U113" s="3"/>
      <c r="V113" s="8">
        <f t="shared" si="49"/>
        <v>6.5231288404921052E-4</v>
      </c>
      <c r="W113" s="3"/>
      <c r="X113" s="7">
        <f t="shared" si="50"/>
        <v>-150</v>
      </c>
      <c r="Y113" s="3"/>
      <c r="Z113" s="8">
        <f t="shared" si="51"/>
        <v>-1</v>
      </c>
    </row>
    <row r="114" spans="1:26" s="29" customFormat="1" outlineLevel="1" collapsed="1" x14ac:dyDescent="0.25">
      <c r="A114" s="28"/>
      <c r="B114" s="14" t="str">
        <f>CONCATENATE("     ","Royalty &amp; Commissions                             ")</f>
        <v xml:space="preserve">     Royalty &amp; Commissions                             </v>
      </c>
      <c r="C114" s="14"/>
      <c r="D114" s="1">
        <f>SUM(OSRRefD22_15x_0)</f>
        <v>5672.2</v>
      </c>
      <c r="E114" s="1"/>
      <c r="F114" s="5">
        <f t="shared" si="44"/>
        <v>3.245321769287958E-2</v>
      </c>
      <c r="G114" s="1"/>
      <c r="H114" s="1">
        <f>SUM(OSRRefH22_15x_0)</f>
        <v>6271</v>
      </c>
      <c r="I114" s="1"/>
      <c r="J114" s="5">
        <f t="shared" si="45"/>
        <v>2.7271027305817326E-2</v>
      </c>
      <c r="K114" s="1"/>
      <c r="L114" s="1">
        <f t="shared" si="46"/>
        <v>-598.80000000000018</v>
      </c>
      <c r="M114" s="1"/>
      <c r="N114" s="5">
        <f t="shared" si="47"/>
        <v>-9.5487163131876926E-2</v>
      </c>
      <c r="O114" s="14"/>
      <c r="P114" s="1">
        <f>SUM(OSRRefP22_15x_0)</f>
        <v>5672.2</v>
      </c>
      <c r="Q114" s="1"/>
      <c r="R114" s="5">
        <f t="shared" si="48"/>
        <v>3.245321769287958E-2</v>
      </c>
      <c r="S114" s="1"/>
      <c r="T114" s="1">
        <f>SUM(OSRRefT22_15x_0)</f>
        <v>6271</v>
      </c>
      <c r="U114" s="1"/>
      <c r="V114" s="5">
        <f t="shared" si="49"/>
        <v>2.7271027305817326E-2</v>
      </c>
      <c r="W114" s="1"/>
      <c r="X114" s="1">
        <f t="shared" si="50"/>
        <v>-598.80000000000018</v>
      </c>
      <c r="Y114" s="1"/>
      <c r="Z114" s="5">
        <f t="shared" si="51"/>
        <v>-9.5487163131876926E-2</v>
      </c>
    </row>
    <row r="115" spans="1:26" s="24" customFormat="1" hidden="1" outlineLevel="2" x14ac:dyDescent="0.25">
      <c r="A115" s="27"/>
      <c r="B115" s="12" t="str">
        <f>CONCATENATE("          ", "6252", " - ", "ROYALTY DUE CSTV")</f>
        <v xml:space="preserve">          6252 - ROYALTY DUE CSTV</v>
      </c>
      <c r="C115" s="12"/>
      <c r="D115" s="7"/>
      <c r="E115" s="3"/>
      <c r="F115" s="8">
        <f t="shared" si="44"/>
        <v>0</v>
      </c>
      <c r="G115" s="3"/>
      <c r="H115" s="7">
        <v>1085</v>
      </c>
      <c r="I115" s="3"/>
      <c r="J115" s="8">
        <f t="shared" si="45"/>
        <v>4.7183965279559556E-3</v>
      </c>
      <c r="K115" s="3"/>
      <c r="L115" s="7">
        <f t="shared" si="46"/>
        <v>-1085</v>
      </c>
      <c r="M115" s="3"/>
      <c r="N115" s="8">
        <f t="shared" si="47"/>
        <v>-1</v>
      </c>
      <c r="O115" s="12"/>
      <c r="P115" s="7"/>
      <c r="Q115" s="3"/>
      <c r="R115" s="8">
        <f t="shared" si="48"/>
        <v>0</v>
      </c>
      <c r="S115" s="3"/>
      <c r="T115" s="7">
        <v>1085</v>
      </c>
      <c r="U115" s="3"/>
      <c r="V115" s="8">
        <f t="shared" si="49"/>
        <v>4.7183965279559556E-3</v>
      </c>
      <c r="W115" s="3"/>
      <c r="X115" s="7">
        <f t="shared" si="50"/>
        <v>-1085</v>
      </c>
      <c r="Y115" s="3"/>
      <c r="Z115" s="8">
        <f t="shared" si="51"/>
        <v>-1</v>
      </c>
    </row>
    <row r="116" spans="1:26" s="24" customFormat="1" hidden="1" outlineLevel="2" x14ac:dyDescent="0.25">
      <c r="A116" s="27"/>
      <c r="B116" s="12" t="str">
        <f>CONCATENATE("          ", "6253", " - ", "ROYALTY DUE ATHLETICS-LRG")</f>
        <v xml:space="preserve">          6253 - ROYALTY DUE ATHLETICS-LRG</v>
      </c>
      <c r="C116" s="12"/>
      <c r="D116" s="7">
        <v>5672.2</v>
      </c>
      <c r="E116" s="3"/>
      <c r="F116" s="8">
        <f t="shared" si="44"/>
        <v>3.245321769287958E-2</v>
      </c>
      <c r="G116" s="3"/>
      <c r="H116" s="7">
        <v>4037</v>
      </c>
      <c r="I116" s="3"/>
      <c r="J116" s="8">
        <f t="shared" si="45"/>
        <v>1.7555914086044417E-2</v>
      </c>
      <c r="K116" s="3"/>
      <c r="L116" s="7">
        <f t="shared" si="46"/>
        <v>1635.1999999999998</v>
      </c>
      <c r="M116" s="3"/>
      <c r="N116" s="8">
        <f t="shared" si="47"/>
        <v>0.40505325736933362</v>
      </c>
      <c r="O116" s="12"/>
      <c r="P116" s="7">
        <v>5672.2</v>
      </c>
      <c r="Q116" s="3"/>
      <c r="R116" s="8">
        <f t="shared" si="48"/>
        <v>3.245321769287958E-2</v>
      </c>
      <c r="S116" s="3"/>
      <c r="T116" s="7">
        <v>4037</v>
      </c>
      <c r="U116" s="3"/>
      <c r="V116" s="8">
        <f t="shared" si="49"/>
        <v>1.7555914086044417E-2</v>
      </c>
      <c r="W116" s="3"/>
      <c r="X116" s="7">
        <f t="shared" si="50"/>
        <v>1635.1999999999998</v>
      </c>
      <c r="Y116" s="3"/>
      <c r="Z116" s="8">
        <f t="shared" si="51"/>
        <v>0.40505325736933362</v>
      </c>
    </row>
    <row r="117" spans="1:26" s="24" customFormat="1" hidden="1" outlineLevel="2" x14ac:dyDescent="0.25">
      <c r="A117" s="27"/>
      <c r="B117" s="12" t="str">
        <f>CONCATENATE("          ", "6254", " - ", "ROYALTY &amp; COMMISSIONS")</f>
        <v xml:space="preserve">          6254 - ROYALTY &amp; COMMISSIONS</v>
      </c>
      <c r="C117" s="12"/>
      <c r="D117" s="7"/>
      <c r="E117" s="3"/>
      <c r="F117" s="8">
        <f t="shared" si="44"/>
        <v>0</v>
      </c>
      <c r="G117" s="3"/>
      <c r="H117" s="7">
        <v>1149</v>
      </c>
      <c r="I117" s="3"/>
      <c r="J117" s="8">
        <f t="shared" si="45"/>
        <v>4.9967166918169527E-3</v>
      </c>
      <c r="K117" s="3"/>
      <c r="L117" s="7">
        <f t="shared" si="46"/>
        <v>-1149</v>
      </c>
      <c r="M117" s="3"/>
      <c r="N117" s="8">
        <f t="shared" si="47"/>
        <v>-1</v>
      </c>
      <c r="O117" s="12"/>
      <c r="P117" s="7"/>
      <c r="Q117" s="3"/>
      <c r="R117" s="8">
        <f t="shared" si="48"/>
        <v>0</v>
      </c>
      <c r="S117" s="3"/>
      <c r="T117" s="7">
        <v>1149</v>
      </c>
      <c r="U117" s="3"/>
      <c r="V117" s="8">
        <f t="shared" si="49"/>
        <v>4.9967166918169527E-3</v>
      </c>
      <c r="W117" s="3"/>
      <c r="X117" s="7">
        <f t="shared" si="50"/>
        <v>-1149</v>
      </c>
      <c r="Y117" s="3"/>
      <c r="Z117" s="8">
        <f t="shared" si="51"/>
        <v>-1</v>
      </c>
    </row>
    <row r="118" spans="1:26" s="29" customFormat="1" outlineLevel="1" collapsed="1" x14ac:dyDescent="0.25">
      <c r="A118" s="28"/>
      <c r="B118" s="14" t="str">
        <f>CONCATENATE("     ","Services                                          ")</f>
        <v xml:space="preserve">     Services                                          </v>
      </c>
      <c r="C118" s="14"/>
      <c r="D118" s="1">
        <f>SUM(OSRRefD22_16x_0)</f>
        <v>-333.44</v>
      </c>
      <c r="E118" s="1"/>
      <c r="F118" s="5">
        <f t="shared" ref="F118:F121" si="52">IF(D$12=0,0,D118/D$12)</f>
        <v>-1.9077608172338363E-3</v>
      </c>
      <c r="G118" s="1"/>
      <c r="H118" s="1">
        <f>SUM(OSRRefH22_16x_0)</f>
        <v>155</v>
      </c>
      <c r="I118" s="1"/>
      <c r="J118" s="5">
        <f t="shared" ref="J118:J121" si="53">IF(H$12=0,0,H118/H$12)</f>
        <v>6.7405664685085079E-4</v>
      </c>
      <c r="K118" s="1"/>
      <c r="L118" s="1">
        <f t="shared" ref="L118:L121" si="54">+D118-H118</f>
        <v>-488.44</v>
      </c>
      <c r="M118" s="1"/>
      <c r="N118" s="5">
        <f t="shared" ref="N118:N121" si="55">IF(H118=0,0,L118/H118)</f>
        <v>-3.1512258064516128</v>
      </c>
      <c r="O118" s="14"/>
      <c r="P118" s="1">
        <f>SUM(OSRRefP22_16x_0)</f>
        <v>-333.44</v>
      </c>
      <c r="Q118" s="1"/>
      <c r="R118" s="5">
        <f t="shared" ref="R118:R121" si="56">IF(P$12=0,0,P118/P$12)</f>
        <v>-1.9077608172338363E-3</v>
      </c>
      <c r="S118" s="1"/>
      <c r="T118" s="1">
        <f>SUM(OSRRefT22_16x_0)</f>
        <v>155</v>
      </c>
      <c r="U118" s="1"/>
      <c r="V118" s="5">
        <f t="shared" ref="V118:V121" si="57">IF(T$12=0,0,T118/T$12)</f>
        <v>6.7405664685085079E-4</v>
      </c>
      <c r="W118" s="1"/>
      <c r="X118" s="1">
        <f t="shared" ref="X118:X121" si="58">+P118-T118</f>
        <v>-488.44</v>
      </c>
      <c r="Y118" s="1"/>
      <c r="Z118" s="5">
        <f t="shared" ref="Z118:Z121" si="59">IF(T118=0,0,X118/T118)</f>
        <v>-3.1512258064516128</v>
      </c>
    </row>
    <row r="119" spans="1:26" s="24" customFormat="1" hidden="1" outlineLevel="2" x14ac:dyDescent="0.25">
      <c r="A119" s="27"/>
      <c r="B119" s="12" t="str">
        <f>CONCATENATE("          ", "6283", " - ", "PLANT SERVICE")</f>
        <v xml:space="preserve">          6283 - PLANT SERVICE</v>
      </c>
      <c r="C119" s="12"/>
      <c r="D119" s="7"/>
      <c r="E119" s="3"/>
      <c r="F119" s="8">
        <f t="shared" si="52"/>
        <v>0</v>
      </c>
      <c r="G119" s="3"/>
      <c r="H119" s="7">
        <v>0</v>
      </c>
      <c r="I119" s="3"/>
      <c r="J119" s="8">
        <f t="shared" si="53"/>
        <v>0</v>
      </c>
      <c r="K119" s="3"/>
      <c r="L119" s="7">
        <f t="shared" si="54"/>
        <v>0</v>
      </c>
      <c r="M119" s="3"/>
      <c r="N119" s="8">
        <f t="shared" si="55"/>
        <v>0</v>
      </c>
      <c r="O119" s="12"/>
      <c r="P119" s="7"/>
      <c r="Q119" s="3"/>
      <c r="R119" s="8">
        <f t="shared" si="56"/>
        <v>0</v>
      </c>
      <c r="S119" s="3"/>
      <c r="T119" s="7">
        <v>0</v>
      </c>
      <c r="U119" s="3"/>
      <c r="V119" s="8">
        <f t="shared" si="57"/>
        <v>0</v>
      </c>
      <c r="W119" s="3"/>
      <c r="X119" s="7">
        <f t="shared" si="58"/>
        <v>0</v>
      </c>
      <c r="Y119" s="3"/>
      <c r="Z119" s="8">
        <f t="shared" si="59"/>
        <v>0</v>
      </c>
    </row>
    <row r="120" spans="1:26" s="24" customFormat="1" hidden="1" outlineLevel="2" x14ac:dyDescent="0.25">
      <c r="A120" s="27"/>
      <c r="B120" s="12" t="str">
        <f>CONCATENATE("          ", "6284", " - ", "TRASH REMOVAL EXPENSE")</f>
        <v xml:space="preserve">          6284 - TRASH REMOVAL EXPENSE</v>
      </c>
      <c r="C120" s="12"/>
      <c r="D120" s="7">
        <v>142.57</v>
      </c>
      <c r="E120" s="3"/>
      <c r="F120" s="8">
        <f t="shared" si="52"/>
        <v>8.1570735278619255E-4</v>
      </c>
      <c r="G120" s="3"/>
      <c r="H120" s="7">
        <v>55</v>
      </c>
      <c r="I120" s="3"/>
      <c r="J120" s="8">
        <f t="shared" si="53"/>
        <v>2.3918139081804385E-4</v>
      </c>
      <c r="K120" s="3"/>
      <c r="L120" s="7">
        <f t="shared" si="54"/>
        <v>87.57</v>
      </c>
      <c r="M120" s="3"/>
      <c r="N120" s="8">
        <f t="shared" si="55"/>
        <v>1.5921818181818181</v>
      </c>
      <c r="O120" s="12"/>
      <c r="P120" s="7">
        <v>142.57</v>
      </c>
      <c r="Q120" s="3"/>
      <c r="R120" s="8">
        <f t="shared" si="56"/>
        <v>8.1570735278619255E-4</v>
      </c>
      <c r="S120" s="3"/>
      <c r="T120" s="7">
        <v>55</v>
      </c>
      <c r="U120" s="3"/>
      <c r="V120" s="8">
        <f t="shared" si="57"/>
        <v>2.3918139081804385E-4</v>
      </c>
      <c r="W120" s="3"/>
      <c r="X120" s="7">
        <f t="shared" si="58"/>
        <v>87.57</v>
      </c>
      <c r="Y120" s="3"/>
      <c r="Z120" s="8">
        <f t="shared" si="59"/>
        <v>1.5921818181818181</v>
      </c>
    </row>
    <row r="121" spans="1:26" s="24" customFormat="1" hidden="1" outlineLevel="2" x14ac:dyDescent="0.25">
      <c r="A121" s="27"/>
      <c r="B121" s="12" t="str">
        <f>CONCATENATE("          ", "6285", " - ", "JANITORIAL SERVICES")</f>
        <v xml:space="preserve">          6285 - JANITORIAL SERVICES</v>
      </c>
      <c r="C121" s="12"/>
      <c r="D121" s="7">
        <v>-476.01</v>
      </c>
      <c r="E121" s="3"/>
      <c r="F121" s="8">
        <f t="shared" si="52"/>
        <v>-2.7234681700200286E-3</v>
      </c>
      <c r="G121" s="3"/>
      <c r="H121" s="7">
        <v>100</v>
      </c>
      <c r="I121" s="3"/>
      <c r="J121" s="8">
        <f t="shared" si="53"/>
        <v>4.3487525603280697E-4</v>
      </c>
      <c r="K121" s="3"/>
      <c r="L121" s="7">
        <f t="shared" si="54"/>
        <v>-576.01</v>
      </c>
      <c r="M121" s="3"/>
      <c r="N121" s="8">
        <f t="shared" si="55"/>
        <v>-5.7600999999999996</v>
      </c>
      <c r="O121" s="12"/>
      <c r="P121" s="7">
        <v>-476.01</v>
      </c>
      <c r="Q121" s="3"/>
      <c r="R121" s="8">
        <f t="shared" si="56"/>
        <v>-2.7234681700200286E-3</v>
      </c>
      <c r="S121" s="3"/>
      <c r="T121" s="7">
        <v>100</v>
      </c>
      <c r="U121" s="3"/>
      <c r="V121" s="8">
        <f t="shared" si="57"/>
        <v>4.3487525603280697E-4</v>
      </c>
      <c r="W121" s="3"/>
      <c r="X121" s="7">
        <f t="shared" si="58"/>
        <v>-576.01</v>
      </c>
      <c r="Y121" s="3"/>
      <c r="Z121" s="8">
        <f t="shared" si="59"/>
        <v>-5.7600999999999996</v>
      </c>
    </row>
    <row r="122" spans="1:26" s="29" customFormat="1" outlineLevel="1" collapsed="1" x14ac:dyDescent="0.25">
      <c r="A122" s="28"/>
      <c r="B122" s="14" t="str">
        <f>CONCATENATE("     ","Subscriptions &amp; Dues                              ")</f>
        <v xml:space="preserve">     Subscriptions &amp; Dues                              </v>
      </c>
      <c r="C122" s="14"/>
      <c r="D122" s="1">
        <f>SUM(OSRRefD22_17x_0)</f>
        <v>75</v>
      </c>
      <c r="E122" s="1"/>
      <c r="F122" s="5">
        <f t="shared" ref="F122:F124" si="60">IF(D$12=0,0,D122/D$12)</f>
        <v>4.2910886903952051E-4</v>
      </c>
      <c r="G122" s="1"/>
      <c r="H122" s="1">
        <f>SUM(OSRRefH22_17x_0)</f>
        <v>1395</v>
      </c>
      <c r="I122" s="1"/>
      <c r="J122" s="5">
        <f t="shared" ref="J122:J124" si="61">IF(H$12=0,0,H122/H$12)</f>
        <v>6.0665098216576572E-3</v>
      </c>
      <c r="K122" s="1"/>
      <c r="L122" s="1">
        <f t="shared" ref="L122:L124" si="62">+D122-H122</f>
        <v>-1320</v>
      </c>
      <c r="M122" s="1"/>
      <c r="N122" s="5">
        <f t="shared" ref="N122:N124" si="63">IF(H122=0,0,L122/H122)</f>
        <v>-0.94623655913978499</v>
      </c>
      <c r="O122" s="14"/>
      <c r="P122" s="1">
        <f>SUM(OSRRefP22_17x_0)</f>
        <v>75</v>
      </c>
      <c r="Q122" s="1"/>
      <c r="R122" s="5">
        <f t="shared" ref="R122:R124" si="64">IF(P$12=0,0,P122/P$12)</f>
        <v>4.2910886903952051E-4</v>
      </c>
      <c r="S122" s="1"/>
      <c r="T122" s="1">
        <f>SUM(OSRRefT22_17x_0)</f>
        <v>1395</v>
      </c>
      <c r="U122" s="1"/>
      <c r="V122" s="5">
        <f t="shared" ref="V122:V124" si="65">IF(T$12=0,0,T122/T$12)</f>
        <v>6.0665098216576572E-3</v>
      </c>
      <c r="W122" s="1"/>
      <c r="X122" s="1">
        <f t="shared" ref="X122:X124" si="66">+P122-T122</f>
        <v>-1320</v>
      </c>
      <c r="Y122" s="1"/>
      <c r="Z122" s="5">
        <f t="shared" ref="Z122:Z124" si="67">IF(T122=0,0,X122/T122)</f>
        <v>-0.94623655913978499</v>
      </c>
    </row>
    <row r="123" spans="1:26" s="24" customFormat="1" hidden="1" outlineLevel="2" x14ac:dyDescent="0.25">
      <c r="A123" s="27"/>
      <c r="B123" s="12" t="str">
        <f>CONCATENATE("          ", "6258", " - ", "MEMBERSHIP DUES")</f>
        <v xml:space="preserve">          6258 - MEMBERSHIP DUES</v>
      </c>
      <c r="C123" s="12"/>
      <c r="D123" s="7"/>
      <c r="E123" s="3"/>
      <c r="F123" s="8">
        <f t="shared" si="60"/>
        <v>0</v>
      </c>
      <c r="G123" s="3"/>
      <c r="H123" s="7">
        <v>1395</v>
      </c>
      <c r="I123" s="3"/>
      <c r="J123" s="8">
        <f t="shared" si="61"/>
        <v>6.0665098216576572E-3</v>
      </c>
      <c r="K123" s="3"/>
      <c r="L123" s="7">
        <f t="shared" si="62"/>
        <v>-1395</v>
      </c>
      <c r="M123" s="3"/>
      <c r="N123" s="8">
        <f t="shared" si="63"/>
        <v>-1</v>
      </c>
      <c r="O123" s="12"/>
      <c r="P123" s="7"/>
      <c r="Q123" s="3"/>
      <c r="R123" s="8">
        <f t="shared" si="64"/>
        <v>0</v>
      </c>
      <c r="S123" s="3"/>
      <c r="T123" s="7">
        <v>1395</v>
      </c>
      <c r="U123" s="3"/>
      <c r="V123" s="8">
        <f t="shared" si="65"/>
        <v>6.0665098216576572E-3</v>
      </c>
      <c r="W123" s="3"/>
      <c r="X123" s="7">
        <f t="shared" si="66"/>
        <v>-1395</v>
      </c>
      <c r="Y123" s="3"/>
      <c r="Z123" s="8">
        <f t="shared" si="67"/>
        <v>-1</v>
      </c>
    </row>
    <row r="124" spans="1:26" s="24" customFormat="1" hidden="1" outlineLevel="2" x14ac:dyDescent="0.25">
      <c r="A124" s="27"/>
      <c r="B124" s="12" t="str">
        <f>CONCATENATE("          ", "6275", " - ", "SUBSCRIPTIONS")</f>
        <v xml:space="preserve">          6275 - SUBSCRIPTIONS</v>
      </c>
      <c r="C124" s="12"/>
      <c r="D124" s="7">
        <v>75</v>
      </c>
      <c r="E124" s="3"/>
      <c r="F124" s="8">
        <f t="shared" si="60"/>
        <v>4.2910886903952051E-4</v>
      </c>
      <c r="G124" s="3"/>
      <c r="H124" s="7">
        <v>0</v>
      </c>
      <c r="I124" s="3"/>
      <c r="J124" s="8">
        <f t="shared" si="61"/>
        <v>0</v>
      </c>
      <c r="K124" s="3"/>
      <c r="L124" s="7">
        <f t="shared" si="62"/>
        <v>75</v>
      </c>
      <c r="M124" s="3"/>
      <c r="N124" s="8">
        <f t="shared" si="63"/>
        <v>0</v>
      </c>
      <c r="O124" s="12"/>
      <c r="P124" s="7">
        <v>75</v>
      </c>
      <c r="Q124" s="3"/>
      <c r="R124" s="8">
        <f t="shared" si="64"/>
        <v>4.2910886903952051E-4</v>
      </c>
      <c r="S124" s="3"/>
      <c r="T124" s="7">
        <v>0</v>
      </c>
      <c r="U124" s="3"/>
      <c r="V124" s="8">
        <f t="shared" si="65"/>
        <v>0</v>
      </c>
      <c r="W124" s="3"/>
      <c r="X124" s="7">
        <f t="shared" si="66"/>
        <v>75</v>
      </c>
      <c r="Y124" s="3"/>
      <c r="Z124" s="8">
        <f t="shared" si="67"/>
        <v>0</v>
      </c>
    </row>
    <row r="125" spans="1:26" s="29" customFormat="1" outlineLevel="1" collapsed="1" x14ac:dyDescent="0.25">
      <c r="A125" s="28"/>
      <c r="B125" s="14" t="str">
        <f>CONCATENATE("     ","Supplies                                          ")</f>
        <v xml:space="preserve">     Supplies                                          </v>
      </c>
      <c r="C125" s="14"/>
      <c r="D125" s="1">
        <f>SUM(OSRRefD22_18x_0)</f>
        <v>1149.0700000000002</v>
      </c>
      <c r="E125" s="1"/>
      <c r="F125" s="5">
        <f t="shared" ref="F125:F133" si="68">IF(D$12=0,0,D125/D$12)</f>
        <v>6.5743483752965593E-3</v>
      </c>
      <c r="G125" s="1"/>
      <c r="H125" s="1">
        <f>SUM(OSRRefH22_18x_0)</f>
        <v>635</v>
      </c>
      <c r="I125" s="1"/>
      <c r="J125" s="5">
        <f t="shared" ref="J125:J133" si="69">IF(H$12=0,0,H125/H$12)</f>
        <v>2.7614578758083244E-3</v>
      </c>
      <c r="K125" s="1"/>
      <c r="L125" s="1">
        <f t="shared" ref="L125:L133" si="70">+D125-H125</f>
        <v>514.07000000000016</v>
      </c>
      <c r="M125" s="1"/>
      <c r="N125" s="5">
        <f t="shared" ref="N125:N133" si="71">IF(H125=0,0,L125/H125)</f>
        <v>0.80955905511811055</v>
      </c>
      <c r="O125" s="14"/>
      <c r="P125" s="1">
        <f>SUM(OSRRefP22_18x_0)</f>
        <v>1149.0700000000002</v>
      </c>
      <c r="Q125" s="1"/>
      <c r="R125" s="5">
        <f t="shared" ref="R125:R133" si="72">IF(P$12=0,0,P125/P$12)</f>
        <v>6.5743483752965593E-3</v>
      </c>
      <c r="S125" s="1"/>
      <c r="T125" s="1">
        <f>SUM(OSRRefT22_18x_0)</f>
        <v>635</v>
      </c>
      <c r="U125" s="1"/>
      <c r="V125" s="5">
        <f t="shared" ref="V125:V133" si="73">IF(T$12=0,0,T125/T$12)</f>
        <v>2.7614578758083244E-3</v>
      </c>
      <c r="W125" s="1"/>
      <c r="X125" s="1">
        <f t="shared" ref="X125:X133" si="74">+P125-T125</f>
        <v>514.07000000000016</v>
      </c>
      <c r="Y125" s="1"/>
      <c r="Z125" s="5">
        <f t="shared" ref="Z125:Z133" si="75">IF(T125=0,0,X125/T125)</f>
        <v>0.80955905511811055</v>
      </c>
    </row>
    <row r="126" spans="1:26" s="24" customFormat="1" hidden="1" outlineLevel="2" x14ac:dyDescent="0.25">
      <c r="A126" s="27"/>
      <c r="B126" s="12" t="str">
        <f>CONCATENATE("          ", "6234", " - ", "EXPENDABLE SUPPLIES &amp; EQUIPMEN")</f>
        <v xml:space="preserve">          6234 - EXPENDABLE SUPPLIES &amp; EQUIPMEN</v>
      </c>
      <c r="C126" s="12"/>
      <c r="D126" s="7"/>
      <c r="E126" s="3"/>
      <c r="F126" s="8">
        <f t="shared" si="68"/>
        <v>0</v>
      </c>
      <c r="G126" s="3"/>
      <c r="H126" s="7">
        <v>50</v>
      </c>
      <c r="I126" s="3"/>
      <c r="J126" s="8">
        <f t="shared" si="69"/>
        <v>2.1743762801640349E-4</v>
      </c>
      <c r="K126" s="3"/>
      <c r="L126" s="7">
        <f t="shared" si="70"/>
        <v>-50</v>
      </c>
      <c r="M126" s="3"/>
      <c r="N126" s="8">
        <f t="shared" si="71"/>
        <v>-1</v>
      </c>
      <c r="O126" s="12"/>
      <c r="P126" s="7"/>
      <c r="Q126" s="3"/>
      <c r="R126" s="8">
        <f t="shared" si="72"/>
        <v>0</v>
      </c>
      <c r="S126" s="3"/>
      <c r="T126" s="7">
        <v>50</v>
      </c>
      <c r="U126" s="3"/>
      <c r="V126" s="8">
        <f t="shared" si="73"/>
        <v>2.1743762801640349E-4</v>
      </c>
      <c r="W126" s="3"/>
      <c r="X126" s="7">
        <f t="shared" si="74"/>
        <v>-50</v>
      </c>
      <c r="Y126" s="3"/>
      <c r="Z126" s="8">
        <f t="shared" si="75"/>
        <v>-1</v>
      </c>
    </row>
    <row r="127" spans="1:26" s="24" customFormat="1" hidden="1" outlineLevel="2" x14ac:dyDescent="0.25">
      <c r="A127" s="27"/>
      <c r="B127" s="12" t="str">
        <f>CONCATENATE("          ", "6235", " - ", "COVID-19 EXPENSES")</f>
        <v xml:space="preserve">          6235 - COVID-19 EXPENSES</v>
      </c>
      <c r="C127" s="12"/>
      <c r="D127" s="7">
        <v>961.38</v>
      </c>
      <c r="E127" s="3"/>
      <c r="F127" s="8">
        <f t="shared" si="68"/>
        <v>5.5004891268961896E-3</v>
      </c>
      <c r="G127" s="3"/>
      <c r="H127" s="7">
        <v>200</v>
      </c>
      <c r="I127" s="3"/>
      <c r="J127" s="8">
        <f t="shared" si="69"/>
        <v>8.6975051206561395E-4</v>
      </c>
      <c r="K127" s="3"/>
      <c r="L127" s="7">
        <f t="shared" si="70"/>
        <v>761.38</v>
      </c>
      <c r="M127" s="3"/>
      <c r="N127" s="8">
        <f t="shared" si="71"/>
        <v>3.8069000000000002</v>
      </c>
      <c r="O127" s="12"/>
      <c r="P127" s="7">
        <v>961.38</v>
      </c>
      <c r="Q127" s="3"/>
      <c r="R127" s="8">
        <f t="shared" si="72"/>
        <v>5.5004891268961896E-3</v>
      </c>
      <c r="S127" s="3"/>
      <c r="T127" s="7">
        <v>200</v>
      </c>
      <c r="U127" s="3"/>
      <c r="V127" s="8">
        <f t="shared" si="73"/>
        <v>8.6975051206561395E-4</v>
      </c>
      <c r="W127" s="3"/>
      <c r="X127" s="7">
        <f t="shared" si="74"/>
        <v>761.38</v>
      </c>
      <c r="Y127" s="3"/>
      <c r="Z127" s="8">
        <f t="shared" si="75"/>
        <v>3.8069000000000002</v>
      </c>
    </row>
    <row r="128" spans="1:26" s="24" customFormat="1" hidden="1" outlineLevel="2" x14ac:dyDescent="0.25">
      <c r="A128" s="27"/>
      <c r="B128" s="12" t="str">
        <f>CONCATENATE("          ", "6237", " - ", "JANITORIAL SUPPLIES")</f>
        <v xml:space="preserve">          6237 - JANITORIAL SUPPLIES</v>
      </c>
      <c r="C128" s="12"/>
      <c r="D128" s="7">
        <v>139.31</v>
      </c>
      <c r="E128" s="3"/>
      <c r="F128" s="8">
        <f t="shared" si="68"/>
        <v>7.970554206119414E-4</v>
      </c>
      <c r="G128" s="3"/>
      <c r="H128" s="7">
        <v>60</v>
      </c>
      <c r="I128" s="3"/>
      <c r="J128" s="8">
        <f t="shared" si="69"/>
        <v>2.6092515361968421E-4</v>
      </c>
      <c r="K128" s="3"/>
      <c r="L128" s="7">
        <f t="shared" si="70"/>
        <v>79.31</v>
      </c>
      <c r="M128" s="3"/>
      <c r="N128" s="8">
        <f t="shared" si="71"/>
        <v>1.3218333333333334</v>
      </c>
      <c r="O128" s="12"/>
      <c r="P128" s="7">
        <v>139.31</v>
      </c>
      <c r="Q128" s="3"/>
      <c r="R128" s="8">
        <f t="shared" si="72"/>
        <v>7.970554206119414E-4</v>
      </c>
      <c r="S128" s="3"/>
      <c r="T128" s="7">
        <v>60</v>
      </c>
      <c r="U128" s="3"/>
      <c r="V128" s="8">
        <f t="shared" si="73"/>
        <v>2.6092515361968421E-4</v>
      </c>
      <c r="W128" s="3"/>
      <c r="X128" s="7">
        <f t="shared" si="74"/>
        <v>79.31</v>
      </c>
      <c r="Y128" s="3"/>
      <c r="Z128" s="8">
        <f t="shared" si="75"/>
        <v>1.3218333333333334</v>
      </c>
    </row>
    <row r="129" spans="1:26" s="24" customFormat="1" hidden="1" outlineLevel="2" x14ac:dyDescent="0.25">
      <c r="A129" s="27"/>
      <c r="B129" s="12" t="str">
        <f>CONCATENATE("          ", "6241", " - ", "OFFICE EXPENSE")</f>
        <v xml:space="preserve">          6241 - OFFICE EXPENSE</v>
      </c>
      <c r="C129" s="12"/>
      <c r="D129" s="7">
        <v>48.38</v>
      </c>
      <c r="E129" s="3"/>
      <c r="F129" s="8">
        <f t="shared" si="68"/>
        <v>2.7680382778842673E-4</v>
      </c>
      <c r="G129" s="3"/>
      <c r="H129" s="7">
        <v>125</v>
      </c>
      <c r="I129" s="3"/>
      <c r="J129" s="8">
        <f t="shared" si="69"/>
        <v>5.4359407004100869E-4</v>
      </c>
      <c r="K129" s="3"/>
      <c r="L129" s="7">
        <f t="shared" si="70"/>
        <v>-76.62</v>
      </c>
      <c r="M129" s="3"/>
      <c r="N129" s="8">
        <f t="shared" si="71"/>
        <v>-0.61296000000000006</v>
      </c>
      <c r="O129" s="12"/>
      <c r="P129" s="7">
        <v>48.38</v>
      </c>
      <c r="Q129" s="3"/>
      <c r="R129" s="8">
        <f t="shared" si="72"/>
        <v>2.7680382778842673E-4</v>
      </c>
      <c r="S129" s="3"/>
      <c r="T129" s="7">
        <v>125</v>
      </c>
      <c r="U129" s="3"/>
      <c r="V129" s="8">
        <f t="shared" si="73"/>
        <v>5.4359407004100869E-4</v>
      </c>
      <c r="W129" s="3"/>
      <c r="X129" s="7">
        <f t="shared" si="74"/>
        <v>-76.62</v>
      </c>
      <c r="Y129" s="3"/>
      <c r="Z129" s="8">
        <f t="shared" si="75"/>
        <v>-0.61296000000000006</v>
      </c>
    </row>
    <row r="130" spans="1:26" s="24" customFormat="1" hidden="1" outlineLevel="2" x14ac:dyDescent="0.25">
      <c r="A130" s="27"/>
      <c r="B130" s="12" t="str">
        <f>CONCATENATE("          ", "6243", " - ", "PAPER SUPPLIES")</f>
        <v xml:space="preserve">          6243 - PAPER SUPPLIES</v>
      </c>
      <c r="C130" s="12"/>
      <c r="D130" s="7"/>
      <c r="E130" s="3"/>
      <c r="F130" s="8">
        <f t="shared" si="68"/>
        <v>0</v>
      </c>
      <c r="G130" s="3"/>
      <c r="H130" s="7">
        <v>50</v>
      </c>
      <c r="I130" s="3"/>
      <c r="J130" s="8">
        <f t="shared" si="69"/>
        <v>2.1743762801640349E-4</v>
      </c>
      <c r="K130" s="3"/>
      <c r="L130" s="7">
        <f t="shared" si="70"/>
        <v>-50</v>
      </c>
      <c r="M130" s="3"/>
      <c r="N130" s="8">
        <f t="shared" si="71"/>
        <v>-1</v>
      </c>
      <c r="O130" s="12"/>
      <c r="P130" s="7"/>
      <c r="Q130" s="3"/>
      <c r="R130" s="8">
        <f t="shared" si="72"/>
        <v>0</v>
      </c>
      <c r="S130" s="3"/>
      <c r="T130" s="7">
        <v>50</v>
      </c>
      <c r="U130" s="3"/>
      <c r="V130" s="8">
        <f t="shared" si="73"/>
        <v>2.1743762801640349E-4</v>
      </c>
      <c r="W130" s="3"/>
      <c r="X130" s="7">
        <f t="shared" si="74"/>
        <v>-50</v>
      </c>
      <c r="Y130" s="3"/>
      <c r="Z130" s="8">
        <f t="shared" si="75"/>
        <v>-1</v>
      </c>
    </row>
    <row r="131" spans="1:26" s="24" customFormat="1" hidden="1" outlineLevel="2" x14ac:dyDescent="0.25">
      <c r="A131" s="27"/>
      <c r="B131" s="12" t="str">
        <f>CONCATENATE("          ", "6244", " - ", "SAFETY SUPPLY EXPENSE")</f>
        <v xml:space="preserve">          6244 - SAFETY SUPPLY EXPENSE</v>
      </c>
      <c r="C131" s="12"/>
      <c r="D131" s="7"/>
      <c r="E131" s="3"/>
      <c r="F131" s="8">
        <f t="shared" si="68"/>
        <v>0</v>
      </c>
      <c r="G131" s="3"/>
      <c r="H131" s="7">
        <v>25</v>
      </c>
      <c r="I131" s="3"/>
      <c r="J131" s="8">
        <f t="shared" si="69"/>
        <v>1.0871881400820174E-4</v>
      </c>
      <c r="K131" s="3"/>
      <c r="L131" s="7">
        <f t="shared" si="70"/>
        <v>-25</v>
      </c>
      <c r="M131" s="3"/>
      <c r="N131" s="8">
        <f t="shared" si="71"/>
        <v>-1</v>
      </c>
      <c r="O131" s="12"/>
      <c r="P131" s="7"/>
      <c r="Q131" s="3"/>
      <c r="R131" s="8">
        <f t="shared" si="72"/>
        <v>0</v>
      </c>
      <c r="S131" s="3"/>
      <c r="T131" s="7">
        <v>25</v>
      </c>
      <c r="U131" s="3"/>
      <c r="V131" s="8">
        <f t="shared" si="73"/>
        <v>1.0871881400820174E-4</v>
      </c>
      <c r="W131" s="3"/>
      <c r="X131" s="7">
        <f t="shared" si="74"/>
        <v>-25</v>
      </c>
      <c r="Y131" s="3"/>
      <c r="Z131" s="8">
        <f t="shared" si="75"/>
        <v>-1</v>
      </c>
    </row>
    <row r="132" spans="1:26" s="24" customFormat="1" hidden="1" outlineLevel="2" x14ac:dyDescent="0.25">
      <c r="A132" s="27"/>
      <c r="B132" s="12" t="str">
        <f>CONCATENATE("          ", "6245", " - ", "PRINTING")</f>
        <v xml:space="preserve">          6245 - PRINTING</v>
      </c>
      <c r="C132" s="12"/>
      <c r="D132" s="7"/>
      <c r="E132" s="3"/>
      <c r="F132" s="8">
        <f t="shared" si="68"/>
        <v>0</v>
      </c>
      <c r="G132" s="3"/>
      <c r="H132" s="7">
        <v>50</v>
      </c>
      <c r="I132" s="3"/>
      <c r="J132" s="8">
        <f t="shared" si="69"/>
        <v>2.1743762801640349E-4</v>
      </c>
      <c r="K132" s="3"/>
      <c r="L132" s="7">
        <f t="shared" si="70"/>
        <v>-50</v>
      </c>
      <c r="M132" s="3"/>
      <c r="N132" s="8">
        <f t="shared" si="71"/>
        <v>-1</v>
      </c>
      <c r="O132" s="12"/>
      <c r="P132" s="7"/>
      <c r="Q132" s="3"/>
      <c r="R132" s="8">
        <f t="shared" si="72"/>
        <v>0</v>
      </c>
      <c r="S132" s="3"/>
      <c r="T132" s="7">
        <v>50</v>
      </c>
      <c r="U132" s="3"/>
      <c r="V132" s="8">
        <f t="shared" si="73"/>
        <v>2.1743762801640349E-4</v>
      </c>
      <c r="W132" s="3"/>
      <c r="X132" s="7">
        <f t="shared" si="74"/>
        <v>-50</v>
      </c>
      <c r="Y132" s="3"/>
      <c r="Z132" s="8">
        <f t="shared" si="75"/>
        <v>-1</v>
      </c>
    </row>
    <row r="133" spans="1:26" s="24" customFormat="1" hidden="1" outlineLevel="2" x14ac:dyDescent="0.25">
      <c r="A133" s="27"/>
      <c r="B133" s="12" t="str">
        <f>CONCATENATE("          ", "6247", " - ", "STORE SUPPLIES")</f>
        <v xml:space="preserve">          6247 - STORE SUPPLIES</v>
      </c>
      <c r="C133" s="12"/>
      <c r="D133" s="7"/>
      <c r="E133" s="3"/>
      <c r="F133" s="8">
        <f t="shared" si="68"/>
        <v>0</v>
      </c>
      <c r="G133" s="3"/>
      <c r="H133" s="7">
        <v>75</v>
      </c>
      <c r="I133" s="3"/>
      <c r="J133" s="8">
        <f t="shared" si="69"/>
        <v>3.2615644202460526E-4</v>
      </c>
      <c r="K133" s="3"/>
      <c r="L133" s="7">
        <f t="shared" si="70"/>
        <v>-75</v>
      </c>
      <c r="M133" s="3"/>
      <c r="N133" s="8">
        <f t="shared" si="71"/>
        <v>-1</v>
      </c>
      <c r="O133" s="12"/>
      <c r="P133" s="7"/>
      <c r="Q133" s="3"/>
      <c r="R133" s="8">
        <f t="shared" si="72"/>
        <v>0</v>
      </c>
      <c r="S133" s="3"/>
      <c r="T133" s="7">
        <v>75</v>
      </c>
      <c r="U133" s="3"/>
      <c r="V133" s="8">
        <f t="shared" si="73"/>
        <v>3.2615644202460526E-4</v>
      </c>
      <c r="W133" s="3"/>
      <c r="X133" s="7">
        <f t="shared" si="74"/>
        <v>-75</v>
      </c>
      <c r="Y133" s="3"/>
      <c r="Z133" s="8">
        <f t="shared" si="75"/>
        <v>-1</v>
      </c>
    </row>
    <row r="134" spans="1:26" s="29" customFormat="1" outlineLevel="1" collapsed="1" x14ac:dyDescent="0.25">
      <c r="A134" s="28"/>
      <c r="B134" s="14" t="str">
        <f>CONCATENATE("     ","Telephone/Data Lines                              ")</f>
        <v xml:space="preserve">     Telephone/Data Lines                              </v>
      </c>
      <c r="C134" s="14"/>
      <c r="D134" s="1">
        <f>SUM(OSRRefD22_19x_0)</f>
        <v>792.54</v>
      </c>
      <c r="E134" s="1"/>
      <c r="F134" s="5">
        <f t="shared" ref="F134:F136" si="76">IF(D$12=0,0,D134/D$12)</f>
        <v>4.5344792409144213E-3</v>
      </c>
      <c r="G134" s="1"/>
      <c r="H134" s="1">
        <f>SUM(OSRRefH22_19x_0)</f>
        <v>830</v>
      </c>
      <c r="I134" s="1"/>
      <c r="J134" s="5">
        <f t="shared" ref="J134:J136" si="77">IF(H$12=0,0,H134/H$12)</f>
        <v>3.6094646250722979E-3</v>
      </c>
      <c r="K134" s="1"/>
      <c r="L134" s="1">
        <f t="shared" ref="L134:L136" si="78">+D134-H134</f>
        <v>-37.460000000000036</v>
      </c>
      <c r="M134" s="1"/>
      <c r="N134" s="5">
        <f t="shared" ref="N134:N136" si="79">IF(H134=0,0,L134/H134)</f>
        <v>-4.5132530120481969E-2</v>
      </c>
      <c r="O134" s="14"/>
      <c r="P134" s="1">
        <f>SUM(OSRRefP22_19x_0)</f>
        <v>792.54</v>
      </c>
      <c r="Q134" s="1"/>
      <c r="R134" s="5">
        <f t="shared" ref="R134:R136" si="80">IF(P$12=0,0,P134/P$12)</f>
        <v>4.5344792409144213E-3</v>
      </c>
      <c r="S134" s="1"/>
      <c r="T134" s="1">
        <f>SUM(OSRRefT22_19x_0)</f>
        <v>830</v>
      </c>
      <c r="U134" s="1"/>
      <c r="V134" s="5">
        <f t="shared" ref="V134:V136" si="81">IF(T$12=0,0,T134/T$12)</f>
        <v>3.6094646250722979E-3</v>
      </c>
      <c r="W134" s="1"/>
      <c r="X134" s="1">
        <f t="shared" ref="X134:X136" si="82">+P134-T134</f>
        <v>-37.460000000000036</v>
      </c>
      <c r="Y134" s="1"/>
      <c r="Z134" s="5">
        <f t="shared" ref="Z134:Z136" si="83">IF(T134=0,0,X134/T134)</f>
        <v>-4.5132530120481969E-2</v>
      </c>
    </row>
    <row r="135" spans="1:26" s="24" customFormat="1" hidden="1" outlineLevel="2" x14ac:dyDescent="0.25">
      <c r="A135" s="27"/>
      <c r="B135" s="12" t="str">
        <f>CONCATENATE("          ", "6303", " - ", "DATA PHONE LINES")</f>
        <v xml:space="preserve">          6303 - DATA PHONE LINES</v>
      </c>
      <c r="C135" s="12"/>
      <c r="D135" s="7"/>
      <c r="E135" s="3"/>
      <c r="F135" s="8">
        <f t="shared" si="76"/>
        <v>0</v>
      </c>
      <c r="G135" s="3"/>
      <c r="H135" s="7">
        <v>230</v>
      </c>
      <c r="I135" s="3"/>
      <c r="J135" s="8">
        <f t="shared" si="77"/>
        <v>1.0002130888754561E-3</v>
      </c>
      <c r="K135" s="3"/>
      <c r="L135" s="7">
        <f t="shared" si="78"/>
        <v>-230</v>
      </c>
      <c r="M135" s="3"/>
      <c r="N135" s="8">
        <f t="shared" si="79"/>
        <v>-1</v>
      </c>
      <c r="O135" s="12"/>
      <c r="P135" s="7"/>
      <c r="Q135" s="3"/>
      <c r="R135" s="8">
        <f t="shared" si="80"/>
        <v>0</v>
      </c>
      <c r="S135" s="3"/>
      <c r="T135" s="7">
        <v>230</v>
      </c>
      <c r="U135" s="3"/>
      <c r="V135" s="8">
        <f t="shared" si="81"/>
        <v>1.0002130888754561E-3</v>
      </c>
      <c r="W135" s="3"/>
      <c r="X135" s="7">
        <f t="shared" si="82"/>
        <v>-230</v>
      </c>
      <c r="Y135" s="3"/>
      <c r="Z135" s="8">
        <f t="shared" si="83"/>
        <v>-1</v>
      </c>
    </row>
    <row r="136" spans="1:26" s="24" customFormat="1" hidden="1" outlineLevel="2" x14ac:dyDescent="0.25">
      <c r="A136" s="27"/>
      <c r="B136" s="12" t="str">
        <f>CONCATENATE("          ", "6309", " - ", "TELEPHONE")</f>
        <v xml:space="preserve">          6309 - TELEPHONE</v>
      </c>
      <c r="C136" s="12"/>
      <c r="D136" s="7">
        <v>792.54</v>
      </c>
      <c r="E136" s="3"/>
      <c r="F136" s="8">
        <f t="shared" si="76"/>
        <v>4.5344792409144213E-3</v>
      </c>
      <c r="G136" s="3"/>
      <c r="H136" s="7">
        <v>600</v>
      </c>
      <c r="I136" s="3"/>
      <c r="J136" s="8">
        <f t="shared" si="77"/>
        <v>2.6092515361968421E-3</v>
      </c>
      <c r="K136" s="3"/>
      <c r="L136" s="7">
        <f t="shared" si="78"/>
        <v>192.53999999999996</v>
      </c>
      <c r="M136" s="3"/>
      <c r="N136" s="8">
        <f t="shared" si="79"/>
        <v>0.32089999999999996</v>
      </c>
      <c r="O136" s="12"/>
      <c r="P136" s="7">
        <v>792.54</v>
      </c>
      <c r="Q136" s="3"/>
      <c r="R136" s="8">
        <f t="shared" si="80"/>
        <v>4.5344792409144213E-3</v>
      </c>
      <c r="S136" s="3"/>
      <c r="T136" s="7">
        <v>600</v>
      </c>
      <c r="U136" s="3"/>
      <c r="V136" s="8">
        <f t="shared" si="81"/>
        <v>2.6092515361968421E-3</v>
      </c>
      <c r="W136" s="3"/>
      <c r="X136" s="7">
        <f t="shared" si="82"/>
        <v>192.53999999999996</v>
      </c>
      <c r="Y136" s="3"/>
      <c r="Z136" s="8">
        <f t="shared" si="83"/>
        <v>0.32089999999999996</v>
      </c>
    </row>
    <row r="137" spans="1:26" s="29" customFormat="1" outlineLevel="1" collapsed="1" x14ac:dyDescent="0.25">
      <c r="A137" s="28"/>
      <c r="B137" s="14" t="str">
        <f>CONCATENATE("     ","Training                                          ")</f>
        <v xml:space="preserve">     Training                                          </v>
      </c>
      <c r="C137" s="14"/>
      <c r="D137" s="1">
        <f>SUM(OSRRefD22_20x_0)</f>
        <v>0</v>
      </c>
      <c r="E137" s="1"/>
      <c r="F137" s="5">
        <f t="shared" ref="F137:F141" si="84">IF(D$12=0,0,D137/D$12)</f>
        <v>0</v>
      </c>
      <c r="G137" s="1"/>
      <c r="H137" s="1">
        <f>SUM(OSRRefH22_20x_0)</f>
        <v>0</v>
      </c>
      <c r="I137" s="1"/>
      <c r="J137" s="5">
        <f t="shared" ref="J137:J141" si="85">IF(H$12=0,0,H137/H$12)</f>
        <v>0</v>
      </c>
      <c r="K137" s="1"/>
      <c r="L137" s="1">
        <f t="shared" ref="L137:L141" si="86">+D137-H137</f>
        <v>0</v>
      </c>
      <c r="M137" s="1"/>
      <c r="N137" s="5">
        <f t="shared" ref="N137:N141" si="87">IF(H137=0,0,L137/H137)</f>
        <v>0</v>
      </c>
      <c r="O137" s="14"/>
      <c r="P137" s="1">
        <f>SUM(OSRRefP22_20x_0)</f>
        <v>0</v>
      </c>
      <c r="Q137" s="1"/>
      <c r="R137" s="5">
        <f t="shared" ref="R137:R141" si="88">IF(P$12=0,0,P137/P$12)</f>
        <v>0</v>
      </c>
      <c r="S137" s="1"/>
      <c r="T137" s="1">
        <f>SUM(OSRRefT22_20x_0)</f>
        <v>0</v>
      </c>
      <c r="U137" s="1"/>
      <c r="V137" s="5">
        <f t="shared" ref="V137:V141" si="89">IF(T$12=0,0,T137/T$12)</f>
        <v>0</v>
      </c>
      <c r="W137" s="1"/>
      <c r="X137" s="1">
        <f t="shared" ref="X137:X141" si="90">+P137-T137</f>
        <v>0</v>
      </c>
      <c r="Y137" s="1"/>
      <c r="Z137" s="5">
        <f t="shared" ref="Z137:Z141" si="91">IF(T137=0,0,X137/T137)</f>
        <v>0</v>
      </c>
    </row>
    <row r="138" spans="1:26" s="24" customFormat="1" hidden="1" outlineLevel="2" x14ac:dyDescent="0.25">
      <c r="A138" s="27"/>
      <c r="B138" s="12" t="str">
        <f>CONCATENATE("          ", "6376", " - ", "TRAINING")</f>
        <v xml:space="preserve">          6376 - TRAINING</v>
      </c>
      <c r="C138" s="12"/>
      <c r="D138" s="7"/>
      <c r="E138" s="3"/>
      <c r="F138" s="8">
        <f t="shared" si="84"/>
        <v>0</v>
      </c>
      <c r="G138" s="3"/>
      <c r="H138" s="7">
        <v>0</v>
      </c>
      <c r="I138" s="3"/>
      <c r="J138" s="8">
        <f t="shared" si="85"/>
        <v>0</v>
      </c>
      <c r="K138" s="3"/>
      <c r="L138" s="7">
        <f t="shared" si="86"/>
        <v>0</v>
      </c>
      <c r="M138" s="3"/>
      <c r="N138" s="8">
        <f t="shared" si="87"/>
        <v>0</v>
      </c>
      <c r="O138" s="12"/>
      <c r="P138" s="7"/>
      <c r="Q138" s="3"/>
      <c r="R138" s="8">
        <f t="shared" si="88"/>
        <v>0</v>
      </c>
      <c r="S138" s="3"/>
      <c r="T138" s="7">
        <v>0</v>
      </c>
      <c r="U138" s="3"/>
      <c r="V138" s="8">
        <f t="shared" si="89"/>
        <v>0</v>
      </c>
      <c r="W138" s="3"/>
      <c r="X138" s="7">
        <f t="shared" si="90"/>
        <v>0</v>
      </c>
      <c r="Y138" s="3"/>
      <c r="Z138" s="8">
        <f t="shared" si="91"/>
        <v>0</v>
      </c>
    </row>
    <row r="139" spans="1:26" s="29" customFormat="1" outlineLevel="1" collapsed="1" x14ac:dyDescent="0.25">
      <c r="A139" s="28"/>
      <c r="B139" s="14" t="str">
        <f>CONCATENATE("     ","Travel                                            ")</f>
        <v xml:space="preserve">     Travel                                            </v>
      </c>
      <c r="C139" s="14"/>
      <c r="D139" s="1">
        <f>SUM(OSRRefD22_21x_0)</f>
        <v>215.16</v>
      </c>
      <c r="E139" s="1"/>
      <c r="F139" s="5">
        <f t="shared" si="84"/>
        <v>1.2310275235005764E-3</v>
      </c>
      <c r="G139" s="1"/>
      <c r="H139" s="1">
        <f>SUM(OSRRefH22_21x_0)</f>
        <v>50</v>
      </c>
      <c r="I139" s="1"/>
      <c r="J139" s="5">
        <f t="shared" si="85"/>
        <v>2.1743762801640349E-4</v>
      </c>
      <c r="K139" s="1"/>
      <c r="L139" s="1">
        <f t="shared" si="86"/>
        <v>165.16</v>
      </c>
      <c r="M139" s="1"/>
      <c r="N139" s="5">
        <f t="shared" si="87"/>
        <v>3.3031999999999999</v>
      </c>
      <c r="O139" s="14"/>
      <c r="P139" s="1">
        <f>SUM(OSRRefP22_21x_0)</f>
        <v>215.16</v>
      </c>
      <c r="Q139" s="1"/>
      <c r="R139" s="5">
        <f t="shared" si="88"/>
        <v>1.2310275235005764E-3</v>
      </c>
      <c r="S139" s="1"/>
      <c r="T139" s="1">
        <f>SUM(OSRRefT22_21x_0)</f>
        <v>50</v>
      </c>
      <c r="U139" s="1"/>
      <c r="V139" s="5">
        <f t="shared" si="89"/>
        <v>2.1743762801640349E-4</v>
      </c>
      <c r="W139" s="1"/>
      <c r="X139" s="1">
        <f t="shared" si="90"/>
        <v>165.16</v>
      </c>
      <c r="Y139" s="1"/>
      <c r="Z139" s="5">
        <f t="shared" si="91"/>
        <v>3.3031999999999999</v>
      </c>
    </row>
    <row r="140" spans="1:26" s="24" customFormat="1" hidden="1" outlineLevel="2" x14ac:dyDescent="0.25">
      <c r="A140" s="27"/>
      <c r="B140" s="12" t="str">
        <f>CONCATENATE("          ", "6294", " - ", "TRAVEL OPERATIONAL")</f>
        <v xml:space="preserve">          6294 - TRAVEL OPERATIONAL</v>
      </c>
      <c r="C140" s="12"/>
      <c r="D140" s="7">
        <v>215.16</v>
      </c>
      <c r="E140" s="3"/>
      <c r="F140" s="8">
        <f t="shared" si="84"/>
        <v>1.2310275235005764E-3</v>
      </c>
      <c r="G140" s="3"/>
      <c r="H140" s="7">
        <v>25</v>
      </c>
      <c r="I140" s="3"/>
      <c r="J140" s="8">
        <f t="shared" si="85"/>
        <v>1.0871881400820174E-4</v>
      </c>
      <c r="K140" s="3"/>
      <c r="L140" s="7">
        <f t="shared" si="86"/>
        <v>190.16</v>
      </c>
      <c r="M140" s="3"/>
      <c r="N140" s="8">
        <f t="shared" si="87"/>
        <v>7.6063999999999998</v>
      </c>
      <c r="O140" s="12"/>
      <c r="P140" s="7">
        <v>215.16</v>
      </c>
      <c r="Q140" s="3"/>
      <c r="R140" s="8">
        <f t="shared" si="88"/>
        <v>1.2310275235005764E-3</v>
      </c>
      <c r="S140" s="3"/>
      <c r="T140" s="7">
        <v>25</v>
      </c>
      <c r="U140" s="3"/>
      <c r="V140" s="8">
        <f t="shared" si="89"/>
        <v>1.0871881400820174E-4</v>
      </c>
      <c r="W140" s="3"/>
      <c r="X140" s="7">
        <f t="shared" si="90"/>
        <v>190.16</v>
      </c>
      <c r="Y140" s="3"/>
      <c r="Z140" s="8">
        <f t="shared" si="91"/>
        <v>7.6063999999999998</v>
      </c>
    </row>
    <row r="141" spans="1:26" s="24" customFormat="1" hidden="1" outlineLevel="2" x14ac:dyDescent="0.25">
      <c r="A141" s="27"/>
      <c r="B141" s="12" t="str">
        <f>CONCATENATE("          ", "6298", " - ", "VEHICLE MILEAGE")</f>
        <v xml:space="preserve">          6298 - VEHICLE MILEAGE</v>
      </c>
      <c r="C141" s="12"/>
      <c r="D141" s="7"/>
      <c r="E141" s="3"/>
      <c r="F141" s="8">
        <f t="shared" si="84"/>
        <v>0</v>
      </c>
      <c r="G141" s="3"/>
      <c r="H141" s="7">
        <v>25</v>
      </c>
      <c r="I141" s="3"/>
      <c r="J141" s="8">
        <f t="shared" si="85"/>
        <v>1.0871881400820174E-4</v>
      </c>
      <c r="K141" s="3"/>
      <c r="L141" s="7">
        <f t="shared" si="86"/>
        <v>-25</v>
      </c>
      <c r="M141" s="3"/>
      <c r="N141" s="8">
        <f t="shared" si="87"/>
        <v>-1</v>
      </c>
      <c r="O141" s="12"/>
      <c r="P141" s="7"/>
      <c r="Q141" s="3"/>
      <c r="R141" s="8">
        <f t="shared" si="88"/>
        <v>0</v>
      </c>
      <c r="S141" s="3"/>
      <c r="T141" s="7">
        <v>25</v>
      </c>
      <c r="U141" s="3"/>
      <c r="V141" s="8">
        <f t="shared" si="89"/>
        <v>1.0871881400820174E-4</v>
      </c>
      <c r="W141" s="3"/>
      <c r="X141" s="7">
        <f t="shared" si="90"/>
        <v>-25</v>
      </c>
      <c r="Y141" s="3"/>
      <c r="Z141" s="8">
        <f t="shared" si="91"/>
        <v>-1</v>
      </c>
    </row>
    <row r="142" spans="1:26" s="29" customFormat="1" outlineLevel="1" collapsed="1" x14ac:dyDescent="0.25">
      <c r="A142" s="28"/>
      <c r="B142" s="14" t="str">
        <f>CONCATENATE("     ","Utilities                                         ")</f>
        <v xml:space="preserve">     Utilities                                         </v>
      </c>
      <c r="C142" s="14"/>
      <c r="D142" s="1">
        <f>SUM(OSRRefD22_22x_0)</f>
        <v>28.46</v>
      </c>
      <c r="E142" s="1"/>
      <c r="F142" s="5">
        <f t="shared" ref="F142:F143" si="92">IF(D$12=0,0,D142/D$12)</f>
        <v>1.6283251217153006E-4</v>
      </c>
      <c r="G142" s="1"/>
      <c r="H142" s="1">
        <f>SUM(OSRRefH22_22x_0)</f>
        <v>105</v>
      </c>
      <c r="I142" s="1"/>
      <c r="J142" s="5">
        <f t="shared" ref="J142:J143" si="93">IF(H$12=0,0,H142/H$12)</f>
        <v>4.5661901883444736E-4</v>
      </c>
      <c r="K142" s="1"/>
      <c r="L142" s="1">
        <f t="shared" ref="L142:L143" si="94">+D142-H142</f>
        <v>-76.539999999999992</v>
      </c>
      <c r="M142" s="1"/>
      <c r="N142" s="5">
        <f t="shared" ref="N142:N143" si="95">IF(H142=0,0,L142/H142)</f>
        <v>-0.72895238095238091</v>
      </c>
      <c r="O142" s="14"/>
      <c r="P142" s="1">
        <f>SUM(OSRRefP22_22x_0)</f>
        <v>28.46</v>
      </c>
      <c r="Q142" s="1"/>
      <c r="R142" s="5">
        <f t="shared" ref="R142:R143" si="96">IF(P$12=0,0,P142/P$12)</f>
        <v>1.6283251217153006E-4</v>
      </c>
      <c r="S142" s="1"/>
      <c r="T142" s="1">
        <f>SUM(OSRRefT22_22x_0)</f>
        <v>105</v>
      </c>
      <c r="U142" s="1"/>
      <c r="V142" s="5">
        <f t="shared" ref="V142:V143" si="97">IF(T$12=0,0,T142/T$12)</f>
        <v>4.5661901883444736E-4</v>
      </c>
      <c r="W142" s="1"/>
      <c r="X142" s="1">
        <f t="shared" ref="X142:X143" si="98">+P142-T142</f>
        <v>-76.539999999999992</v>
      </c>
      <c r="Y142" s="1"/>
      <c r="Z142" s="5">
        <f t="shared" ref="Z142:Z143" si="99">IF(T142=0,0,X142/T142)</f>
        <v>-0.72895238095238091</v>
      </c>
    </row>
    <row r="143" spans="1:26" s="24" customFormat="1" hidden="1" outlineLevel="2" x14ac:dyDescent="0.25">
      <c r="A143" s="27"/>
      <c r="B143" s="12" t="str">
        <f>CONCATENATE("          ", "6274", " - ", "UTILITIES")</f>
        <v xml:space="preserve">          6274 - UTILITIES</v>
      </c>
      <c r="C143" s="12"/>
      <c r="D143" s="7">
        <v>28.46</v>
      </c>
      <c r="E143" s="3"/>
      <c r="F143" s="8">
        <f t="shared" si="92"/>
        <v>1.6283251217153006E-4</v>
      </c>
      <c r="G143" s="3"/>
      <c r="H143" s="7">
        <v>105</v>
      </c>
      <c r="I143" s="3"/>
      <c r="J143" s="8">
        <f t="shared" si="93"/>
        <v>4.5661901883444736E-4</v>
      </c>
      <c r="K143" s="3"/>
      <c r="L143" s="7">
        <f t="shared" si="94"/>
        <v>-76.539999999999992</v>
      </c>
      <c r="M143" s="3"/>
      <c r="N143" s="8">
        <f t="shared" si="95"/>
        <v>-0.72895238095238091</v>
      </c>
      <c r="O143" s="12"/>
      <c r="P143" s="7">
        <v>28.46</v>
      </c>
      <c r="Q143" s="3"/>
      <c r="R143" s="8">
        <f t="shared" si="96"/>
        <v>1.6283251217153006E-4</v>
      </c>
      <c r="S143" s="3"/>
      <c r="T143" s="7">
        <v>105</v>
      </c>
      <c r="U143" s="3"/>
      <c r="V143" s="8">
        <f t="shared" si="97"/>
        <v>4.5661901883444736E-4</v>
      </c>
      <c r="W143" s="3"/>
      <c r="X143" s="7">
        <f t="shared" si="98"/>
        <v>-76.539999999999992</v>
      </c>
      <c r="Y143" s="3"/>
      <c r="Z143" s="8">
        <f t="shared" si="99"/>
        <v>-0.72895238095238091</v>
      </c>
    </row>
    <row r="144" spans="1:26" s="54" customFormat="1" x14ac:dyDescent="0.25">
      <c r="A144" s="36"/>
      <c r="B144" s="36"/>
      <c r="C144" s="36"/>
      <c r="D144" s="1"/>
      <c r="E144" s="1"/>
      <c r="F144" s="5"/>
      <c r="G144" s="1"/>
      <c r="H144" s="1"/>
      <c r="I144" s="1"/>
      <c r="J144" s="5"/>
      <c r="K144" s="1"/>
      <c r="L144" s="1"/>
      <c r="M144" s="1"/>
      <c r="N144" s="5"/>
      <c r="O144" s="36"/>
      <c r="P144" s="1"/>
      <c r="Q144" s="1"/>
      <c r="R144" s="5"/>
      <c r="S144" s="1"/>
      <c r="T144" s="1"/>
      <c r="U144" s="1"/>
      <c r="V144" s="5"/>
      <c r="W144" s="1"/>
      <c r="X144" s="1"/>
      <c r="Y144" s="1"/>
      <c r="Z144" s="5"/>
    </row>
    <row r="145" spans="1:26" s="22" customFormat="1" collapsed="1" x14ac:dyDescent="0.25">
      <c r="A145" s="10"/>
      <c r="B145" s="26" t="s">
        <v>0</v>
      </c>
      <c r="C145" s="10"/>
      <c r="D145" s="4">
        <f>SUM(OSRRefD25x_0)</f>
        <v>172008.31</v>
      </c>
      <c r="E145" s="4"/>
      <c r="F145" s="11">
        <f t="shared" ref="F145:F148" si="100">IF(D$12=0,0,D145/D$12)</f>
        <v>0.98413721825999001</v>
      </c>
      <c r="G145" s="4"/>
      <c r="H145" s="4">
        <f>SUM(OSRRefH25x_0)</f>
        <v>8075</v>
      </c>
      <c r="I145" s="4"/>
      <c r="J145" s="11">
        <f t="shared" ref="J145:J148" si="101">IF(H$12=0,0,H145/H$12)</f>
        <v>3.5116176924649162E-2</v>
      </c>
      <c r="K145" s="4"/>
      <c r="L145" s="4">
        <f t="shared" ref="L145:L148" si="102">+D145-H145</f>
        <v>163933.31</v>
      </c>
      <c r="M145" s="4"/>
      <c r="N145" s="11">
        <f t="shared" ref="N145:N148" si="103">IF(H145=0,0,L145/H145)</f>
        <v>20.301338699690401</v>
      </c>
      <c r="O145" s="10"/>
      <c r="P145" s="4">
        <f>SUM(OSRRefP25x_0)</f>
        <v>172008.31</v>
      </c>
      <c r="Q145" s="4"/>
      <c r="R145" s="11">
        <f t="shared" ref="R145:R148" si="104">IF(P$12=0,0,P145/P$12)</f>
        <v>0.98413721825999001</v>
      </c>
      <c r="S145" s="4"/>
      <c r="T145" s="4">
        <f>SUM(OSRRefT25x_0)</f>
        <v>8075</v>
      </c>
      <c r="U145" s="4"/>
      <c r="V145" s="11">
        <f t="shared" ref="V145:V148" si="105">IF(T$12=0,0,T145/T$12)</f>
        <v>3.5116176924649162E-2</v>
      </c>
      <c r="W145" s="4"/>
      <c r="X145" s="4">
        <f t="shared" ref="X145:X148" si="106">+P145-T145</f>
        <v>163933.31</v>
      </c>
      <c r="Y145" s="4"/>
      <c r="Z145" s="11">
        <f t="shared" ref="Z145:Z148" si="107">IF(T145=0,0,X145/T145)</f>
        <v>20.301338699690401</v>
      </c>
    </row>
    <row r="146" spans="1:26" s="24" customFormat="1" hidden="1" outlineLevel="1" x14ac:dyDescent="0.25">
      <c r="A146" s="51"/>
      <c r="B146" s="12" t="str">
        <f>CONCATENATE("          ", "9150", " - ", "MISC. INCOME")</f>
        <v xml:space="preserve">          9150 - MISC. INCOME</v>
      </c>
      <c r="C146" s="12"/>
      <c r="D146" s="3">
        <f>--11344.41</f>
        <v>11344.41</v>
      </c>
      <c r="E146" s="3"/>
      <c r="F146" s="23">
        <f t="shared" si="100"/>
        <v>6.490649260027502E-2</v>
      </c>
      <c r="G146" s="3"/>
      <c r="H146" s="3">
        <v>8075</v>
      </c>
      <c r="I146" s="3"/>
      <c r="J146" s="23">
        <f t="shared" si="101"/>
        <v>3.5116176924649162E-2</v>
      </c>
      <c r="K146" s="3"/>
      <c r="L146" s="3">
        <f t="shared" si="102"/>
        <v>3269.41</v>
      </c>
      <c r="M146" s="3"/>
      <c r="N146" s="23">
        <f t="shared" si="103"/>
        <v>0.40488049535603715</v>
      </c>
      <c r="O146" s="12"/>
      <c r="P146" s="3">
        <f>--11344.41</f>
        <v>11344.41</v>
      </c>
      <c r="Q146" s="3"/>
      <c r="R146" s="23">
        <f t="shared" si="104"/>
        <v>6.490649260027502E-2</v>
      </c>
      <c r="S146" s="3"/>
      <c r="T146" s="3">
        <v>8075</v>
      </c>
      <c r="U146" s="3"/>
      <c r="V146" s="23">
        <f t="shared" si="105"/>
        <v>3.5116176924649162E-2</v>
      </c>
      <c r="W146" s="3"/>
      <c r="X146" s="3">
        <f t="shared" si="106"/>
        <v>3269.41</v>
      </c>
      <c r="Y146" s="3"/>
      <c r="Z146" s="23">
        <f t="shared" si="107"/>
        <v>0.40488049535603715</v>
      </c>
    </row>
    <row r="147" spans="1:26" s="24" customFormat="1" hidden="1" outlineLevel="1" x14ac:dyDescent="0.25">
      <c r="A147" s="51"/>
      <c r="B147" s="12" t="str">
        <f>CONCATENATE("          ", "9151", " - ", "MISC. INCOME")</f>
        <v xml:space="preserve">          9151 - MISC. INCOME</v>
      </c>
      <c r="C147" s="12"/>
      <c r="D147" s="3">
        <f>0</f>
        <v>0</v>
      </c>
      <c r="E147" s="3"/>
      <c r="F147" s="23">
        <f t="shared" si="100"/>
        <v>0</v>
      </c>
      <c r="G147" s="3"/>
      <c r="H147" s="3">
        <v>0</v>
      </c>
      <c r="I147" s="3"/>
      <c r="J147" s="23">
        <f t="shared" si="101"/>
        <v>0</v>
      </c>
      <c r="K147" s="3"/>
      <c r="L147" s="3">
        <f t="shared" si="102"/>
        <v>0</v>
      </c>
      <c r="M147" s="3"/>
      <c r="N147" s="23">
        <f t="shared" si="103"/>
        <v>0</v>
      </c>
      <c r="O147" s="12"/>
      <c r="P147" s="3">
        <f>0</f>
        <v>0</v>
      </c>
      <c r="Q147" s="3"/>
      <c r="R147" s="23">
        <f t="shared" si="104"/>
        <v>0</v>
      </c>
      <c r="S147" s="3"/>
      <c r="T147" s="3">
        <v>0</v>
      </c>
      <c r="U147" s="3"/>
      <c r="V147" s="23">
        <f t="shared" si="105"/>
        <v>0</v>
      </c>
      <c r="W147" s="3"/>
      <c r="X147" s="3">
        <f t="shared" si="106"/>
        <v>0</v>
      </c>
      <c r="Y147" s="3"/>
      <c r="Z147" s="23">
        <f t="shared" si="107"/>
        <v>0</v>
      </c>
    </row>
    <row r="148" spans="1:26" s="24" customFormat="1" hidden="1" outlineLevel="1" x14ac:dyDescent="0.25">
      <c r="A148" s="51"/>
      <c r="B148" s="12" t="str">
        <f>CONCATENATE("          ", "9163", " - ", "MISC. INCOME")</f>
        <v xml:space="preserve">          9163 - MISC. INCOME</v>
      </c>
      <c r="C148" s="12"/>
      <c r="D148" s="3">
        <f>--160663.9</f>
        <v>160663.9</v>
      </c>
      <c r="E148" s="3"/>
      <c r="F148" s="23">
        <f t="shared" si="100"/>
        <v>0.91923072565971486</v>
      </c>
      <c r="G148" s="3"/>
      <c r="H148" s="3"/>
      <c r="I148" s="3"/>
      <c r="J148" s="23">
        <f t="shared" si="101"/>
        <v>0</v>
      </c>
      <c r="K148" s="3"/>
      <c r="L148" s="3">
        <f t="shared" si="102"/>
        <v>160663.9</v>
      </c>
      <c r="M148" s="3"/>
      <c r="N148" s="23">
        <f t="shared" si="103"/>
        <v>0</v>
      </c>
      <c r="O148" s="12"/>
      <c r="P148" s="3">
        <f>--160663.9</f>
        <v>160663.9</v>
      </c>
      <c r="Q148" s="3"/>
      <c r="R148" s="23">
        <f t="shared" si="104"/>
        <v>0.91923072565971486</v>
      </c>
      <c r="S148" s="3"/>
      <c r="T148" s="3"/>
      <c r="U148" s="3"/>
      <c r="V148" s="23">
        <f t="shared" si="105"/>
        <v>0</v>
      </c>
      <c r="W148" s="3"/>
      <c r="X148" s="3">
        <f t="shared" si="106"/>
        <v>160663.9</v>
      </c>
      <c r="Y148" s="3"/>
      <c r="Z148" s="23">
        <f t="shared" si="107"/>
        <v>0</v>
      </c>
    </row>
    <row r="149" spans="1:26" x14ac:dyDescent="0.25">
      <c r="A149" s="9"/>
      <c r="B149" s="10"/>
      <c r="C149" s="10"/>
      <c r="D149" s="2"/>
      <c r="E149" s="2"/>
      <c r="F149" s="6"/>
      <c r="G149" s="2"/>
      <c r="H149" s="2"/>
      <c r="I149" s="2"/>
      <c r="J149" s="6"/>
      <c r="K149" s="2"/>
      <c r="L149" s="2"/>
      <c r="M149" s="2"/>
      <c r="N149" s="6"/>
      <c r="O149" s="10"/>
      <c r="P149" s="2"/>
      <c r="Q149" s="2"/>
      <c r="R149" s="6"/>
      <c r="S149" s="2"/>
      <c r="T149" s="2"/>
      <c r="U149" s="2"/>
      <c r="V149" s="6"/>
      <c r="W149" s="2"/>
      <c r="X149" s="2"/>
      <c r="Y149" s="2"/>
      <c r="Z149" s="6"/>
    </row>
    <row r="150" spans="1:26" s="22" customFormat="1" x14ac:dyDescent="0.25">
      <c r="A150" s="10"/>
      <c r="B150" s="25" t="s">
        <v>3</v>
      </c>
      <c r="C150" s="25"/>
      <c r="D150" s="21">
        <f>+D62-D64+D145</f>
        <v>173466.72999999998</v>
      </c>
      <c r="E150" s="13"/>
      <c r="F150" s="20">
        <f>IF(D$12=0,0,D150/D$12)</f>
        <v>0.9924814976837848</v>
      </c>
      <c r="G150" s="13"/>
      <c r="H150" s="21">
        <f>+H62-H64+H145</f>
        <v>7769.8135338461434</v>
      </c>
      <c r="I150" s="13"/>
      <c r="J150" s="20">
        <f>IF(H$12=0,0,H150/H$12)</f>
        <v>3.3788996498585105E-2</v>
      </c>
      <c r="K150" s="15"/>
      <c r="L150" s="21">
        <f>+D150-H150</f>
        <v>165696.91646615384</v>
      </c>
      <c r="M150" s="15"/>
      <c r="N150" s="20">
        <f>IF(H150=0,0,L150/H150)</f>
        <v>21.325726253836113</v>
      </c>
      <c r="O150" s="26"/>
      <c r="P150" s="21">
        <f>+P62-P64+P145</f>
        <v>173466.72999999998</v>
      </c>
      <c r="Q150" s="13"/>
      <c r="R150" s="20">
        <f>IF(P$12=0,0,P150/P$12)</f>
        <v>0.9924814976837848</v>
      </c>
      <c r="S150" s="13"/>
      <c r="T150" s="21">
        <f>+T62-T64+T145</f>
        <v>7769.8135338461434</v>
      </c>
      <c r="U150" s="13"/>
      <c r="V150" s="20">
        <f>IF(T$12=0,0,T150/T$12)</f>
        <v>3.3788996498585105E-2</v>
      </c>
      <c r="W150" s="15"/>
      <c r="X150" s="21">
        <f>+P150-T150</f>
        <v>165696.91646615384</v>
      </c>
      <c r="Y150" s="15"/>
      <c r="Z150" s="20">
        <f>IF(T150=0,0,X150/T150)</f>
        <v>21.325726253836113</v>
      </c>
    </row>
    <row r="151" spans="1:26" x14ac:dyDescent="0.25">
      <c r="A151" s="9"/>
      <c r="B151" s="10"/>
      <c r="C151" s="9"/>
      <c r="D151" s="2"/>
      <c r="E151" s="2"/>
      <c r="F151" s="6"/>
      <c r="G151" s="2"/>
      <c r="H151" s="2"/>
      <c r="I151" s="2"/>
      <c r="J151" s="6"/>
      <c r="K151" s="2"/>
      <c r="L151" s="2"/>
      <c r="M151" s="2"/>
      <c r="N151" s="6"/>
      <c r="P151" s="2"/>
      <c r="Q151" s="2"/>
      <c r="R151" s="6"/>
      <c r="S151" s="2"/>
      <c r="T151" s="2"/>
      <c r="U151" s="2"/>
      <c r="V151" s="6"/>
      <c r="W151" s="2"/>
      <c r="X151" s="2"/>
      <c r="Y151" s="2"/>
      <c r="Z151" s="6"/>
    </row>
    <row r="152" spans="1:26" s="22" customFormat="1" x14ac:dyDescent="0.25">
      <c r="A152" s="52"/>
      <c r="B152" s="10" t="s">
        <v>14</v>
      </c>
      <c r="C152" s="10"/>
      <c r="D152" s="4">
        <v>88847.32</v>
      </c>
      <c r="E152" s="4"/>
      <c r="F152" s="11">
        <f>IF(D$12=0,0,D152/D$12)</f>
        <v>0.50833564003189835</v>
      </c>
      <c r="G152" s="4"/>
      <c r="H152" s="4">
        <v>111700</v>
      </c>
      <c r="I152" s="4"/>
      <c r="J152" s="11">
        <f>IF(H$12=0,0,H152/H$12)</f>
        <v>0.48575566098864542</v>
      </c>
      <c r="K152" s="4"/>
      <c r="L152" s="4">
        <f>+D152-H152</f>
        <v>-22852.679999999993</v>
      </c>
      <c r="M152" s="4"/>
      <c r="N152" s="11">
        <f>IF(H152=0,0,L152/H152)</f>
        <v>-0.20458979409131597</v>
      </c>
      <c r="O152" s="10"/>
      <c r="P152" s="4">
        <v>88847.32</v>
      </c>
      <c r="Q152" s="4"/>
      <c r="R152" s="11">
        <f>IF(P$12=0,0,P152/P$12)</f>
        <v>0.50833564003189835</v>
      </c>
      <c r="S152" s="4"/>
      <c r="T152" s="4">
        <v>111700</v>
      </c>
      <c r="U152" s="4"/>
      <c r="V152" s="11">
        <f>IF(T$12=0,0,T152/T$12)</f>
        <v>0.48575566098864542</v>
      </c>
      <c r="W152" s="4"/>
      <c r="X152" s="4">
        <f>+P152-T152</f>
        <v>-22852.679999999993</v>
      </c>
      <c r="Y152" s="4"/>
      <c r="Z152" s="11">
        <f>IF(T152=0,0,X152/T152)</f>
        <v>-0.20458979409131597</v>
      </c>
    </row>
    <row r="153" spans="1:26" x14ac:dyDescent="0.25">
      <c r="A153" s="9"/>
      <c r="B153" s="10"/>
      <c r="C153" s="10"/>
      <c r="D153" s="2"/>
      <c r="E153" s="2"/>
      <c r="F153" s="6"/>
      <c r="G153" s="2"/>
      <c r="H153" s="2"/>
      <c r="I153" s="2"/>
      <c r="J153" s="6"/>
      <c r="K153" s="2"/>
      <c r="L153" s="2"/>
      <c r="M153" s="2"/>
      <c r="N153" s="6"/>
      <c r="O153" s="10"/>
      <c r="P153" s="2"/>
      <c r="Q153" s="2"/>
      <c r="R153" s="6"/>
      <c r="S153" s="2"/>
      <c r="T153" s="2"/>
      <c r="U153" s="2"/>
      <c r="V153" s="6"/>
      <c r="W153" s="2"/>
      <c r="X153" s="2"/>
      <c r="Y153" s="2"/>
      <c r="Z153" s="6"/>
    </row>
    <row r="154" spans="1:26" s="22" customFormat="1" ht="15.75" thickBot="1" x14ac:dyDescent="0.3">
      <c r="A154" s="10"/>
      <c r="B154" s="25" t="s">
        <v>4</v>
      </c>
      <c r="C154" s="25"/>
      <c r="D154" s="34">
        <f>+D150-D152</f>
        <v>84619.409999999974</v>
      </c>
      <c r="E154" s="13"/>
      <c r="F154" s="30">
        <f>IF(D$12=0,0,D154/D$12)</f>
        <v>0.48414585765188645</v>
      </c>
      <c r="G154" s="13"/>
      <c r="H154" s="34">
        <f>+H150-H152</f>
        <v>-103930.18646615386</v>
      </c>
      <c r="I154" s="13"/>
      <c r="J154" s="30">
        <f>IF(H$12=0,0,H154/H$12)</f>
        <v>-0.45196666449006029</v>
      </c>
      <c r="K154" s="15"/>
      <c r="L154" s="34">
        <f>D154-H154</f>
        <v>188549.59646615383</v>
      </c>
      <c r="M154" s="15"/>
      <c r="N154" s="30">
        <f>IF(H154=0,0,L154/H154)</f>
        <v>-1.8141947289544922</v>
      </c>
      <c r="O154" s="26"/>
      <c r="P154" s="34">
        <f>+P150-P152</f>
        <v>84619.409999999974</v>
      </c>
      <c r="Q154" s="13"/>
      <c r="R154" s="30">
        <f>IF(P$12=0,0,P154/P$12)</f>
        <v>0.48414585765188645</v>
      </c>
      <c r="S154" s="13"/>
      <c r="T154" s="34">
        <f>+T150-T152</f>
        <v>-103930.18646615386</v>
      </c>
      <c r="U154" s="13"/>
      <c r="V154" s="30">
        <f>IF(T$12=0,0,T154/T$12)</f>
        <v>-0.45196666449006029</v>
      </c>
      <c r="W154" s="15"/>
      <c r="X154" s="34">
        <f>P154-T154</f>
        <v>188549.59646615383</v>
      </c>
      <c r="Y154" s="15"/>
      <c r="Z154" s="30">
        <f>IF(T154=0,0,X154/T154)</f>
        <v>-1.8141947289544922</v>
      </c>
    </row>
    <row r="155" spans="1:26" ht="15.75" thickTop="1" x14ac:dyDescent="0.25">
      <c r="A155" s="9"/>
      <c r="B155" s="9"/>
      <c r="C155" s="9"/>
      <c r="D155" s="2"/>
      <c r="E155" s="2"/>
      <c r="F155" s="6"/>
      <c r="G155" s="2"/>
      <c r="H155" s="2"/>
      <c r="I155" s="2"/>
      <c r="J155" s="6"/>
      <c r="K155" s="2"/>
      <c r="L155" s="2"/>
      <c r="M155" s="2"/>
      <c r="N155" s="6"/>
      <c r="P155" s="2"/>
      <c r="Q155" s="2"/>
      <c r="R155" s="6"/>
      <c r="S155" s="2"/>
      <c r="T155" s="2"/>
      <c r="U155" s="2"/>
      <c r="V155" s="6"/>
      <c r="W155" s="2"/>
      <c r="X155" s="2"/>
      <c r="Y155" s="2"/>
      <c r="Z155" s="6"/>
    </row>
    <row r="156" spans="1:26" x14ac:dyDescent="0.25">
      <c r="A156" s="9"/>
      <c r="B156" s="9"/>
      <c r="C156" s="9"/>
      <c r="D156" s="2"/>
      <c r="E156" s="2"/>
      <c r="F156" s="6"/>
      <c r="G156" s="2"/>
      <c r="H156" s="2"/>
      <c r="I156" s="2"/>
      <c r="J156" s="6"/>
      <c r="K156" s="2"/>
      <c r="L156" s="2"/>
      <c r="M156" s="2"/>
      <c r="N156" s="6"/>
      <c r="P156" s="2"/>
      <c r="Q156" s="2"/>
      <c r="R156" s="6"/>
      <c r="S156" s="2"/>
      <c r="T156" s="2"/>
      <c r="U156" s="2"/>
      <c r="V156" s="6"/>
      <c r="W156" s="2"/>
      <c r="X156" s="2"/>
      <c r="Y156" s="2"/>
      <c r="Z156" s="6"/>
    </row>
    <row r="157" spans="1:26" s="22" customFormat="1" ht="15.75" thickBot="1" x14ac:dyDescent="0.3">
      <c r="A157" s="10"/>
      <c r="B157" s="25" t="s">
        <v>5</v>
      </c>
      <c r="C157" s="25"/>
      <c r="D157" s="32">
        <f>SUM(D154:D156)</f>
        <v>84619.409999999974</v>
      </c>
      <c r="E157" s="13"/>
      <c r="F157" s="33">
        <f>IF(D$12=0,0,D157/D$12)</f>
        <v>0.48414585765188645</v>
      </c>
      <c r="G157" s="13"/>
      <c r="H157" s="32">
        <f>SUM(H154:H156)</f>
        <v>-103930.18646615386</v>
      </c>
      <c r="I157" s="13"/>
      <c r="J157" s="33">
        <f>IF(H$12=0,0,H157/H$12)</f>
        <v>-0.45196666449006029</v>
      </c>
      <c r="K157" s="15"/>
      <c r="L157" s="32">
        <f>+D157-H157</f>
        <v>188549.59646615383</v>
      </c>
      <c r="M157" s="15"/>
      <c r="N157" s="33">
        <f>IF(H157=0,0,L157/H157)</f>
        <v>-1.8141947289544922</v>
      </c>
      <c r="O157" s="26"/>
      <c r="P157" s="32">
        <f>SUM(P154:P156)</f>
        <v>84619.409999999974</v>
      </c>
      <c r="Q157" s="13"/>
      <c r="R157" s="33">
        <f>IF(P$12=0,0,P157/P$12)</f>
        <v>0.48414585765188645</v>
      </c>
      <c r="S157" s="13"/>
      <c r="T157" s="32">
        <f>SUM(T154:T156)</f>
        <v>-103930.18646615386</v>
      </c>
      <c r="U157" s="13"/>
      <c r="V157" s="33">
        <f>IF(T$12=0,0,T157/T$12)</f>
        <v>-0.45196666449006029</v>
      </c>
      <c r="W157" s="15"/>
      <c r="X157" s="32">
        <f>+P157-T157</f>
        <v>188549.59646615383</v>
      </c>
      <c r="Y157" s="15"/>
      <c r="Z157" s="33">
        <f>IF(T157=0,0,X157/T157)</f>
        <v>-1.8141947289544922</v>
      </c>
    </row>
    <row r="158" spans="1:26" ht="15.75" thickTop="1" x14ac:dyDescent="0.25">
      <c r="A158" s="9"/>
      <c r="C158" s="9"/>
      <c r="D158" s="17"/>
      <c r="E158" s="17"/>
      <c r="G158" s="17"/>
      <c r="H158" s="17"/>
      <c r="I158" s="17"/>
      <c r="J158" s="43"/>
      <c r="K158" s="17"/>
      <c r="L158" s="17"/>
      <c r="M158" s="17"/>
      <c r="P158" s="17"/>
      <c r="Q158" s="17"/>
      <c r="R158" s="43"/>
      <c r="S158" s="17"/>
      <c r="T158" s="17"/>
      <c r="U158" s="17"/>
      <c r="V158" s="43"/>
      <c r="W158" s="17"/>
      <c r="X158" s="17"/>
    </row>
    <row r="159" spans="1:26" x14ac:dyDescent="0.25">
      <c r="A159" s="9"/>
      <c r="B159" s="58">
        <v>44104.685513391203</v>
      </c>
      <c r="D159" s="17"/>
      <c r="E159" s="17"/>
      <c r="G159" s="17"/>
      <c r="H159" s="17"/>
      <c r="I159" s="17"/>
      <c r="J159" s="43"/>
      <c r="K159" s="17"/>
      <c r="L159" s="17"/>
      <c r="M159" s="17"/>
      <c r="P159" s="17"/>
      <c r="Q159" s="17"/>
      <c r="R159" s="43"/>
      <c r="S159" s="17"/>
      <c r="T159" s="17"/>
      <c r="U159" s="17"/>
      <c r="V159" s="43"/>
      <c r="W159" s="17"/>
      <c r="X159" s="17"/>
    </row>
    <row r="160" spans="1:26" x14ac:dyDescent="0.25">
      <c r="A160" s="9"/>
      <c r="B160" s="56" t="s">
        <v>314</v>
      </c>
      <c r="D160" s="17"/>
      <c r="E160" s="17"/>
      <c r="G160" s="17"/>
      <c r="H160" s="17"/>
      <c r="I160" s="17"/>
      <c r="J160" s="43"/>
      <c r="K160" s="17"/>
      <c r="L160" s="17"/>
      <c r="M160" s="17"/>
      <c r="P160" s="17"/>
      <c r="Q160" s="17"/>
      <c r="R160" s="43"/>
      <c r="S160" s="17"/>
      <c r="T160" s="17"/>
      <c r="U160" s="17"/>
      <c r="V160" s="43"/>
      <c r="W160" s="17"/>
      <c r="X160" s="17"/>
    </row>
    <row r="161" spans="1:24" x14ac:dyDescent="0.25">
      <c r="A161" s="9"/>
      <c r="B161" s="62"/>
      <c r="D161" s="17"/>
      <c r="E161" s="17"/>
      <c r="G161" s="17"/>
      <c r="H161" s="17"/>
      <c r="I161" s="17"/>
      <c r="J161" s="43"/>
      <c r="K161" s="17"/>
      <c r="L161" s="17"/>
      <c r="M161" s="17"/>
      <c r="P161" s="17"/>
      <c r="Q161" s="17"/>
      <c r="R161" s="43"/>
      <c r="S161" s="17"/>
      <c r="T161" s="17"/>
      <c r="U161" s="17"/>
      <c r="V161" s="43"/>
      <c r="W161" s="17"/>
      <c r="X161" s="17"/>
    </row>
    <row r="162" spans="1:24" x14ac:dyDescent="0.25">
      <c r="D162" s="17"/>
      <c r="E162" s="17"/>
      <c r="G162" s="17"/>
      <c r="H162" s="17"/>
      <c r="I162" s="17"/>
      <c r="J162" s="43"/>
      <c r="K162" s="17"/>
      <c r="L162" s="17"/>
      <c r="M162" s="17"/>
      <c r="P162" s="17"/>
      <c r="Q162" s="17"/>
      <c r="R162" s="43"/>
      <c r="S162" s="17"/>
      <c r="T162" s="17"/>
      <c r="U162" s="17"/>
      <c r="V162" s="43"/>
      <c r="W162" s="17"/>
      <c r="X162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","315", " - ", "Beach Shop")</f>
        <v>Department 315 - Beach Shop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147901.04999999996</v>
      </c>
      <c r="E12" s="4"/>
      <c r="F12" s="11"/>
      <c r="G12" s="4"/>
      <c r="H12" s="4">
        <f>SUM(OSRRefH13x_0)</f>
        <v>181043</v>
      </c>
      <c r="I12" s="4"/>
      <c r="J12" s="11"/>
      <c r="K12" s="4"/>
      <c r="L12" s="4">
        <f t="shared" ref="L12:L45" si="0">+D12-H12</f>
        <v>-33141.950000000041</v>
      </c>
      <c r="M12" s="4"/>
      <c r="N12" s="11">
        <f t="shared" ref="N12:N45" si="1">IF(H12=0,0,L12/H12)</f>
        <v>-0.18306120645371565</v>
      </c>
      <c r="O12" s="10"/>
      <c r="P12" s="4">
        <f>SUM(OSRRefP13x_0)</f>
        <v>147901.04999999996</v>
      </c>
      <c r="Q12" s="4"/>
      <c r="R12" s="11"/>
      <c r="S12" s="4"/>
      <c r="T12" s="4">
        <f>SUM(OSRRefT13x_0)</f>
        <v>181043</v>
      </c>
      <c r="U12" s="4"/>
      <c r="V12" s="11"/>
      <c r="W12" s="4"/>
      <c r="X12" s="4">
        <f t="shared" ref="X12:X45" si="2">+P12-T12</f>
        <v>-33141.950000000041</v>
      </c>
      <c r="Y12" s="4"/>
      <c r="Z12" s="11">
        <f t="shared" ref="Z12:Z45" si="3">IF(T12=0,0,X12/T12)</f>
        <v>-0.18306120645371565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-9603.06</f>
        <v>-9603.06</v>
      </c>
      <c r="E13" s="3"/>
      <c r="F13" s="23"/>
      <c r="G13" s="3"/>
      <c r="H13" s="3">
        <v>181043</v>
      </c>
      <c r="I13" s="3"/>
      <c r="J13" s="23"/>
      <c r="K13" s="3"/>
      <c r="L13" s="3">
        <f t="shared" si="0"/>
        <v>-190646.06</v>
      </c>
      <c r="M13" s="3"/>
      <c r="N13" s="23">
        <f t="shared" si="1"/>
        <v>-1.0530429787398574</v>
      </c>
      <c r="O13" s="12"/>
      <c r="P13" s="3">
        <f>-9603.06</f>
        <v>-9603.06</v>
      </c>
      <c r="Q13" s="3"/>
      <c r="R13" s="23"/>
      <c r="S13" s="3"/>
      <c r="T13" s="3">
        <v>181043</v>
      </c>
      <c r="U13" s="3"/>
      <c r="V13" s="23"/>
      <c r="W13" s="3"/>
      <c r="X13" s="3">
        <f t="shared" si="2"/>
        <v>-190646.06</v>
      </c>
      <c r="Y13" s="3"/>
      <c r="Z13" s="23">
        <f t="shared" si="3"/>
        <v>-1.0530429787398574</v>
      </c>
    </row>
    <row r="14" spans="1:26" s="24" customFormat="1" hidden="1" outlineLevel="1" x14ac:dyDescent="0.25">
      <c r="A14" s="51"/>
      <c r="B14" s="12" t="str">
        <f>CONCATENATE("          ", "4026", " - ", "TAXABLE SALES-WRITING INSTRUME")</f>
        <v xml:space="preserve">          4026 - TAXABLE SALES-WRITING INSTRUME</v>
      </c>
      <c r="C14" s="12"/>
      <c r="D14" s="3">
        <f>--221.99</f>
        <v>221.99</v>
      </c>
      <c r="E14" s="3"/>
      <c r="F14" s="23"/>
      <c r="G14" s="3"/>
      <c r="H14" s="3"/>
      <c r="I14" s="3"/>
      <c r="J14" s="23"/>
      <c r="K14" s="3"/>
      <c r="L14" s="3">
        <f t="shared" si="0"/>
        <v>221.99</v>
      </c>
      <c r="M14" s="3"/>
      <c r="N14" s="23">
        <f t="shared" si="1"/>
        <v>0</v>
      </c>
      <c r="O14" s="12"/>
      <c r="P14" s="3">
        <f>--221.99</f>
        <v>221.99</v>
      </c>
      <c r="Q14" s="3"/>
      <c r="R14" s="23"/>
      <c r="S14" s="3"/>
      <c r="T14" s="3"/>
      <c r="U14" s="3"/>
      <c r="V14" s="23"/>
      <c r="W14" s="3"/>
      <c r="X14" s="3">
        <f t="shared" si="2"/>
        <v>221.99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"4027", " - ", "TAXABLE SALES-SCHOOL SUPPLIES")</f>
        <v xml:space="preserve">          4027 - TAXABLE SALES-SCHOOL SUPPLIES</v>
      </c>
      <c r="C15" s="12"/>
      <c r="D15" s="3">
        <f>--1653.17</f>
        <v>1653.17</v>
      </c>
      <c r="E15" s="3"/>
      <c r="F15" s="23"/>
      <c r="G15" s="3"/>
      <c r="H15" s="3"/>
      <c r="I15" s="3"/>
      <c r="J15" s="23"/>
      <c r="K15" s="3"/>
      <c r="L15" s="3">
        <f t="shared" si="0"/>
        <v>1653.17</v>
      </c>
      <c r="M15" s="3"/>
      <c r="N15" s="23">
        <f t="shared" si="1"/>
        <v>0</v>
      </c>
      <c r="O15" s="12"/>
      <c r="P15" s="3">
        <f>--1653.17</f>
        <v>1653.17</v>
      </c>
      <c r="Q15" s="3"/>
      <c r="R15" s="23"/>
      <c r="S15" s="3"/>
      <c r="T15" s="3"/>
      <c r="U15" s="3"/>
      <c r="V15" s="23"/>
      <c r="W15" s="3"/>
      <c r="X15" s="3">
        <f t="shared" si="2"/>
        <v>1653.17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"4028", " - ", "TAXABLE SALES-ART/TECH")</f>
        <v xml:space="preserve">          4028 - TAXABLE SALES-ART/TECH</v>
      </c>
      <c r="C16" s="12"/>
      <c r="D16" s="3">
        <f>--19.85</f>
        <v>19.850000000000001</v>
      </c>
      <c r="E16" s="3"/>
      <c r="F16" s="23"/>
      <c r="G16" s="3"/>
      <c r="H16" s="3"/>
      <c r="I16" s="3"/>
      <c r="J16" s="23"/>
      <c r="K16" s="3"/>
      <c r="L16" s="3">
        <f t="shared" si="0"/>
        <v>19.850000000000001</v>
      </c>
      <c r="M16" s="3"/>
      <c r="N16" s="23">
        <f t="shared" si="1"/>
        <v>0</v>
      </c>
      <c r="O16" s="12"/>
      <c r="P16" s="3">
        <f>--19.85</f>
        <v>19.850000000000001</v>
      </c>
      <c r="Q16" s="3"/>
      <c r="R16" s="23"/>
      <c r="S16" s="3"/>
      <c r="T16" s="3"/>
      <c r="U16" s="3"/>
      <c r="V16" s="23"/>
      <c r="W16" s="3"/>
      <c r="X16" s="3">
        <f t="shared" si="2"/>
        <v>19.850000000000001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"4031", " - ", "TAXABLE SALES-FOOD")</f>
        <v xml:space="preserve">          4031 - TAXABLE SALES-FOOD</v>
      </c>
      <c r="C17" s="12"/>
      <c r="D17" s="3">
        <f>--19.75</f>
        <v>19.75</v>
      </c>
      <c r="E17" s="3"/>
      <c r="F17" s="23"/>
      <c r="G17" s="3"/>
      <c r="H17" s="3"/>
      <c r="I17" s="3"/>
      <c r="J17" s="23"/>
      <c r="K17" s="3"/>
      <c r="L17" s="3">
        <f t="shared" si="0"/>
        <v>19.75</v>
      </c>
      <c r="M17" s="3"/>
      <c r="N17" s="23">
        <f t="shared" si="1"/>
        <v>0</v>
      </c>
      <c r="O17" s="12"/>
      <c r="P17" s="3">
        <f>--19.75</f>
        <v>19.75</v>
      </c>
      <c r="Q17" s="3"/>
      <c r="R17" s="23"/>
      <c r="S17" s="3"/>
      <c r="T17" s="3"/>
      <c r="U17" s="3"/>
      <c r="V17" s="23"/>
      <c r="W17" s="3"/>
      <c r="X17" s="3">
        <f t="shared" si="2"/>
        <v>19.75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"4034", " - ", "TAXABLE SALES-SODA")</f>
        <v xml:space="preserve">          4034 - TAXABLE SALES-SODA</v>
      </c>
      <c r="C18" s="12"/>
      <c r="D18" s="3">
        <f>--6.78</f>
        <v>6.78</v>
      </c>
      <c r="E18" s="3"/>
      <c r="F18" s="23"/>
      <c r="G18" s="3"/>
      <c r="H18" s="3"/>
      <c r="I18" s="3"/>
      <c r="J18" s="23"/>
      <c r="K18" s="3"/>
      <c r="L18" s="3">
        <f t="shared" si="0"/>
        <v>6.78</v>
      </c>
      <c r="M18" s="3"/>
      <c r="N18" s="23">
        <f t="shared" si="1"/>
        <v>0</v>
      </c>
      <c r="O18" s="12"/>
      <c r="P18" s="3">
        <f>--6.78</f>
        <v>6.78</v>
      </c>
      <c r="Q18" s="3"/>
      <c r="R18" s="23"/>
      <c r="S18" s="3"/>
      <c r="T18" s="3"/>
      <c r="U18" s="3"/>
      <c r="V18" s="23"/>
      <c r="W18" s="3"/>
      <c r="X18" s="3">
        <f t="shared" si="2"/>
        <v>6.78</v>
      </c>
      <c r="Y18" s="3"/>
      <c r="Z18" s="23">
        <f t="shared" si="3"/>
        <v>0</v>
      </c>
    </row>
    <row r="19" spans="1:26" s="24" customFormat="1" hidden="1" outlineLevel="1" x14ac:dyDescent="0.25">
      <c r="A19" s="51"/>
      <c r="B19" s="12" t="str">
        <f>CONCATENATE("          ", "4040", " - ", "TAXABLE SALES-LOGO CLOTHING")</f>
        <v xml:space="preserve">          4040 - TAXABLE SALES-LOGO CLOTHING</v>
      </c>
      <c r="C19" s="12"/>
      <c r="D19" s="3">
        <f>--50380.6</f>
        <v>50380.6</v>
      </c>
      <c r="E19" s="3"/>
      <c r="F19" s="23"/>
      <c r="G19" s="3"/>
      <c r="H19" s="3"/>
      <c r="I19" s="3"/>
      <c r="J19" s="23"/>
      <c r="K19" s="3"/>
      <c r="L19" s="3">
        <f t="shared" si="0"/>
        <v>50380.6</v>
      </c>
      <c r="M19" s="3"/>
      <c r="N19" s="23">
        <f t="shared" si="1"/>
        <v>0</v>
      </c>
      <c r="O19" s="12"/>
      <c r="P19" s="3">
        <f>--50380.6</f>
        <v>50380.6</v>
      </c>
      <c r="Q19" s="3"/>
      <c r="R19" s="23"/>
      <c r="S19" s="3"/>
      <c r="T19" s="3"/>
      <c r="U19" s="3"/>
      <c r="V19" s="23"/>
      <c r="W19" s="3"/>
      <c r="X19" s="3">
        <f t="shared" si="2"/>
        <v>50380.6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"4041", " - ", "TAXABLE SALES-LOGO GIFTS")</f>
        <v xml:space="preserve">          4041 - TAXABLE SALES-LOGO GIFTS</v>
      </c>
      <c r="C20" s="12"/>
      <c r="D20" s="3">
        <f>--15917.84</f>
        <v>15917.84</v>
      </c>
      <c r="E20" s="3"/>
      <c r="F20" s="23"/>
      <c r="G20" s="3"/>
      <c r="H20" s="3"/>
      <c r="I20" s="3"/>
      <c r="J20" s="23"/>
      <c r="K20" s="3"/>
      <c r="L20" s="3">
        <f t="shared" si="0"/>
        <v>15917.84</v>
      </c>
      <c r="M20" s="3"/>
      <c r="N20" s="23">
        <f t="shared" si="1"/>
        <v>0</v>
      </c>
      <c r="O20" s="12"/>
      <c r="P20" s="3">
        <f>--15917.84</f>
        <v>15917.84</v>
      </c>
      <c r="Q20" s="3"/>
      <c r="R20" s="23"/>
      <c r="S20" s="3"/>
      <c r="T20" s="3"/>
      <c r="U20" s="3"/>
      <c r="V20" s="23"/>
      <c r="W20" s="3"/>
      <c r="X20" s="3">
        <f t="shared" si="2"/>
        <v>15917.84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"4042", " - ", "TAXABLE SALES-EVERYDAY GIFTS")</f>
        <v xml:space="preserve">          4042 - TAXABLE SALES-EVERYDAY GIFTS</v>
      </c>
      <c r="C21" s="12"/>
      <c r="D21" s="3">
        <f>--4154.05</f>
        <v>4154.05</v>
      </c>
      <c r="E21" s="3"/>
      <c r="F21" s="23"/>
      <c r="G21" s="3"/>
      <c r="H21" s="3"/>
      <c r="I21" s="3"/>
      <c r="J21" s="23"/>
      <c r="K21" s="3"/>
      <c r="L21" s="3">
        <f t="shared" si="0"/>
        <v>4154.05</v>
      </c>
      <c r="M21" s="3"/>
      <c r="N21" s="23">
        <f t="shared" si="1"/>
        <v>0</v>
      </c>
      <c r="O21" s="12"/>
      <c r="P21" s="3">
        <f>--4154.05</f>
        <v>4154.05</v>
      </c>
      <c r="Q21" s="3"/>
      <c r="R21" s="23"/>
      <c r="S21" s="3"/>
      <c r="T21" s="3"/>
      <c r="U21" s="3"/>
      <c r="V21" s="23"/>
      <c r="W21" s="3"/>
      <c r="X21" s="3">
        <f t="shared" si="2"/>
        <v>4154.05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"4043", " - ", "TAXABLE SALES-CARDS")</f>
        <v xml:space="preserve">          4043 - TAXABLE SALES-CARDS</v>
      </c>
      <c r="C22" s="12"/>
      <c r="D22" s="3">
        <f>--187.37</f>
        <v>187.37</v>
      </c>
      <c r="E22" s="3"/>
      <c r="F22" s="23"/>
      <c r="G22" s="3"/>
      <c r="H22" s="3"/>
      <c r="I22" s="3"/>
      <c r="J22" s="23"/>
      <c r="K22" s="3"/>
      <c r="L22" s="3">
        <f t="shared" si="0"/>
        <v>187.37</v>
      </c>
      <c r="M22" s="3"/>
      <c r="N22" s="23">
        <f t="shared" si="1"/>
        <v>0</v>
      </c>
      <c r="O22" s="12"/>
      <c r="P22" s="3">
        <f>--187.37</f>
        <v>187.37</v>
      </c>
      <c r="Q22" s="3"/>
      <c r="R22" s="23"/>
      <c r="S22" s="3"/>
      <c r="T22" s="3"/>
      <c r="U22" s="3"/>
      <c r="V22" s="23"/>
      <c r="W22" s="3"/>
      <c r="X22" s="3">
        <f t="shared" si="2"/>
        <v>187.37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"4044", " - ", "TAXABLE SALES-ACCESSORIES")</f>
        <v xml:space="preserve">          4044 - TAXABLE SALES-ACCESSORIES</v>
      </c>
      <c r="C23" s="12"/>
      <c r="D23" s="3">
        <f>--1503.2</f>
        <v>1503.2</v>
      </c>
      <c r="E23" s="3"/>
      <c r="F23" s="23"/>
      <c r="G23" s="3"/>
      <c r="H23" s="3"/>
      <c r="I23" s="3"/>
      <c r="J23" s="23"/>
      <c r="K23" s="3"/>
      <c r="L23" s="3">
        <f t="shared" si="0"/>
        <v>1503.2</v>
      </c>
      <c r="M23" s="3"/>
      <c r="N23" s="23">
        <f t="shared" si="1"/>
        <v>0</v>
      </c>
      <c r="O23" s="12"/>
      <c r="P23" s="3">
        <f>--1503.2</f>
        <v>1503.2</v>
      </c>
      <c r="Q23" s="3"/>
      <c r="R23" s="23"/>
      <c r="S23" s="3"/>
      <c r="T23" s="3"/>
      <c r="U23" s="3"/>
      <c r="V23" s="23"/>
      <c r="W23" s="3"/>
      <c r="X23" s="3">
        <f t="shared" si="2"/>
        <v>1503.2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"4045", " - ", "TAXABLE SALES-SPECIAL ORDERS")</f>
        <v xml:space="preserve">          4045 - TAXABLE SALES-SPECIAL ORDERS</v>
      </c>
      <c r="C24" s="12"/>
      <c r="D24" s="3">
        <f>--43426.73</f>
        <v>43426.73</v>
      </c>
      <c r="E24" s="3"/>
      <c r="F24" s="23"/>
      <c r="G24" s="3"/>
      <c r="H24" s="3"/>
      <c r="I24" s="3"/>
      <c r="J24" s="23"/>
      <c r="K24" s="3"/>
      <c r="L24" s="3">
        <f t="shared" si="0"/>
        <v>43426.73</v>
      </c>
      <c r="M24" s="3"/>
      <c r="N24" s="23">
        <f t="shared" si="1"/>
        <v>0</v>
      </c>
      <c r="O24" s="12"/>
      <c r="P24" s="3">
        <f>--43426.73</f>
        <v>43426.73</v>
      </c>
      <c r="Q24" s="3"/>
      <c r="R24" s="23"/>
      <c r="S24" s="3"/>
      <c r="T24" s="3"/>
      <c r="U24" s="3"/>
      <c r="V24" s="23"/>
      <c r="W24" s="3"/>
      <c r="X24" s="3">
        <f t="shared" si="2"/>
        <v>43426.73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"4126", " - ", "NON-TAXABLE SALES-WRITING INST")</f>
        <v xml:space="preserve">          4126 - NON-TAXABLE SALES-WRITING INST</v>
      </c>
      <c r="C25" s="12"/>
      <c r="D25" s="3">
        <f>--52.68</f>
        <v>52.68</v>
      </c>
      <c r="E25" s="3"/>
      <c r="F25" s="23"/>
      <c r="G25" s="3"/>
      <c r="H25" s="3"/>
      <c r="I25" s="3"/>
      <c r="J25" s="23"/>
      <c r="K25" s="3"/>
      <c r="L25" s="3">
        <f t="shared" si="0"/>
        <v>52.68</v>
      </c>
      <c r="M25" s="3"/>
      <c r="N25" s="23">
        <f t="shared" si="1"/>
        <v>0</v>
      </c>
      <c r="O25" s="12"/>
      <c r="P25" s="3">
        <f>--52.68</f>
        <v>52.68</v>
      </c>
      <c r="Q25" s="3"/>
      <c r="R25" s="23"/>
      <c r="S25" s="3"/>
      <c r="T25" s="3"/>
      <c r="U25" s="3"/>
      <c r="V25" s="23"/>
      <c r="W25" s="3"/>
      <c r="X25" s="3">
        <f t="shared" si="2"/>
        <v>52.68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"4127", " - ", "NON-TAXABLE SALES-SCHOOL SUPPL")</f>
        <v xml:space="preserve">          4127 - NON-TAXABLE SALES-SCHOOL SUPPL</v>
      </c>
      <c r="C26" s="12"/>
      <c r="D26" s="3">
        <f>--72.25</f>
        <v>72.25</v>
      </c>
      <c r="E26" s="3"/>
      <c r="F26" s="23"/>
      <c r="G26" s="3"/>
      <c r="H26" s="3"/>
      <c r="I26" s="3"/>
      <c r="J26" s="23"/>
      <c r="K26" s="3"/>
      <c r="L26" s="3">
        <f t="shared" si="0"/>
        <v>72.25</v>
      </c>
      <c r="M26" s="3"/>
      <c r="N26" s="23">
        <f t="shared" si="1"/>
        <v>0</v>
      </c>
      <c r="O26" s="12"/>
      <c r="P26" s="3">
        <f>--72.25</f>
        <v>72.25</v>
      </c>
      <c r="Q26" s="3"/>
      <c r="R26" s="23"/>
      <c r="S26" s="3"/>
      <c r="T26" s="3"/>
      <c r="U26" s="3"/>
      <c r="V26" s="23"/>
      <c r="W26" s="3"/>
      <c r="X26" s="3">
        <f t="shared" si="2"/>
        <v>72.25</v>
      </c>
      <c r="Y26" s="3"/>
      <c r="Z26" s="23">
        <f t="shared" si="3"/>
        <v>0</v>
      </c>
    </row>
    <row r="27" spans="1:26" s="24" customFormat="1" hidden="1" outlineLevel="1" x14ac:dyDescent="0.25">
      <c r="A27" s="51"/>
      <c r="B27" s="12" t="str">
        <f>CONCATENATE("          ", "4131", " - ", "NON-TAXABLE SALES-FOOD")</f>
        <v xml:space="preserve">          4131 - NON-TAXABLE SALES-FOOD</v>
      </c>
      <c r="C27" s="12"/>
      <c r="D27" s="3">
        <f>--257.93</f>
        <v>257.93</v>
      </c>
      <c r="E27" s="3"/>
      <c r="F27" s="23"/>
      <c r="G27" s="3"/>
      <c r="H27" s="3"/>
      <c r="I27" s="3"/>
      <c r="J27" s="23"/>
      <c r="K27" s="3"/>
      <c r="L27" s="3">
        <f t="shared" si="0"/>
        <v>257.93</v>
      </c>
      <c r="M27" s="3"/>
      <c r="N27" s="23">
        <f t="shared" si="1"/>
        <v>0</v>
      </c>
      <c r="O27" s="12"/>
      <c r="P27" s="3">
        <f>--257.93</f>
        <v>257.93</v>
      </c>
      <c r="Q27" s="3"/>
      <c r="R27" s="23"/>
      <c r="S27" s="3"/>
      <c r="T27" s="3"/>
      <c r="U27" s="3"/>
      <c r="V27" s="23"/>
      <c r="W27" s="3"/>
      <c r="X27" s="3">
        <f t="shared" si="2"/>
        <v>257.93</v>
      </c>
      <c r="Y27" s="3"/>
      <c r="Z27" s="23">
        <f t="shared" si="3"/>
        <v>0</v>
      </c>
    </row>
    <row r="28" spans="1:26" s="24" customFormat="1" hidden="1" outlineLevel="1" x14ac:dyDescent="0.25">
      <c r="A28" s="51"/>
      <c r="B28" s="12" t="str">
        <f>CONCATENATE("          ", "4132", " - ", "NON-TAXABLE SALES-JUICE")</f>
        <v xml:space="preserve">          4132 - NON-TAXABLE SALES-JUICE</v>
      </c>
      <c r="C28" s="12"/>
      <c r="D28" s="3">
        <f>--22.49</f>
        <v>22.49</v>
      </c>
      <c r="E28" s="3"/>
      <c r="F28" s="23"/>
      <c r="G28" s="3"/>
      <c r="H28" s="3"/>
      <c r="I28" s="3"/>
      <c r="J28" s="23"/>
      <c r="K28" s="3"/>
      <c r="L28" s="3">
        <f t="shared" si="0"/>
        <v>22.49</v>
      </c>
      <c r="M28" s="3"/>
      <c r="N28" s="23">
        <f t="shared" si="1"/>
        <v>0</v>
      </c>
      <c r="O28" s="12"/>
      <c r="P28" s="3">
        <f>--22.49</f>
        <v>22.49</v>
      </c>
      <c r="Q28" s="3"/>
      <c r="R28" s="23"/>
      <c r="S28" s="3"/>
      <c r="T28" s="3"/>
      <c r="U28" s="3"/>
      <c r="V28" s="23"/>
      <c r="W28" s="3"/>
      <c r="X28" s="3">
        <f t="shared" si="2"/>
        <v>22.49</v>
      </c>
      <c r="Y28" s="3"/>
      <c r="Z28" s="23">
        <f t="shared" si="3"/>
        <v>0</v>
      </c>
    </row>
    <row r="29" spans="1:26" s="24" customFormat="1" hidden="1" outlineLevel="1" x14ac:dyDescent="0.25">
      <c r="A29" s="51"/>
      <c r="B29" s="12" t="str">
        <f>CONCATENATE("          ", "4133", " - ", "NON-TAXABLE SALES-CANDY")</f>
        <v xml:space="preserve">          4133 - NON-TAXABLE SALES-CANDY</v>
      </c>
      <c r="C29" s="12"/>
      <c r="D29" s="3">
        <f>--68.28</f>
        <v>68.28</v>
      </c>
      <c r="E29" s="3"/>
      <c r="F29" s="23"/>
      <c r="G29" s="3"/>
      <c r="H29" s="3"/>
      <c r="I29" s="3"/>
      <c r="J29" s="23"/>
      <c r="K29" s="3"/>
      <c r="L29" s="3">
        <f t="shared" si="0"/>
        <v>68.28</v>
      </c>
      <c r="M29" s="3"/>
      <c r="N29" s="23">
        <f t="shared" si="1"/>
        <v>0</v>
      </c>
      <c r="O29" s="12"/>
      <c r="P29" s="3">
        <f>--68.28</f>
        <v>68.28</v>
      </c>
      <c r="Q29" s="3"/>
      <c r="R29" s="23"/>
      <c r="S29" s="3"/>
      <c r="T29" s="3"/>
      <c r="U29" s="3"/>
      <c r="V29" s="23"/>
      <c r="W29" s="3"/>
      <c r="X29" s="3">
        <f t="shared" si="2"/>
        <v>68.28</v>
      </c>
      <c r="Y29" s="3"/>
      <c r="Z29" s="23">
        <f t="shared" si="3"/>
        <v>0</v>
      </c>
    </row>
    <row r="30" spans="1:26" s="24" customFormat="1" hidden="1" outlineLevel="1" x14ac:dyDescent="0.25">
      <c r="A30" s="51"/>
      <c r="B30" s="12" t="str">
        <f>CONCATENATE("          ", "4134", " - ", "NON-TAXABLE SALES-SODA")</f>
        <v xml:space="preserve">          4134 - NON-TAXABLE SALES-SODA</v>
      </c>
      <c r="C30" s="12"/>
      <c r="D30" s="3">
        <f>--45.53</f>
        <v>45.53</v>
      </c>
      <c r="E30" s="3"/>
      <c r="F30" s="23"/>
      <c r="G30" s="3"/>
      <c r="H30" s="3"/>
      <c r="I30" s="3"/>
      <c r="J30" s="23"/>
      <c r="K30" s="3"/>
      <c r="L30" s="3">
        <f t="shared" si="0"/>
        <v>45.53</v>
      </c>
      <c r="M30" s="3"/>
      <c r="N30" s="23">
        <f t="shared" si="1"/>
        <v>0</v>
      </c>
      <c r="O30" s="12"/>
      <c r="P30" s="3">
        <f>--45.53</f>
        <v>45.53</v>
      </c>
      <c r="Q30" s="3"/>
      <c r="R30" s="23"/>
      <c r="S30" s="3"/>
      <c r="T30" s="3"/>
      <c r="U30" s="3"/>
      <c r="V30" s="23"/>
      <c r="W30" s="3"/>
      <c r="X30" s="3">
        <f t="shared" si="2"/>
        <v>45.53</v>
      </c>
      <c r="Y30" s="3"/>
      <c r="Z30" s="23">
        <f t="shared" si="3"/>
        <v>0</v>
      </c>
    </row>
    <row r="31" spans="1:26" s="24" customFormat="1" hidden="1" outlineLevel="1" x14ac:dyDescent="0.25">
      <c r="A31" s="51"/>
      <c r="B31" s="12" t="str">
        <f>CONCATENATE("          ", "4137", " - ", "NON-TAXABLE SALES-WATER")</f>
        <v xml:space="preserve">          4137 - NON-TAXABLE SALES-WATER</v>
      </c>
      <c r="C31" s="12"/>
      <c r="D31" s="3">
        <f>--59.25</f>
        <v>59.25</v>
      </c>
      <c r="E31" s="3"/>
      <c r="F31" s="23"/>
      <c r="G31" s="3"/>
      <c r="H31" s="3"/>
      <c r="I31" s="3"/>
      <c r="J31" s="23"/>
      <c r="K31" s="3"/>
      <c r="L31" s="3">
        <f t="shared" si="0"/>
        <v>59.25</v>
      </c>
      <c r="M31" s="3"/>
      <c r="N31" s="23">
        <f t="shared" si="1"/>
        <v>0</v>
      </c>
      <c r="O31" s="12"/>
      <c r="P31" s="3">
        <f>--59.25</f>
        <v>59.25</v>
      </c>
      <c r="Q31" s="3"/>
      <c r="R31" s="23"/>
      <c r="S31" s="3"/>
      <c r="T31" s="3"/>
      <c r="U31" s="3"/>
      <c r="V31" s="23"/>
      <c r="W31" s="3"/>
      <c r="X31" s="3">
        <f t="shared" si="2"/>
        <v>59.25</v>
      </c>
      <c r="Y31" s="3"/>
      <c r="Z31" s="23">
        <f t="shared" si="3"/>
        <v>0</v>
      </c>
    </row>
    <row r="32" spans="1:26" s="24" customFormat="1" hidden="1" outlineLevel="1" x14ac:dyDescent="0.25">
      <c r="A32" s="51"/>
      <c r="B32" s="12" t="str">
        <f>CONCATENATE("          ", "4140", " - ", "NON-TAXABLE SALES-LOGO CLOTHIN")</f>
        <v xml:space="preserve">          4140 - NON-TAXABLE SALES-LOGO CLOTHIN</v>
      </c>
      <c r="C32" s="12"/>
      <c r="D32" s="3">
        <f>--6777.78</f>
        <v>6777.78</v>
      </c>
      <c r="E32" s="3"/>
      <c r="F32" s="23"/>
      <c r="G32" s="3"/>
      <c r="H32" s="3"/>
      <c r="I32" s="3"/>
      <c r="J32" s="23"/>
      <c r="K32" s="3"/>
      <c r="L32" s="3">
        <f t="shared" si="0"/>
        <v>6777.78</v>
      </c>
      <c r="M32" s="3"/>
      <c r="N32" s="23">
        <f t="shared" si="1"/>
        <v>0</v>
      </c>
      <c r="O32" s="12"/>
      <c r="P32" s="3">
        <f>--6777.78</f>
        <v>6777.78</v>
      </c>
      <c r="Q32" s="3"/>
      <c r="R32" s="23"/>
      <c r="S32" s="3"/>
      <c r="T32" s="3"/>
      <c r="U32" s="3"/>
      <c r="V32" s="23"/>
      <c r="W32" s="3"/>
      <c r="X32" s="3">
        <f t="shared" si="2"/>
        <v>6777.78</v>
      </c>
      <c r="Y32" s="3"/>
      <c r="Z32" s="23">
        <f t="shared" si="3"/>
        <v>0</v>
      </c>
    </row>
    <row r="33" spans="1:26" s="24" customFormat="1" hidden="1" outlineLevel="1" x14ac:dyDescent="0.25">
      <c r="A33" s="51"/>
      <c r="B33" s="12" t="str">
        <f>CONCATENATE("          ", "4141", " - ", "NON-TAXABLE SALES-LOGO GIFTS")</f>
        <v xml:space="preserve">          4141 - NON-TAXABLE SALES-LOGO GIFTS</v>
      </c>
      <c r="C33" s="12"/>
      <c r="D33" s="3">
        <f>--1189.44</f>
        <v>1189.44</v>
      </c>
      <c r="E33" s="3"/>
      <c r="F33" s="23"/>
      <c r="G33" s="3"/>
      <c r="H33" s="3"/>
      <c r="I33" s="3"/>
      <c r="J33" s="23"/>
      <c r="K33" s="3"/>
      <c r="L33" s="3">
        <f t="shared" si="0"/>
        <v>1189.44</v>
      </c>
      <c r="M33" s="3"/>
      <c r="N33" s="23">
        <f t="shared" si="1"/>
        <v>0</v>
      </c>
      <c r="O33" s="12"/>
      <c r="P33" s="3">
        <f>--1189.44</f>
        <v>1189.44</v>
      </c>
      <c r="Q33" s="3"/>
      <c r="R33" s="23"/>
      <c r="S33" s="3"/>
      <c r="T33" s="3"/>
      <c r="U33" s="3"/>
      <c r="V33" s="23"/>
      <c r="W33" s="3"/>
      <c r="X33" s="3">
        <f t="shared" si="2"/>
        <v>1189.44</v>
      </c>
      <c r="Y33" s="3"/>
      <c r="Z33" s="23">
        <f t="shared" si="3"/>
        <v>0</v>
      </c>
    </row>
    <row r="34" spans="1:26" s="24" customFormat="1" hidden="1" outlineLevel="1" x14ac:dyDescent="0.25">
      <c r="A34" s="51"/>
      <c r="B34" s="12" t="str">
        <f>CONCATENATE("          ", "4142", " - ", "NON-TAXABLE SALES-EVERYDAY GIF")</f>
        <v xml:space="preserve">          4142 - NON-TAXABLE SALES-EVERYDAY GIF</v>
      </c>
      <c r="C34" s="12"/>
      <c r="D34" s="3">
        <f>--640.17</f>
        <v>640.16999999999996</v>
      </c>
      <c r="E34" s="3"/>
      <c r="F34" s="23"/>
      <c r="G34" s="3"/>
      <c r="H34" s="3"/>
      <c r="I34" s="3"/>
      <c r="J34" s="23"/>
      <c r="K34" s="3"/>
      <c r="L34" s="3">
        <f t="shared" si="0"/>
        <v>640.16999999999996</v>
      </c>
      <c r="M34" s="3"/>
      <c r="N34" s="23">
        <f t="shared" si="1"/>
        <v>0</v>
      </c>
      <c r="O34" s="12"/>
      <c r="P34" s="3">
        <f>--640.17</f>
        <v>640.16999999999996</v>
      </c>
      <c r="Q34" s="3"/>
      <c r="R34" s="23"/>
      <c r="S34" s="3"/>
      <c r="T34" s="3"/>
      <c r="U34" s="3"/>
      <c r="V34" s="23"/>
      <c r="W34" s="3"/>
      <c r="X34" s="3">
        <f t="shared" si="2"/>
        <v>640.16999999999996</v>
      </c>
      <c r="Y34" s="3"/>
      <c r="Z34" s="23">
        <f t="shared" si="3"/>
        <v>0</v>
      </c>
    </row>
    <row r="35" spans="1:26" s="24" customFormat="1" hidden="1" outlineLevel="1" x14ac:dyDescent="0.25">
      <c r="A35" s="51"/>
      <c r="B35" s="12" t="str">
        <f>CONCATENATE("          ", "4144", " - ", "NON-TAXABLE SALES-ACCESSORIES")</f>
        <v xml:space="preserve">          4144 - NON-TAXABLE SALES-ACCESSORIES</v>
      </c>
      <c r="C35" s="12"/>
      <c r="D35" s="3">
        <f>--47.85</f>
        <v>47.85</v>
      </c>
      <c r="E35" s="3"/>
      <c r="F35" s="23"/>
      <c r="G35" s="3"/>
      <c r="H35" s="3"/>
      <c r="I35" s="3"/>
      <c r="J35" s="23"/>
      <c r="K35" s="3"/>
      <c r="L35" s="3">
        <f t="shared" si="0"/>
        <v>47.85</v>
      </c>
      <c r="M35" s="3"/>
      <c r="N35" s="23">
        <f t="shared" si="1"/>
        <v>0</v>
      </c>
      <c r="O35" s="12"/>
      <c r="P35" s="3">
        <f>--47.85</f>
        <v>47.85</v>
      </c>
      <c r="Q35" s="3"/>
      <c r="R35" s="23"/>
      <c r="S35" s="3"/>
      <c r="T35" s="3"/>
      <c r="U35" s="3"/>
      <c r="V35" s="23"/>
      <c r="W35" s="3"/>
      <c r="X35" s="3">
        <f t="shared" si="2"/>
        <v>47.85</v>
      </c>
      <c r="Y35" s="3"/>
      <c r="Z35" s="23">
        <f t="shared" si="3"/>
        <v>0</v>
      </c>
    </row>
    <row r="36" spans="1:26" s="24" customFormat="1" hidden="1" outlineLevel="1" x14ac:dyDescent="0.25">
      <c r="A36" s="51"/>
      <c r="B36" s="12" t="str">
        <f>CONCATENATE("          ", "4145", " - ", "NON-TAXABLE SALES-SPECIAL ORDE")</f>
        <v xml:space="preserve">          4145 - NON-TAXABLE SALES-SPECIAL ORDE</v>
      </c>
      <c r="C36" s="12"/>
      <c r="D36" s="3">
        <f>--35489</f>
        <v>35489</v>
      </c>
      <c r="E36" s="3"/>
      <c r="F36" s="23"/>
      <c r="G36" s="3"/>
      <c r="H36" s="3"/>
      <c r="I36" s="3"/>
      <c r="J36" s="23"/>
      <c r="K36" s="3"/>
      <c r="L36" s="3">
        <f t="shared" si="0"/>
        <v>35489</v>
      </c>
      <c r="M36" s="3"/>
      <c r="N36" s="23">
        <f t="shared" si="1"/>
        <v>0</v>
      </c>
      <c r="O36" s="12"/>
      <c r="P36" s="3">
        <f>--35489</f>
        <v>35489</v>
      </c>
      <c r="Q36" s="3"/>
      <c r="R36" s="23"/>
      <c r="S36" s="3"/>
      <c r="T36" s="3"/>
      <c r="U36" s="3"/>
      <c r="V36" s="23"/>
      <c r="W36" s="3"/>
      <c r="X36" s="3">
        <f t="shared" si="2"/>
        <v>35489</v>
      </c>
      <c r="Y36" s="3"/>
      <c r="Z36" s="23">
        <f t="shared" si="3"/>
        <v>0</v>
      </c>
    </row>
    <row r="37" spans="1:26" s="24" customFormat="1" hidden="1" outlineLevel="1" x14ac:dyDescent="0.25">
      <c r="A37" s="51"/>
      <c r="B37" s="12" t="str">
        <f>CONCATENATE("          ", "4226", " - ", "SALES RETURN TAXABLE-WRITING I")</f>
        <v xml:space="preserve">          4226 - SALES RETURN TAXABLE-WRITING I</v>
      </c>
      <c r="C37" s="12"/>
      <c r="D37" s="3">
        <f>-6.38</f>
        <v>-6.38</v>
      </c>
      <c r="E37" s="3"/>
      <c r="F37" s="23"/>
      <c r="G37" s="3"/>
      <c r="H37" s="3"/>
      <c r="I37" s="3"/>
      <c r="J37" s="23"/>
      <c r="K37" s="3"/>
      <c r="L37" s="3">
        <f t="shared" si="0"/>
        <v>-6.38</v>
      </c>
      <c r="M37" s="3"/>
      <c r="N37" s="23">
        <f t="shared" si="1"/>
        <v>0</v>
      </c>
      <c r="O37" s="12"/>
      <c r="P37" s="3">
        <f>-6.38</f>
        <v>-6.38</v>
      </c>
      <c r="Q37" s="3"/>
      <c r="R37" s="23"/>
      <c r="S37" s="3"/>
      <c r="T37" s="3"/>
      <c r="U37" s="3"/>
      <c r="V37" s="23"/>
      <c r="W37" s="3"/>
      <c r="X37" s="3">
        <f t="shared" si="2"/>
        <v>-6.38</v>
      </c>
      <c r="Y37" s="3"/>
      <c r="Z37" s="23">
        <f t="shared" si="3"/>
        <v>0</v>
      </c>
    </row>
    <row r="38" spans="1:26" s="24" customFormat="1" hidden="1" outlineLevel="1" x14ac:dyDescent="0.25">
      <c r="A38" s="51"/>
      <c r="B38" s="12" t="str">
        <f>CONCATENATE("          ", "4227", " - ", "SALES RETURN TAXABLE-SCHOOL SU")</f>
        <v xml:space="preserve">          4227 - SALES RETURN TAXABLE-SCHOOL SU</v>
      </c>
      <c r="C38" s="12"/>
      <c r="D38" s="3">
        <f>-26.77</f>
        <v>-26.77</v>
      </c>
      <c r="E38" s="3"/>
      <c r="F38" s="23"/>
      <c r="G38" s="3"/>
      <c r="H38" s="3"/>
      <c r="I38" s="3"/>
      <c r="J38" s="23"/>
      <c r="K38" s="3"/>
      <c r="L38" s="3">
        <f t="shared" si="0"/>
        <v>-26.77</v>
      </c>
      <c r="M38" s="3"/>
      <c r="N38" s="23">
        <f t="shared" si="1"/>
        <v>0</v>
      </c>
      <c r="O38" s="12"/>
      <c r="P38" s="3">
        <f>-26.77</f>
        <v>-26.77</v>
      </c>
      <c r="Q38" s="3"/>
      <c r="R38" s="23"/>
      <c r="S38" s="3"/>
      <c r="T38" s="3"/>
      <c r="U38" s="3"/>
      <c r="V38" s="23"/>
      <c r="W38" s="3"/>
      <c r="X38" s="3">
        <f t="shared" si="2"/>
        <v>-26.77</v>
      </c>
      <c r="Y38" s="3"/>
      <c r="Z38" s="23">
        <f t="shared" si="3"/>
        <v>0</v>
      </c>
    </row>
    <row r="39" spans="1:26" s="24" customFormat="1" hidden="1" outlineLevel="1" x14ac:dyDescent="0.25">
      <c r="A39" s="51"/>
      <c r="B39" s="12" t="str">
        <f>CONCATENATE("          ", "4240", " - ", "SALES RETURN TAXABLE-LOGO CLOT")</f>
        <v xml:space="preserve">          4240 - SALES RETURN TAXABLE-LOGO CLOT</v>
      </c>
      <c r="C39" s="12"/>
      <c r="D39" s="3">
        <f>-2618.45</f>
        <v>-2618.4499999999998</v>
      </c>
      <c r="E39" s="3"/>
      <c r="F39" s="23"/>
      <c r="G39" s="3"/>
      <c r="H39" s="3"/>
      <c r="I39" s="3"/>
      <c r="J39" s="23"/>
      <c r="K39" s="3"/>
      <c r="L39" s="3">
        <f t="shared" si="0"/>
        <v>-2618.4499999999998</v>
      </c>
      <c r="M39" s="3"/>
      <c r="N39" s="23">
        <f t="shared" si="1"/>
        <v>0</v>
      </c>
      <c r="O39" s="12"/>
      <c r="P39" s="3">
        <f>-2618.45</f>
        <v>-2618.4499999999998</v>
      </c>
      <c r="Q39" s="3"/>
      <c r="R39" s="23"/>
      <c r="S39" s="3"/>
      <c r="T39" s="3"/>
      <c r="U39" s="3"/>
      <c r="V39" s="23"/>
      <c r="W39" s="3"/>
      <c r="X39" s="3">
        <f t="shared" si="2"/>
        <v>-2618.4499999999998</v>
      </c>
      <c r="Y39" s="3"/>
      <c r="Z39" s="23">
        <f t="shared" si="3"/>
        <v>0</v>
      </c>
    </row>
    <row r="40" spans="1:26" s="24" customFormat="1" hidden="1" outlineLevel="1" x14ac:dyDescent="0.25">
      <c r="A40" s="51"/>
      <c r="B40" s="12" t="str">
        <f>CONCATENATE("          ", "4241", " - ", "SALES RETURN TAXABLE-LOGO GIFT")</f>
        <v xml:space="preserve">          4241 - SALES RETURN TAXABLE-LOGO GIFT</v>
      </c>
      <c r="C40" s="12"/>
      <c r="D40" s="3">
        <f>-308.13</f>
        <v>-308.13</v>
      </c>
      <c r="E40" s="3"/>
      <c r="F40" s="23"/>
      <c r="G40" s="3"/>
      <c r="H40" s="3"/>
      <c r="I40" s="3"/>
      <c r="J40" s="23"/>
      <c r="K40" s="3"/>
      <c r="L40" s="3">
        <f t="shared" si="0"/>
        <v>-308.13</v>
      </c>
      <c r="M40" s="3"/>
      <c r="N40" s="23">
        <f t="shared" si="1"/>
        <v>0</v>
      </c>
      <c r="O40" s="12"/>
      <c r="P40" s="3">
        <f>-308.13</f>
        <v>-308.13</v>
      </c>
      <c r="Q40" s="3"/>
      <c r="R40" s="23"/>
      <c r="S40" s="3"/>
      <c r="T40" s="3"/>
      <c r="U40" s="3"/>
      <c r="V40" s="23"/>
      <c r="W40" s="3"/>
      <c r="X40" s="3">
        <f t="shared" si="2"/>
        <v>-308.13</v>
      </c>
      <c r="Y40" s="3"/>
      <c r="Z40" s="23">
        <f t="shared" si="3"/>
        <v>0</v>
      </c>
    </row>
    <row r="41" spans="1:26" s="24" customFormat="1" hidden="1" outlineLevel="1" x14ac:dyDescent="0.25">
      <c r="A41" s="51"/>
      <c r="B41" s="12" t="str">
        <f>CONCATENATE("          ", "4242", " - ", "SALES RETURN TAXABLE-EVERYDAY")</f>
        <v xml:space="preserve">          4242 - SALES RETURN TAXABLE-EVERYDAY</v>
      </c>
      <c r="C41" s="12"/>
      <c r="D41" s="3">
        <f>-105.1</f>
        <v>-105.1</v>
      </c>
      <c r="E41" s="3"/>
      <c r="F41" s="23"/>
      <c r="G41" s="3"/>
      <c r="H41" s="3"/>
      <c r="I41" s="3"/>
      <c r="J41" s="23"/>
      <c r="K41" s="3"/>
      <c r="L41" s="3">
        <f t="shared" si="0"/>
        <v>-105.1</v>
      </c>
      <c r="M41" s="3"/>
      <c r="N41" s="23">
        <f t="shared" si="1"/>
        <v>0</v>
      </c>
      <c r="O41" s="12"/>
      <c r="P41" s="3">
        <f>-105.1</f>
        <v>-105.1</v>
      </c>
      <c r="Q41" s="3"/>
      <c r="R41" s="23"/>
      <c r="S41" s="3"/>
      <c r="T41" s="3"/>
      <c r="U41" s="3"/>
      <c r="V41" s="23"/>
      <c r="W41" s="3"/>
      <c r="X41" s="3">
        <f t="shared" si="2"/>
        <v>-105.1</v>
      </c>
      <c r="Y41" s="3"/>
      <c r="Z41" s="23">
        <f t="shared" si="3"/>
        <v>0</v>
      </c>
    </row>
    <row r="42" spans="1:26" s="24" customFormat="1" hidden="1" outlineLevel="1" x14ac:dyDescent="0.25">
      <c r="A42" s="51"/>
      <c r="B42" s="12" t="str">
        <f>CONCATENATE("          ", "4245", " - ", "SALES RETURN TAXABLE-SPECIAL O")</f>
        <v xml:space="preserve">          4245 - SALES RETURN TAXABLE-SPECIAL O</v>
      </c>
      <c r="C42" s="12"/>
      <c r="D42" s="3">
        <f>-1114</f>
        <v>-1114</v>
      </c>
      <c r="E42" s="3"/>
      <c r="F42" s="23"/>
      <c r="G42" s="3"/>
      <c r="H42" s="3"/>
      <c r="I42" s="3"/>
      <c r="J42" s="23"/>
      <c r="K42" s="3"/>
      <c r="L42" s="3">
        <f t="shared" si="0"/>
        <v>-1114</v>
      </c>
      <c r="M42" s="3"/>
      <c r="N42" s="23">
        <f t="shared" si="1"/>
        <v>0</v>
      </c>
      <c r="O42" s="12"/>
      <c r="P42" s="3">
        <f>-1114</f>
        <v>-1114</v>
      </c>
      <c r="Q42" s="3"/>
      <c r="R42" s="23"/>
      <c r="S42" s="3"/>
      <c r="T42" s="3"/>
      <c r="U42" s="3"/>
      <c r="V42" s="23"/>
      <c r="W42" s="3"/>
      <c r="X42" s="3">
        <f t="shared" si="2"/>
        <v>-1114</v>
      </c>
      <c r="Y42" s="3"/>
      <c r="Z42" s="23">
        <f t="shared" si="3"/>
        <v>0</v>
      </c>
    </row>
    <row r="43" spans="1:26" s="24" customFormat="1" hidden="1" outlineLevel="1" x14ac:dyDescent="0.25">
      <c r="A43" s="51"/>
      <c r="B43" s="12" t="str">
        <f>CONCATENATE("          ", "4340", " - ", "SALES RETURN NON TAXABLE-LOGO")</f>
        <v xml:space="preserve">          4340 - SALES RETURN NON TAXABLE-LOGO</v>
      </c>
      <c r="C43" s="12"/>
      <c r="D43" s="3">
        <f>-434.24</f>
        <v>-434.24</v>
      </c>
      <c r="E43" s="3"/>
      <c r="F43" s="23"/>
      <c r="G43" s="3"/>
      <c r="H43" s="3"/>
      <c r="I43" s="3"/>
      <c r="J43" s="23"/>
      <c r="K43" s="3"/>
      <c r="L43" s="3">
        <f t="shared" si="0"/>
        <v>-434.24</v>
      </c>
      <c r="M43" s="3"/>
      <c r="N43" s="23">
        <f t="shared" si="1"/>
        <v>0</v>
      </c>
      <c r="O43" s="12"/>
      <c r="P43" s="3">
        <f>-434.24</f>
        <v>-434.24</v>
      </c>
      <c r="Q43" s="3"/>
      <c r="R43" s="23"/>
      <c r="S43" s="3"/>
      <c r="T43" s="3"/>
      <c r="U43" s="3"/>
      <c r="V43" s="23"/>
      <c r="W43" s="3"/>
      <c r="X43" s="3">
        <f t="shared" si="2"/>
        <v>-434.24</v>
      </c>
      <c r="Y43" s="3"/>
      <c r="Z43" s="23">
        <f t="shared" si="3"/>
        <v>0</v>
      </c>
    </row>
    <row r="44" spans="1:26" s="24" customFormat="1" hidden="1" outlineLevel="1" x14ac:dyDescent="0.25">
      <c r="A44" s="51"/>
      <c r="B44" s="12" t="str">
        <f>CONCATENATE("          ", "4341", " - ", "SALES RETURN NON TAXABLE-LOGO")</f>
        <v xml:space="preserve">          4341 - SALES RETURN NON TAXABLE-LOGO</v>
      </c>
      <c r="C44" s="12"/>
      <c r="D44" s="3">
        <f>-16.95</f>
        <v>-16.95</v>
      </c>
      <c r="E44" s="3"/>
      <c r="F44" s="23"/>
      <c r="G44" s="3"/>
      <c r="H44" s="3"/>
      <c r="I44" s="3"/>
      <c r="J44" s="23"/>
      <c r="K44" s="3"/>
      <c r="L44" s="3">
        <f t="shared" si="0"/>
        <v>-16.95</v>
      </c>
      <c r="M44" s="3"/>
      <c r="N44" s="23">
        <f t="shared" si="1"/>
        <v>0</v>
      </c>
      <c r="O44" s="12"/>
      <c r="P44" s="3">
        <f>-16.95</f>
        <v>-16.95</v>
      </c>
      <c r="Q44" s="3"/>
      <c r="R44" s="23"/>
      <c r="S44" s="3"/>
      <c r="T44" s="3"/>
      <c r="U44" s="3"/>
      <c r="V44" s="23"/>
      <c r="W44" s="3"/>
      <c r="X44" s="3">
        <f t="shared" si="2"/>
        <v>-16.95</v>
      </c>
      <c r="Y44" s="3"/>
      <c r="Z44" s="23">
        <f t="shared" si="3"/>
        <v>0</v>
      </c>
    </row>
    <row r="45" spans="1:26" s="24" customFormat="1" hidden="1" outlineLevel="1" x14ac:dyDescent="0.25">
      <c r="A45" s="51"/>
      <c r="B45" s="12" t="str">
        <f>CONCATENATE("          ", "4342", " - ", "SALES RETURN NON TAXABLE-EVERY")</f>
        <v xml:space="preserve">          4342 - SALES RETURN NON TAXABLE-EVERY</v>
      </c>
      <c r="C45" s="12"/>
      <c r="D45" s="3">
        <f>-79.85</f>
        <v>-79.849999999999994</v>
      </c>
      <c r="E45" s="3"/>
      <c r="F45" s="23"/>
      <c r="G45" s="3"/>
      <c r="H45" s="3"/>
      <c r="I45" s="3"/>
      <c r="J45" s="23"/>
      <c r="K45" s="3"/>
      <c r="L45" s="3">
        <f t="shared" si="0"/>
        <v>-79.849999999999994</v>
      </c>
      <c r="M45" s="3"/>
      <c r="N45" s="23">
        <f t="shared" si="1"/>
        <v>0</v>
      </c>
      <c r="O45" s="12"/>
      <c r="P45" s="3">
        <f>-79.85</f>
        <v>-79.849999999999994</v>
      </c>
      <c r="Q45" s="3"/>
      <c r="R45" s="23"/>
      <c r="S45" s="3"/>
      <c r="T45" s="3"/>
      <c r="U45" s="3"/>
      <c r="V45" s="23"/>
      <c r="W45" s="3"/>
      <c r="X45" s="3">
        <f t="shared" si="2"/>
        <v>-79.849999999999994</v>
      </c>
      <c r="Y45" s="3"/>
      <c r="Z45" s="23">
        <f t="shared" si="3"/>
        <v>0</v>
      </c>
    </row>
    <row r="46" spans="1:26" x14ac:dyDescent="0.25">
      <c r="A46" s="9"/>
      <c r="B46" s="10"/>
      <c r="C46" s="9"/>
      <c r="D46" s="2"/>
      <c r="E46" s="2"/>
      <c r="F46" s="6"/>
      <c r="G46" s="2"/>
      <c r="H46" s="2"/>
      <c r="I46" s="2"/>
      <c r="J46" s="6"/>
      <c r="K46" s="2"/>
      <c r="L46" s="2"/>
      <c r="M46" s="2"/>
      <c r="N46" s="6"/>
      <c r="P46" s="2"/>
      <c r="Q46" s="2"/>
      <c r="R46" s="6"/>
      <c r="S46" s="2"/>
      <c r="T46" s="2"/>
      <c r="U46" s="2"/>
      <c r="V46" s="6"/>
      <c r="W46" s="2"/>
      <c r="X46" s="2"/>
      <c r="Y46" s="2"/>
      <c r="Z46" s="6"/>
    </row>
    <row r="47" spans="1:26" s="22" customFormat="1" collapsed="1" x14ac:dyDescent="0.25">
      <c r="A47" s="10"/>
      <c r="B47" s="26" t="s">
        <v>8</v>
      </c>
      <c r="C47" s="10"/>
      <c r="D47" s="4">
        <f>SUM(OSRRefD16x_0)</f>
        <v>100169.94</v>
      </c>
      <c r="E47" s="4"/>
      <c r="F47" s="11">
        <f t="shared" ref="F47:F60" si="4">IF(D$12=0,0,D47/D$12)</f>
        <v>0.67727673332947957</v>
      </c>
      <c r="G47" s="4"/>
      <c r="H47" s="4">
        <f>SUM(OSRRefH16x_0)</f>
        <v>83733</v>
      </c>
      <c r="I47" s="4"/>
      <c r="J47" s="11">
        <f t="shared" ref="J47:J60" si="5">IF(H$12=0,0,H47/H$12)</f>
        <v>0.46250338317416306</v>
      </c>
      <c r="K47" s="4"/>
      <c r="L47" s="4">
        <f t="shared" ref="L47:L60" si="6">+D47-H47</f>
        <v>16436.940000000002</v>
      </c>
      <c r="M47" s="4"/>
      <c r="N47" s="11">
        <f t="shared" ref="N47:N60" si="7">IF(H47=0,0,L47/H47)</f>
        <v>0.19630181648812298</v>
      </c>
      <c r="O47" s="10"/>
      <c r="P47" s="4">
        <f>SUM(OSRRefP16x_0)</f>
        <v>100169.94</v>
      </c>
      <c r="Q47" s="4"/>
      <c r="R47" s="11">
        <f t="shared" ref="R47:R60" si="8">IF(P$12=0,0,P47/P$12)</f>
        <v>0.67727673332947957</v>
      </c>
      <c r="S47" s="4"/>
      <c r="T47" s="4">
        <f>SUM(OSRRefT16x_0)</f>
        <v>83733</v>
      </c>
      <c r="U47" s="4"/>
      <c r="V47" s="11">
        <f t="shared" ref="V47:V60" si="9">IF(T$12=0,0,T47/T$12)</f>
        <v>0.46250338317416306</v>
      </c>
      <c r="W47" s="4"/>
      <c r="X47" s="4">
        <f t="shared" ref="X47:X60" si="10">+P47-T47</f>
        <v>16436.940000000002</v>
      </c>
      <c r="Y47" s="4"/>
      <c r="Z47" s="11">
        <f t="shared" ref="Z47:Z60" si="11">IF(T47=0,0,X47/T47)</f>
        <v>0.19630181648812298</v>
      </c>
    </row>
    <row r="48" spans="1:26" s="24" customFormat="1" hidden="1" outlineLevel="1" x14ac:dyDescent="0.25">
      <c r="A48" s="51"/>
      <c r="B48" s="12" t="str">
        <f>CONCATENATE("          ", "5000", " - ", "PURCHASES @ COST")</f>
        <v xml:space="preserve">          5000 - PURCHASES @ COST</v>
      </c>
      <c r="C48" s="12"/>
      <c r="D48" s="3"/>
      <c r="E48" s="3"/>
      <c r="F48" s="23">
        <f t="shared" si="4"/>
        <v>0</v>
      </c>
      <c r="G48" s="3"/>
      <c r="H48" s="3">
        <v>83733</v>
      </c>
      <c r="I48" s="3"/>
      <c r="J48" s="23">
        <f t="shared" si="5"/>
        <v>0.46250338317416306</v>
      </c>
      <c r="K48" s="3"/>
      <c r="L48" s="3">
        <f t="shared" si="6"/>
        <v>-83733</v>
      </c>
      <c r="M48" s="3"/>
      <c r="N48" s="23">
        <f t="shared" si="7"/>
        <v>-1</v>
      </c>
      <c r="O48" s="12"/>
      <c r="P48" s="3"/>
      <c r="Q48" s="3"/>
      <c r="R48" s="23">
        <f t="shared" si="8"/>
        <v>0</v>
      </c>
      <c r="S48" s="3"/>
      <c r="T48" s="3">
        <v>83733</v>
      </c>
      <c r="U48" s="3"/>
      <c r="V48" s="23">
        <f t="shared" si="9"/>
        <v>0.46250338317416306</v>
      </c>
      <c r="W48" s="3"/>
      <c r="X48" s="3">
        <f t="shared" si="10"/>
        <v>-83733</v>
      </c>
      <c r="Y48" s="3"/>
      <c r="Z48" s="23">
        <f t="shared" si="11"/>
        <v>-1</v>
      </c>
    </row>
    <row r="49" spans="1:26" s="24" customFormat="1" hidden="1" outlineLevel="1" x14ac:dyDescent="0.25">
      <c r="A49" s="51"/>
      <c r="B49" s="12" t="str">
        <f>CONCATENATE("          ", "5027", " - ", "PURCHASES @ COST-SCHOOL SUPPLI")</f>
        <v xml:space="preserve">          5027 - PURCHASES @ COST-SCHOOL SUPPLI</v>
      </c>
      <c r="C49" s="12"/>
      <c r="D49" s="3">
        <v>8503.4</v>
      </c>
      <c r="E49" s="3"/>
      <c r="F49" s="23">
        <f t="shared" si="4"/>
        <v>5.749384470225196E-2</v>
      </c>
      <c r="G49" s="3"/>
      <c r="H49" s="3"/>
      <c r="I49" s="3"/>
      <c r="J49" s="23">
        <f t="shared" si="5"/>
        <v>0</v>
      </c>
      <c r="K49" s="3"/>
      <c r="L49" s="3">
        <f t="shared" si="6"/>
        <v>8503.4</v>
      </c>
      <c r="M49" s="3"/>
      <c r="N49" s="23">
        <f t="shared" si="7"/>
        <v>0</v>
      </c>
      <c r="O49" s="12"/>
      <c r="P49" s="3">
        <v>8503.4</v>
      </c>
      <c r="Q49" s="3"/>
      <c r="R49" s="23">
        <f t="shared" si="8"/>
        <v>5.749384470225196E-2</v>
      </c>
      <c r="S49" s="3"/>
      <c r="T49" s="3"/>
      <c r="U49" s="3"/>
      <c r="V49" s="23">
        <f t="shared" si="9"/>
        <v>0</v>
      </c>
      <c r="W49" s="3"/>
      <c r="X49" s="3">
        <f t="shared" si="10"/>
        <v>8503.4</v>
      </c>
      <c r="Y49" s="3"/>
      <c r="Z49" s="23">
        <f t="shared" si="11"/>
        <v>0</v>
      </c>
    </row>
    <row r="50" spans="1:26" s="24" customFormat="1" hidden="1" outlineLevel="1" x14ac:dyDescent="0.25">
      <c r="A50" s="51"/>
      <c r="B50" s="12" t="str">
        <f>CONCATENATE("          ", "5040", " - ", "PURCHASES @ COST-LOGO CLOTHING")</f>
        <v xml:space="preserve">          5040 - PURCHASES @ COST-LOGO CLOTHING</v>
      </c>
      <c r="C50" s="12"/>
      <c r="D50" s="3">
        <v>1723.07</v>
      </c>
      <c r="E50" s="3"/>
      <c r="F50" s="23">
        <f t="shared" si="4"/>
        <v>1.1650153937379082E-2</v>
      </c>
      <c r="G50" s="3"/>
      <c r="H50" s="3"/>
      <c r="I50" s="3"/>
      <c r="J50" s="23">
        <f t="shared" si="5"/>
        <v>0</v>
      </c>
      <c r="K50" s="3"/>
      <c r="L50" s="3">
        <f t="shared" si="6"/>
        <v>1723.07</v>
      </c>
      <c r="M50" s="3"/>
      <c r="N50" s="23">
        <f t="shared" si="7"/>
        <v>0</v>
      </c>
      <c r="O50" s="12"/>
      <c r="P50" s="3">
        <v>1723.07</v>
      </c>
      <c r="Q50" s="3"/>
      <c r="R50" s="23">
        <f t="shared" si="8"/>
        <v>1.1650153937379082E-2</v>
      </c>
      <c r="S50" s="3"/>
      <c r="T50" s="3"/>
      <c r="U50" s="3"/>
      <c r="V50" s="23">
        <f t="shared" si="9"/>
        <v>0</v>
      </c>
      <c r="W50" s="3"/>
      <c r="X50" s="3">
        <f t="shared" si="10"/>
        <v>1723.07</v>
      </c>
      <c r="Y50" s="3"/>
      <c r="Z50" s="23">
        <f t="shared" si="11"/>
        <v>0</v>
      </c>
    </row>
    <row r="51" spans="1:26" s="24" customFormat="1" hidden="1" outlineLevel="1" x14ac:dyDescent="0.25">
      <c r="A51" s="51"/>
      <c r="B51" s="12" t="str">
        <f>CONCATENATE("          ", "5041", " - ", "PURCHASES @ COST-LOGO GIFTS")</f>
        <v xml:space="preserve">          5041 - PURCHASES @ COST-LOGO GIFTS</v>
      </c>
      <c r="C51" s="12"/>
      <c r="D51" s="3">
        <v>-713.75</v>
      </c>
      <c r="E51" s="3"/>
      <c r="F51" s="23">
        <f t="shared" si="4"/>
        <v>-4.825861614910781E-3</v>
      </c>
      <c r="G51" s="3"/>
      <c r="H51" s="3"/>
      <c r="I51" s="3"/>
      <c r="J51" s="23">
        <f t="shared" si="5"/>
        <v>0</v>
      </c>
      <c r="K51" s="3"/>
      <c r="L51" s="3">
        <f t="shared" si="6"/>
        <v>-713.75</v>
      </c>
      <c r="M51" s="3"/>
      <c r="N51" s="23">
        <f t="shared" si="7"/>
        <v>0</v>
      </c>
      <c r="O51" s="12"/>
      <c r="P51" s="3">
        <v>-713.75</v>
      </c>
      <c r="Q51" s="3"/>
      <c r="R51" s="23">
        <f t="shared" si="8"/>
        <v>-4.825861614910781E-3</v>
      </c>
      <c r="S51" s="3"/>
      <c r="T51" s="3"/>
      <c r="U51" s="3"/>
      <c r="V51" s="23">
        <f t="shared" si="9"/>
        <v>0</v>
      </c>
      <c r="W51" s="3"/>
      <c r="X51" s="3">
        <f t="shared" si="10"/>
        <v>-713.75</v>
      </c>
      <c r="Y51" s="3"/>
      <c r="Z51" s="23">
        <f t="shared" si="11"/>
        <v>0</v>
      </c>
    </row>
    <row r="52" spans="1:26" s="24" customFormat="1" hidden="1" outlineLevel="1" x14ac:dyDescent="0.25">
      <c r="A52" s="51"/>
      <c r="B52" s="12" t="str">
        <f>CONCATENATE("          ", "5042", " - ", "PURCHASES @ COST-EVERYDAY GIFT")</f>
        <v xml:space="preserve">          5042 - PURCHASES @ COST-EVERYDAY GIFT</v>
      </c>
      <c r="C52" s="12"/>
      <c r="D52" s="3">
        <v>236.16</v>
      </c>
      <c r="E52" s="3"/>
      <c r="F52" s="23">
        <f t="shared" si="4"/>
        <v>1.5967432279892541E-3</v>
      </c>
      <c r="G52" s="3"/>
      <c r="H52" s="3"/>
      <c r="I52" s="3"/>
      <c r="J52" s="23">
        <f t="shared" si="5"/>
        <v>0</v>
      </c>
      <c r="K52" s="3"/>
      <c r="L52" s="3">
        <f t="shared" si="6"/>
        <v>236.16</v>
      </c>
      <c r="M52" s="3"/>
      <c r="N52" s="23">
        <f t="shared" si="7"/>
        <v>0</v>
      </c>
      <c r="O52" s="12"/>
      <c r="P52" s="3">
        <v>236.16</v>
      </c>
      <c r="Q52" s="3"/>
      <c r="R52" s="23">
        <f t="shared" si="8"/>
        <v>1.5967432279892541E-3</v>
      </c>
      <c r="S52" s="3"/>
      <c r="T52" s="3"/>
      <c r="U52" s="3"/>
      <c r="V52" s="23">
        <f t="shared" si="9"/>
        <v>0</v>
      </c>
      <c r="W52" s="3"/>
      <c r="X52" s="3">
        <f t="shared" si="10"/>
        <v>236.16</v>
      </c>
      <c r="Y52" s="3"/>
      <c r="Z52" s="23">
        <f t="shared" si="11"/>
        <v>0</v>
      </c>
    </row>
    <row r="53" spans="1:26" s="24" customFormat="1" hidden="1" outlineLevel="1" x14ac:dyDescent="0.25">
      <c r="A53" s="51"/>
      <c r="B53" s="12" t="str">
        <f>CONCATENATE("          ", "5043", " - ", "PURCHASES @ COST-CARDS")</f>
        <v xml:space="preserve">          5043 - PURCHASES @ COST-CARDS</v>
      </c>
      <c r="C53" s="12"/>
      <c r="D53" s="3">
        <v>308.7</v>
      </c>
      <c r="E53" s="3"/>
      <c r="F53" s="23">
        <f t="shared" si="4"/>
        <v>2.0872062774402217E-3</v>
      </c>
      <c r="G53" s="3"/>
      <c r="H53" s="3"/>
      <c r="I53" s="3"/>
      <c r="J53" s="23">
        <f t="shared" si="5"/>
        <v>0</v>
      </c>
      <c r="K53" s="3"/>
      <c r="L53" s="3">
        <f t="shared" si="6"/>
        <v>308.7</v>
      </c>
      <c r="M53" s="3"/>
      <c r="N53" s="23">
        <f t="shared" si="7"/>
        <v>0</v>
      </c>
      <c r="O53" s="12"/>
      <c r="P53" s="3">
        <v>308.7</v>
      </c>
      <c r="Q53" s="3"/>
      <c r="R53" s="23">
        <f t="shared" si="8"/>
        <v>2.0872062774402217E-3</v>
      </c>
      <c r="S53" s="3"/>
      <c r="T53" s="3"/>
      <c r="U53" s="3"/>
      <c r="V53" s="23">
        <f t="shared" si="9"/>
        <v>0</v>
      </c>
      <c r="W53" s="3"/>
      <c r="X53" s="3">
        <f t="shared" si="10"/>
        <v>308.7</v>
      </c>
      <c r="Y53" s="3"/>
      <c r="Z53" s="23">
        <f t="shared" si="11"/>
        <v>0</v>
      </c>
    </row>
    <row r="54" spans="1:26" s="24" customFormat="1" hidden="1" outlineLevel="1" x14ac:dyDescent="0.25">
      <c r="A54" s="51"/>
      <c r="B54" s="12" t="str">
        <f>CONCATENATE("          ", "5045", " - ", "PURCHASES @ COST-SPECIAL ORDER")</f>
        <v xml:space="preserve">          5045 - PURCHASES @ COST-SPECIAL ORDER</v>
      </c>
      <c r="C54" s="12"/>
      <c r="D54" s="3">
        <v>2756.21</v>
      </c>
      <c r="E54" s="3"/>
      <c r="F54" s="23">
        <f t="shared" si="4"/>
        <v>1.8635499883198941E-2</v>
      </c>
      <c r="G54" s="3"/>
      <c r="H54" s="3"/>
      <c r="I54" s="3"/>
      <c r="J54" s="23">
        <f t="shared" si="5"/>
        <v>0</v>
      </c>
      <c r="K54" s="3"/>
      <c r="L54" s="3">
        <f t="shared" si="6"/>
        <v>2756.21</v>
      </c>
      <c r="M54" s="3"/>
      <c r="N54" s="23">
        <f t="shared" si="7"/>
        <v>0</v>
      </c>
      <c r="O54" s="12"/>
      <c r="P54" s="3">
        <v>2756.21</v>
      </c>
      <c r="Q54" s="3"/>
      <c r="R54" s="23">
        <f t="shared" si="8"/>
        <v>1.8635499883198941E-2</v>
      </c>
      <c r="S54" s="3"/>
      <c r="T54" s="3"/>
      <c r="U54" s="3"/>
      <c r="V54" s="23">
        <f t="shared" si="9"/>
        <v>0</v>
      </c>
      <c r="W54" s="3"/>
      <c r="X54" s="3">
        <f t="shared" si="10"/>
        <v>2756.21</v>
      </c>
      <c r="Y54" s="3"/>
      <c r="Z54" s="23">
        <f t="shared" si="11"/>
        <v>0</v>
      </c>
    </row>
    <row r="55" spans="1:26" s="24" customFormat="1" hidden="1" outlineLevel="1" x14ac:dyDescent="0.25">
      <c r="A55" s="51"/>
      <c r="B55" s="12" t="str">
        <f>CONCATENATE("          ", "5200", " - ", "PURCHASES OFFSET")</f>
        <v xml:space="preserve">          5200 - PURCHASES OFFSET</v>
      </c>
      <c r="C55" s="12"/>
      <c r="D55" s="3">
        <v>-13113.6</v>
      </c>
      <c r="E55" s="3"/>
      <c r="F55" s="23">
        <f t="shared" si="4"/>
        <v>-8.8664684936313867E-2</v>
      </c>
      <c r="G55" s="3"/>
      <c r="H55" s="3"/>
      <c r="I55" s="3"/>
      <c r="J55" s="23">
        <f t="shared" si="5"/>
        <v>0</v>
      </c>
      <c r="K55" s="3"/>
      <c r="L55" s="3">
        <f t="shared" si="6"/>
        <v>-13113.6</v>
      </c>
      <c r="M55" s="3"/>
      <c r="N55" s="23">
        <f t="shared" si="7"/>
        <v>0</v>
      </c>
      <c r="O55" s="12"/>
      <c r="P55" s="3">
        <v>-13113.6</v>
      </c>
      <c r="Q55" s="3"/>
      <c r="R55" s="23">
        <f t="shared" si="8"/>
        <v>-8.8664684936313867E-2</v>
      </c>
      <c r="S55" s="3"/>
      <c r="T55" s="3"/>
      <c r="U55" s="3"/>
      <c r="V55" s="23">
        <f t="shared" si="9"/>
        <v>0</v>
      </c>
      <c r="W55" s="3"/>
      <c r="X55" s="3">
        <f t="shared" si="10"/>
        <v>-13113.6</v>
      </c>
      <c r="Y55" s="3"/>
      <c r="Z55" s="23">
        <f t="shared" si="11"/>
        <v>0</v>
      </c>
    </row>
    <row r="56" spans="1:26" s="24" customFormat="1" hidden="1" outlineLevel="1" x14ac:dyDescent="0.25">
      <c r="A56" s="51"/>
      <c r="B56" s="12" t="str">
        <f>CONCATENATE("          ", "5300", " - ", "COG$ OFFSET")</f>
        <v xml:space="preserve">          5300 - COG$ OFFSET</v>
      </c>
      <c r="C56" s="12"/>
      <c r="D56" s="3">
        <v>99170</v>
      </c>
      <c r="E56" s="3"/>
      <c r="F56" s="23">
        <f t="shared" si="4"/>
        <v>0.67051586178732359</v>
      </c>
      <c r="G56" s="3"/>
      <c r="H56" s="3"/>
      <c r="I56" s="3"/>
      <c r="J56" s="23">
        <f t="shared" si="5"/>
        <v>0</v>
      </c>
      <c r="K56" s="3"/>
      <c r="L56" s="3">
        <f t="shared" si="6"/>
        <v>99170</v>
      </c>
      <c r="M56" s="3"/>
      <c r="N56" s="23">
        <f t="shared" si="7"/>
        <v>0</v>
      </c>
      <c r="O56" s="12"/>
      <c r="P56" s="3">
        <v>99170</v>
      </c>
      <c r="Q56" s="3"/>
      <c r="R56" s="23">
        <f t="shared" si="8"/>
        <v>0.67051586178732359</v>
      </c>
      <c r="S56" s="3"/>
      <c r="T56" s="3"/>
      <c r="U56" s="3"/>
      <c r="V56" s="23">
        <f t="shared" si="9"/>
        <v>0</v>
      </c>
      <c r="W56" s="3"/>
      <c r="X56" s="3">
        <f t="shared" si="10"/>
        <v>99170</v>
      </c>
      <c r="Y56" s="3"/>
      <c r="Z56" s="23">
        <f t="shared" si="11"/>
        <v>0</v>
      </c>
    </row>
    <row r="57" spans="1:26" s="24" customFormat="1" hidden="1" outlineLevel="1" x14ac:dyDescent="0.25">
      <c r="A57" s="51"/>
      <c r="B57" s="12" t="str">
        <f>CONCATENATE("          ", "5540", " - ", "FREIGHT-IN-LOGO CLOTHING")</f>
        <v xml:space="preserve">          5540 - FREIGHT-IN-LOGO CLOTHING</v>
      </c>
      <c r="C57" s="12"/>
      <c r="D57" s="3">
        <v>909.83</v>
      </c>
      <c r="E57" s="3"/>
      <c r="F57" s="23">
        <f t="shared" si="4"/>
        <v>6.151612851970965E-3</v>
      </c>
      <c r="G57" s="3"/>
      <c r="H57" s="3"/>
      <c r="I57" s="3"/>
      <c r="J57" s="23">
        <f t="shared" si="5"/>
        <v>0</v>
      </c>
      <c r="K57" s="3"/>
      <c r="L57" s="3">
        <f t="shared" si="6"/>
        <v>909.83</v>
      </c>
      <c r="M57" s="3"/>
      <c r="N57" s="23">
        <f t="shared" si="7"/>
        <v>0</v>
      </c>
      <c r="O57" s="12"/>
      <c r="P57" s="3">
        <v>909.83</v>
      </c>
      <c r="Q57" s="3"/>
      <c r="R57" s="23">
        <f t="shared" si="8"/>
        <v>6.151612851970965E-3</v>
      </c>
      <c r="S57" s="3"/>
      <c r="T57" s="3"/>
      <c r="U57" s="3"/>
      <c r="V57" s="23">
        <f t="shared" si="9"/>
        <v>0</v>
      </c>
      <c r="W57" s="3"/>
      <c r="X57" s="3">
        <f t="shared" si="10"/>
        <v>909.83</v>
      </c>
      <c r="Y57" s="3"/>
      <c r="Z57" s="23">
        <f t="shared" si="11"/>
        <v>0</v>
      </c>
    </row>
    <row r="58" spans="1:26" s="24" customFormat="1" hidden="1" outlineLevel="1" x14ac:dyDescent="0.25">
      <c r="A58" s="51"/>
      <c r="B58" s="12" t="str">
        <f>CONCATENATE("          ", "5541", " - ", "FREIGHT-IN-LOGO GIFTS")</f>
        <v xml:space="preserve">          5541 - FREIGHT-IN-LOGO GIFTS</v>
      </c>
      <c r="C58" s="12"/>
      <c r="D58" s="3">
        <v>83.58</v>
      </c>
      <c r="E58" s="3"/>
      <c r="F58" s="23">
        <f t="shared" si="4"/>
        <v>5.6510754994640007E-4</v>
      </c>
      <c r="G58" s="3"/>
      <c r="H58" s="3"/>
      <c r="I58" s="3"/>
      <c r="J58" s="23">
        <f t="shared" si="5"/>
        <v>0</v>
      </c>
      <c r="K58" s="3"/>
      <c r="L58" s="3">
        <f t="shared" si="6"/>
        <v>83.58</v>
      </c>
      <c r="M58" s="3"/>
      <c r="N58" s="23">
        <f t="shared" si="7"/>
        <v>0</v>
      </c>
      <c r="O58" s="12"/>
      <c r="P58" s="3">
        <v>83.58</v>
      </c>
      <c r="Q58" s="3"/>
      <c r="R58" s="23">
        <f t="shared" si="8"/>
        <v>5.6510754994640007E-4</v>
      </c>
      <c r="S58" s="3"/>
      <c r="T58" s="3"/>
      <c r="U58" s="3"/>
      <c r="V58" s="23">
        <f t="shared" si="9"/>
        <v>0</v>
      </c>
      <c r="W58" s="3"/>
      <c r="X58" s="3">
        <f t="shared" si="10"/>
        <v>83.58</v>
      </c>
      <c r="Y58" s="3"/>
      <c r="Z58" s="23">
        <f t="shared" si="11"/>
        <v>0</v>
      </c>
    </row>
    <row r="59" spans="1:26" s="24" customFormat="1" hidden="1" outlineLevel="1" x14ac:dyDescent="0.25">
      <c r="A59" s="51"/>
      <c r="B59" s="12" t="str">
        <f>CONCATENATE("          ", "5542", " - ", "FREIGHT-IN-EVERYDAY GIFTS")</f>
        <v xml:space="preserve">          5542 - FREIGHT-IN-EVERYDAY GIFTS</v>
      </c>
      <c r="C59" s="12"/>
      <c r="D59" s="3">
        <v>5.94</v>
      </c>
      <c r="E59" s="3"/>
      <c r="F59" s="23">
        <f t="shared" si="4"/>
        <v>4.0161986679607765E-5</v>
      </c>
      <c r="G59" s="3"/>
      <c r="H59" s="3"/>
      <c r="I59" s="3"/>
      <c r="J59" s="23">
        <f t="shared" si="5"/>
        <v>0</v>
      </c>
      <c r="K59" s="3"/>
      <c r="L59" s="3">
        <f t="shared" si="6"/>
        <v>5.94</v>
      </c>
      <c r="M59" s="3"/>
      <c r="N59" s="23">
        <f t="shared" si="7"/>
        <v>0</v>
      </c>
      <c r="O59" s="12"/>
      <c r="P59" s="3">
        <v>5.94</v>
      </c>
      <c r="Q59" s="3"/>
      <c r="R59" s="23">
        <f t="shared" si="8"/>
        <v>4.0161986679607765E-5</v>
      </c>
      <c r="S59" s="3"/>
      <c r="T59" s="3"/>
      <c r="U59" s="3"/>
      <c r="V59" s="23">
        <f t="shared" si="9"/>
        <v>0</v>
      </c>
      <c r="W59" s="3"/>
      <c r="X59" s="3">
        <f t="shared" si="10"/>
        <v>5.94</v>
      </c>
      <c r="Y59" s="3"/>
      <c r="Z59" s="23">
        <f t="shared" si="11"/>
        <v>0</v>
      </c>
    </row>
    <row r="60" spans="1:26" s="24" customFormat="1" hidden="1" outlineLevel="1" x14ac:dyDescent="0.25">
      <c r="A60" s="51"/>
      <c r="B60" s="12" t="str">
        <f>CONCATENATE("          ", "5545", " - ", "FREIGHT-IN-SPECIAL ORDERS")</f>
        <v xml:space="preserve">          5545 - FREIGHT-IN-SPECIAL ORDERS</v>
      </c>
      <c r="C60" s="12"/>
      <c r="D60" s="3">
        <v>300.39999999999998</v>
      </c>
      <c r="E60" s="3"/>
      <c r="F60" s="23">
        <f t="shared" si="4"/>
        <v>2.0310876765242711E-3</v>
      </c>
      <c r="G60" s="3"/>
      <c r="H60" s="3"/>
      <c r="I60" s="3"/>
      <c r="J60" s="23">
        <f t="shared" si="5"/>
        <v>0</v>
      </c>
      <c r="K60" s="3"/>
      <c r="L60" s="3">
        <f t="shared" si="6"/>
        <v>300.39999999999998</v>
      </c>
      <c r="M60" s="3"/>
      <c r="N60" s="23">
        <f t="shared" si="7"/>
        <v>0</v>
      </c>
      <c r="O60" s="12"/>
      <c r="P60" s="3">
        <v>300.39999999999998</v>
      </c>
      <c r="Q60" s="3"/>
      <c r="R60" s="23">
        <f t="shared" si="8"/>
        <v>2.0310876765242711E-3</v>
      </c>
      <c r="S60" s="3"/>
      <c r="T60" s="3"/>
      <c r="U60" s="3"/>
      <c r="V60" s="23">
        <f t="shared" si="9"/>
        <v>0</v>
      </c>
      <c r="W60" s="3"/>
      <c r="X60" s="3">
        <f t="shared" si="10"/>
        <v>300.39999999999998</v>
      </c>
      <c r="Y60" s="3"/>
      <c r="Z60" s="23">
        <f t="shared" si="11"/>
        <v>0</v>
      </c>
    </row>
    <row r="61" spans="1:26" x14ac:dyDescent="0.25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2" customFormat="1" x14ac:dyDescent="0.25">
      <c r="A62" s="10"/>
      <c r="B62" s="25" t="s">
        <v>6</v>
      </c>
      <c r="C62" s="25"/>
      <c r="D62" s="21">
        <f>D12-D47</f>
        <v>47731.109999999957</v>
      </c>
      <c r="E62" s="13"/>
      <c r="F62" s="20">
        <f>IF(D$12=0,0,D62/D$12)</f>
        <v>0.32272326667052037</v>
      </c>
      <c r="G62" s="13"/>
      <c r="H62" s="21">
        <f>H12-H47</f>
        <v>97310</v>
      </c>
      <c r="I62" s="13"/>
      <c r="J62" s="20">
        <f>IF(H$12=0,0,H62/H$12)</f>
        <v>0.53749661682583694</v>
      </c>
      <c r="K62" s="15"/>
      <c r="L62" s="21">
        <f>+D62-H62</f>
        <v>-49578.890000000043</v>
      </c>
      <c r="M62" s="15"/>
      <c r="N62" s="20">
        <f>IF(H62=0,0,L62/H62)</f>
        <v>-0.5094942965779472</v>
      </c>
      <c r="O62" s="26"/>
      <c r="P62" s="21">
        <f>P12-P47</f>
        <v>47731.109999999957</v>
      </c>
      <c r="Q62" s="13"/>
      <c r="R62" s="20">
        <f>IF(P$12=0,0,P62/P$12)</f>
        <v>0.32272326667052037</v>
      </c>
      <c r="S62" s="13"/>
      <c r="T62" s="21">
        <f>T12-T47</f>
        <v>97310</v>
      </c>
      <c r="U62" s="13"/>
      <c r="V62" s="20">
        <f>IF(T$12=0,0,T62/T$12)</f>
        <v>0.53749661682583694</v>
      </c>
      <c r="W62" s="15"/>
      <c r="X62" s="21">
        <f>+P62-T62</f>
        <v>-49578.890000000043</v>
      </c>
      <c r="Y62" s="15"/>
      <c r="Z62" s="20">
        <f>IF(T62=0,0,X62/T62)</f>
        <v>-0.5094942965779472</v>
      </c>
    </row>
    <row r="63" spans="1:26" x14ac:dyDescent="0.25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2" customFormat="1" x14ac:dyDescent="0.25">
      <c r="A64" s="10"/>
      <c r="B64" s="26" t="s">
        <v>9</v>
      </c>
      <c r="C64" s="10"/>
      <c r="D64" s="19">
        <f>SUM(OSRRefD22x_0)</f>
        <v>39711.06</v>
      </c>
      <c r="E64" s="19"/>
      <c r="F64" s="31">
        <f t="shared" ref="F64:F74" si="12">IF(D$12=0,0,D64/D$12)</f>
        <v>0.26849748531197049</v>
      </c>
      <c r="G64" s="19"/>
      <c r="H64" s="19">
        <f>SUM(OSRRefH22x_0)</f>
        <v>96991.160648846169</v>
      </c>
      <c r="I64" s="19"/>
      <c r="J64" s="31">
        <f t="shared" ref="J64:J74" si="13">IF(H$12=0,0,H64/H$12)</f>
        <v>0.53573549183810565</v>
      </c>
      <c r="K64" s="4"/>
      <c r="L64" s="19">
        <f t="shared" ref="L64:L74" si="14">+D64-H64</f>
        <v>-57280.100648846172</v>
      </c>
      <c r="M64" s="4"/>
      <c r="N64" s="31">
        <f t="shared" ref="N64:N74" si="15">IF(H64=0,0,L64/H64)</f>
        <v>-0.59057031863168641</v>
      </c>
      <c r="O64" s="10"/>
      <c r="P64" s="19">
        <f>SUM(OSRRefP22x_0)</f>
        <v>39711.06</v>
      </c>
      <c r="Q64" s="19"/>
      <c r="R64" s="31">
        <f t="shared" ref="R64:R74" si="16">IF(P$12=0,0,P64/P$12)</f>
        <v>0.26849748531197049</v>
      </c>
      <c r="S64" s="19"/>
      <c r="T64" s="19">
        <f>SUM(OSRRefT22x_0)</f>
        <v>96991.160648846169</v>
      </c>
      <c r="U64" s="19"/>
      <c r="V64" s="31">
        <f t="shared" ref="V64:V74" si="17">IF(T$12=0,0,T64/T$12)</f>
        <v>0.53573549183810565</v>
      </c>
      <c r="W64" s="4"/>
      <c r="X64" s="19">
        <f t="shared" ref="X64:X74" si="18">+P64-T64</f>
        <v>-57280.100648846172</v>
      </c>
      <c r="Y64" s="4"/>
      <c r="Z64" s="31">
        <f t="shared" ref="Z64:Z74" si="19">IF(T64=0,0,X64/T64)</f>
        <v>-0.59057031863168641</v>
      </c>
    </row>
    <row r="65" spans="1:26" s="29" customFormat="1" outlineLevel="1" collapsed="1" x14ac:dyDescent="0.25">
      <c r="A65" s="28"/>
      <c r="B65" s="14" t="str">
        <f>CONCATENATE("     ","*Benefits                                         ")</f>
        <v xml:space="preserve">     *Benefits                                         </v>
      </c>
      <c r="C65" s="14"/>
      <c r="D65" s="1">
        <f>SUM(OSRRefD22_0x_0)</f>
        <v>8882.7100000000009</v>
      </c>
      <c r="E65" s="1"/>
      <c r="F65" s="5">
        <f t="shared" si="12"/>
        <v>6.0058464764110892E-2</v>
      </c>
      <c r="G65" s="1"/>
      <c r="H65" s="1">
        <f>SUM(OSRRefH22_0x_0)</f>
        <v>15226.429879615371</v>
      </c>
      <c r="I65" s="1"/>
      <c r="J65" s="5">
        <f t="shared" si="13"/>
        <v>8.4103941492437551E-2</v>
      </c>
      <c r="K65" s="1"/>
      <c r="L65" s="1">
        <f t="shared" si="14"/>
        <v>-6343.7198796153698</v>
      </c>
      <c r="M65" s="1"/>
      <c r="N65" s="5">
        <f t="shared" si="15"/>
        <v>-0.41662556027714198</v>
      </c>
      <c r="O65" s="14"/>
      <c r="P65" s="1">
        <f>SUM(OSRRefP22_0x_0)</f>
        <v>8882.7100000000009</v>
      </c>
      <c r="Q65" s="1"/>
      <c r="R65" s="5">
        <f t="shared" si="16"/>
        <v>6.0058464764110892E-2</v>
      </c>
      <c r="S65" s="1"/>
      <c r="T65" s="1">
        <f>SUM(OSRRefT22_0x_0)</f>
        <v>15226.429879615371</v>
      </c>
      <c r="U65" s="1"/>
      <c r="V65" s="5">
        <f t="shared" si="17"/>
        <v>8.4103941492437551E-2</v>
      </c>
      <c r="W65" s="1"/>
      <c r="X65" s="1">
        <f t="shared" si="18"/>
        <v>-6343.7198796153698</v>
      </c>
      <c r="Y65" s="1"/>
      <c r="Z65" s="5">
        <f t="shared" si="19"/>
        <v>-0.41662556027714198</v>
      </c>
    </row>
    <row r="66" spans="1:26" s="24" customFormat="1" hidden="1" outlineLevel="2" x14ac:dyDescent="0.25">
      <c r="A66" s="27"/>
      <c r="B66" s="12" t="str">
        <f>CONCATENATE("          ", "6111", " - ", "F.I.C.A.")</f>
        <v xml:space="preserve">          6111 - F.I.C.A.</v>
      </c>
      <c r="C66" s="12"/>
      <c r="D66" s="7">
        <v>1400.06</v>
      </c>
      <c r="E66" s="3"/>
      <c r="F66" s="8">
        <f t="shared" si="12"/>
        <v>9.4661937829379865E-3</v>
      </c>
      <c r="G66" s="3"/>
      <c r="H66" s="7">
        <v>4233.1362680769198</v>
      </c>
      <c r="I66" s="3"/>
      <c r="J66" s="8">
        <f t="shared" si="13"/>
        <v>2.3381938368657831E-2</v>
      </c>
      <c r="K66" s="3"/>
      <c r="L66" s="7">
        <f t="shared" si="14"/>
        <v>-2833.0762680769199</v>
      </c>
      <c r="M66" s="3"/>
      <c r="N66" s="8">
        <f t="shared" si="15"/>
        <v>-0.66926176920923075</v>
      </c>
      <c r="O66" s="12"/>
      <c r="P66" s="7">
        <v>1400.06</v>
      </c>
      <c r="Q66" s="3"/>
      <c r="R66" s="8">
        <f t="shared" si="16"/>
        <v>9.4661937829379865E-3</v>
      </c>
      <c r="S66" s="3"/>
      <c r="T66" s="7">
        <v>4233.1362680769198</v>
      </c>
      <c r="U66" s="3"/>
      <c r="V66" s="8">
        <f t="shared" si="17"/>
        <v>2.3381938368657831E-2</v>
      </c>
      <c r="W66" s="3"/>
      <c r="X66" s="7">
        <f t="shared" si="18"/>
        <v>-2833.0762680769199</v>
      </c>
      <c r="Y66" s="3"/>
      <c r="Z66" s="8">
        <f t="shared" si="19"/>
        <v>-0.66926176920923075</v>
      </c>
    </row>
    <row r="67" spans="1:26" s="24" customFormat="1" hidden="1" outlineLevel="2" x14ac:dyDescent="0.25">
      <c r="A67" s="27"/>
      <c r="B67" s="12" t="str">
        <f>CONCATENATE("          ", "6112", " - ", "COMPENSATION INSURANCE")</f>
        <v xml:space="preserve">          6112 - COMPENSATION INSURANCE</v>
      </c>
      <c r="C67" s="12"/>
      <c r="D67" s="7">
        <v>362.05</v>
      </c>
      <c r="E67" s="3"/>
      <c r="F67" s="8">
        <f t="shared" si="12"/>
        <v>2.4479204170626246E-3</v>
      </c>
      <c r="G67" s="3"/>
      <c r="H67" s="7">
        <v>1023.2983269230801</v>
      </c>
      <c r="I67" s="3"/>
      <c r="J67" s="8">
        <f t="shared" si="13"/>
        <v>5.6522391195631986E-3</v>
      </c>
      <c r="K67" s="3"/>
      <c r="L67" s="7">
        <f t="shared" si="14"/>
        <v>-661.24832692308019</v>
      </c>
      <c r="M67" s="3"/>
      <c r="N67" s="8">
        <f t="shared" si="15"/>
        <v>-0.64619310862294144</v>
      </c>
      <c r="O67" s="12"/>
      <c r="P67" s="7">
        <v>362.05</v>
      </c>
      <c r="Q67" s="3"/>
      <c r="R67" s="8">
        <f t="shared" si="16"/>
        <v>2.4479204170626246E-3</v>
      </c>
      <c r="S67" s="3"/>
      <c r="T67" s="7">
        <v>1023.2983269230801</v>
      </c>
      <c r="U67" s="3"/>
      <c r="V67" s="8">
        <f t="shared" si="17"/>
        <v>5.6522391195631986E-3</v>
      </c>
      <c r="W67" s="3"/>
      <c r="X67" s="7">
        <f t="shared" si="18"/>
        <v>-661.24832692308019</v>
      </c>
      <c r="Y67" s="3"/>
      <c r="Z67" s="8">
        <f t="shared" si="19"/>
        <v>-0.64619310862294144</v>
      </c>
    </row>
    <row r="68" spans="1:26" s="24" customFormat="1" hidden="1" outlineLevel="2" x14ac:dyDescent="0.25">
      <c r="A68" s="27"/>
      <c r="B68" s="12" t="str">
        <f>CONCATENATE("          ", "6113", " - ", "GROUP INSURANCE")</f>
        <v xml:space="preserve">          6113 - GROUP INSURANCE</v>
      </c>
      <c r="C68" s="12"/>
      <c r="D68" s="7">
        <v>2826.13</v>
      </c>
      <c r="E68" s="3"/>
      <c r="F68" s="8">
        <f t="shared" si="12"/>
        <v>1.9108248386336683E-2</v>
      </c>
      <c r="G68" s="3"/>
      <c r="H68" s="7">
        <v>5122.3076923076906</v>
      </c>
      <c r="I68" s="3"/>
      <c r="J68" s="8">
        <f t="shared" si="13"/>
        <v>2.8293320881269592E-2</v>
      </c>
      <c r="K68" s="3"/>
      <c r="L68" s="7">
        <f t="shared" si="14"/>
        <v>-2296.1776923076904</v>
      </c>
      <c r="M68" s="3"/>
      <c r="N68" s="8">
        <f t="shared" si="15"/>
        <v>-0.44827016068478731</v>
      </c>
      <c r="O68" s="12"/>
      <c r="P68" s="7">
        <v>2826.13</v>
      </c>
      <c r="Q68" s="3"/>
      <c r="R68" s="8">
        <f t="shared" si="16"/>
        <v>1.9108248386336683E-2</v>
      </c>
      <c r="S68" s="3"/>
      <c r="T68" s="7">
        <v>5122.3076923076906</v>
      </c>
      <c r="U68" s="3"/>
      <c r="V68" s="8">
        <f t="shared" si="17"/>
        <v>2.8293320881269592E-2</v>
      </c>
      <c r="W68" s="3"/>
      <c r="X68" s="7">
        <f t="shared" si="18"/>
        <v>-2296.1776923076904</v>
      </c>
      <c r="Y68" s="3"/>
      <c r="Z68" s="8">
        <f t="shared" si="19"/>
        <v>-0.44827016068478731</v>
      </c>
    </row>
    <row r="69" spans="1:26" s="24" customFormat="1" hidden="1" outlineLevel="2" x14ac:dyDescent="0.25">
      <c r="A69" s="27"/>
      <c r="B69" s="12" t="str">
        <f>CONCATENATE("          ", "6114", " - ", "STATE UNEMPLOYMENT INSURANCE")</f>
        <v xml:space="preserve">          6114 - STATE UNEMPLOYMENT INSURANCE</v>
      </c>
      <c r="C69" s="12"/>
      <c r="D69" s="7">
        <v>43.75</v>
      </c>
      <c r="E69" s="3"/>
      <c r="F69" s="8">
        <f t="shared" si="12"/>
        <v>2.9580587832202688E-4</v>
      </c>
      <c r="G69" s="3"/>
      <c r="H69" s="7">
        <v>143.81489999999999</v>
      </c>
      <c r="I69" s="3"/>
      <c r="J69" s="8">
        <f t="shared" si="13"/>
        <v>7.9436874112779829E-4</v>
      </c>
      <c r="K69" s="3"/>
      <c r="L69" s="7">
        <f t="shared" si="14"/>
        <v>-100.06489999999999</v>
      </c>
      <c r="M69" s="3"/>
      <c r="N69" s="8">
        <f t="shared" si="15"/>
        <v>-0.69578951833224512</v>
      </c>
      <c r="O69" s="12"/>
      <c r="P69" s="7">
        <v>43.75</v>
      </c>
      <c r="Q69" s="3"/>
      <c r="R69" s="8">
        <f t="shared" si="16"/>
        <v>2.9580587832202688E-4</v>
      </c>
      <c r="S69" s="3"/>
      <c r="T69" s="7">
        <v>143.81489999999999</v>
      </c>
      <c r="U69" s="3"/>
      <c r="V69" s="8">
        <f t="shared" si="17"/>
        <v>7.9436874112779829E-4</v>
      </c>
      <c r="W69" s="3"/>
      <c r="X69" s="7">
        <f t="shared" si="18"/>
        <v>-100.06489999999999</v>
      </c>
      <c r="Y69" s="3"/>
      <c r="Z69" s="8">
        <f t="shared" si="19"/>
        <v>-0.69578951833224512</v>
      </c>
    </row>
    <row r="70" spans="1:26" s="24" customFormat="1" hidden="1" outlineLevel="2" x14ac:dyDescent="0.25">
      <c r="A70" s="27"/>
      <c r="B70" s="12" t="str">
        <f>CONCATENATE("          ", "6115", " - ", "P.E.R.S.")</f>
        <v xml:space="preserve">          6115 - P.E.R.S.</v>
      </c>
      <c r="C70" s="12"/>
      <c r="D70" s="7">
        <v>1969.19</v>
      </c>
      <c r="E70" s="3"/>
      <c r="F70" s="8">
        <f t="shared" si="12"/>
        <v>1.3314239486467476E-2</v>
      </c>
      <c r="G70" s="3"/>
      <c r="H70" s="7">
        <v>1426.69038461538</v>
      </c>
      <c r="I70" s="3"/>
      <c r="J70" s="8">
        <f t="shared" si="13"/>
        <v>7.8803951802355245E-3</v>
      </c>
      <c r="K70" s="3"/>
      <c r="L70" s="7">
        <f t="shared" si="14"/>
        <v>542.49961538462003</v>
      </c>
      <c r="M70" s="3"/>
      <c r="N70" s="8">
        <f t="shared" si="15"/>
        <v>0.38025041819488531</v>
      </c>
      <c r="O70" s="12"/>
      <c r="P70" s="7">
        <v>1969.19</v>
      </c>
      <c r="Q70" s="3"/>
      <c r="R70" s="8">
        <f t="shared" si="16"/>
        <v>1.3314239486467476E-2</v>
      </c>
      <c r="S70" s="3"/>
      <c r="T70" s="7">
        <v>1426.69038461538</v>
      </c>
      <c r="U70" s="3"/>
      <c r="V70" s="8">
        <f t="shared" si="17"/>
        <v>7.8803951802355245E-3</v>
      </c>
      <c r="W70" s="3"/>
      <c r="X70" s="7">
        <f t="shared" si="18"/>
        <v>542.49961538462003</v>
      </c>
      <c r="Y70" s="3"/>
      <c r="Z70" s="8">
        <f t="shared" si="19"/>
        <v>0.38025041819488531</v>
      </c>
    </row>
    <row r="71" spans="1:26" s="24" customFormat="1" hidden="1" outlineLevel="2" x14ac:dyDescent="0.25">
      <c r="A71" s="27"/>
      <c r="B71" s="12" t="str">
        <f>CONCATENATE("          ", "6116", " - ", "EDUCATIONAL BENEFITS")</f>
        <v xml:space="preserve">          6116 - EDUCATIONAL BENEFITS</v>
      </c>
      <c r="C71" s="12"/>
      <c r="D71" s="7"/>
      <c r="E71" s="3"/>
      <c r="F71" s="8">
        <f t="shared" si="12"/>
        <v>0</v>
      </c>
      <c r="G71" s="3"/>
      <c r="H71" s="7">
        <v>0</v>
      </c>
      <c r="I71" s="3"/>
      <c r="J71" s="8">
        <f t="shared" si="13"/>
        <v>0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/>
      <c r="Q71" s="3"/>
      <c r="R71" s="8">
        <f t="shared" si="16"/>
        <v>0</v>
      </c>
      <c r="S71" s="3"/>
      <c r="T71" s="7">
        <v>0</v>
      </c>
      <c r="U71" s="3"/>
      <c r="V71" s="8">
        <f t="shared" si="17"/>
        <v>0</v>
      </c>
      <c r="W71" s="3"/>
      <c r="X71" s="7">
        <f t="shared" si="18"/>
        <v>0</v>
      </c>
      <c r="Y71" s="3"/>
      <c r="Z71" s="8">
        <f t="shared" si="19"/>
        <v>0</v>
      </c>
    </row>
    <row r="72" spans="1:26" s="24" customFormat="1" hidden="1" outlineLevel="2" x14ac:dyDescent="0.25">
      <c r="A72" s="27"/>
      <c r="B72" s="12" t="str">
        <f>CONCATENATE("          ", "6118", " - ", "VACATION")</f>
        <v xml:space="preserve">          6118 - VACATION</v>
      </c>
      <c r="C72" s="12"/>
      <c r="D72" s="7">
        <v>1222.52</v>
      </c>
      <c r="E72" s="3"/>
      <c r="F72" s="8">
        <f t="shared" si="12"/>
        <v>8.265796625514155E-3</v>
      </c>
      <c r="G72" s="3"/>
      <c r="H72" s="7">
        <v>1069.4711538461499</v>
      </c>
      <c r="I72" s="3"/>
      <c r="J72" s="8">
        <f t="shared" si="13"/>
        <v>5.9072770217359965E-3</v>
      </c>
      <c r="K72" s="3"/>
      <c r="L72" s="7">
        <f t="shared" si="14"/>
        <v>153.04884615385004</v>
      </c>
      <c r="M72" s="3"/>
      <c r="N72" s="8">
        <f t="shared" si="15"/>
        <v>0.14310703528883309</v>
      </c>
      <c r="O72" s="12"/>
      <c r="P72" s="7">
        <v>1222.52</v>
      </c>
      <c r="Q72" s="3"/>
      <c r="R72" s="8">
        <f t="shared" si="16"/>
        <v>8.265796625514155E-3</v>
      </c>
      <c r="S72" s="3"/>
      <c r="T72" s="7">
        <v>1069.4711538461499</v>
      </c>
      <c r="U72" s="3"/>
      <c r="V72" s="8">
        <f t="shared" si="17"/>
        <v>5.9072770217359965E-3</v>
      </c>
      <c r="W72" s="3"/>
      <c r="X72" s="7">
        <f t="shared" si="18"/>
        <v>153.04884615385004</v>
      </c>
      <c r="Y72" s="3"/>
      <c r="Z72" s="8">
        <f t="shared" si="19"/>
        <v>0.14310703528883309</v>
      </c>
    </row>
    <row r="73" spans="1:26" s="24" customFormat="1" hidden="1" outlineLevel="2" x14ac:dyDescent="0.25">
      <c r="A73" s="27"/>
      <c r="B73" s="12" t="str">
        <f>CONCATENATE("          ", "6119", " - ", "SICK LEAVE")</f>
        <v xml:space="preserve">          6119 - SICK LEAVE</v>
      </c>
      <c r="C73" s="12"/>
      <c r="D73" s="7">
        <v>777.18</v>
      </c>
      <c r="E73" s="3"/>
      <c r="F73" s="8">
        <f t="shared" si="12"/>
        <v>5.2547294288985786E-3</v>
      </c>
      <c r="G73" s="3"/>
      <c r="H73" s="7">
        <v>1507.71115384615</v>
      </c>
      <c r="I73" s="3"/>
      <c r="J73" s="8">
        <f t="shared" si="13"/>
        <v>8.3279174220828745E-3</v>
      </c>
      <c r="K73" s="3"/>
      <c r="L73" s="7">
        <f t="shared" si="14"/>
        <v>-730.53115384615</v>
      </c>
      <c r="M73" s="3"/>
      <c r="N73" s="8">
        <f t="shared" si="15"/>
        <v>-0.48452991276384427</v>
      </c>
      <c r="O73" s="12"/>
      <c r="P73" s="7">
        <v>777.18</v>
      </c>
      <c r="Q73" s="3"/>
      <c r="R73" s="8">
        <f t="shared" si="16"/>
        <v>5.2547294288985786E-3</v>
      </c>
      <c r="S73" s="3"/>
      <c r="T73" s="7">
        <v>1507.71115384615</v>
      </c>
      <c r="U73" s="3"/>
      <c r="V73" s="8">
        <f t="shared" si="17"/>
        <v>8.3279174220828745E-3</v>
      </c>
      <c r="W73" s="3"/>
      <c r="X73" s="7">
        <f t="shared" si="18"/>
        <v>-730.53115384615</v>
      </c>
      <c r="Y73" s="3"/>
      <c r="Z73" s="8">
        <f t="shared" si="19"/>
        <v>-0.48452991276384427</v>
      </c>
    </row>
    <row r="74" spans="1:26" s="24" customFormat="1" hidden="1" outlineLevel="2" x14ac:dyDescent="0.25">
      <c r="A74" s="27"/>
      <c r="B74" s="12" t="str">
        <f>CONCATENATE("          ", "6156", " - ", "EMPLOYEE MEALS")</f>
        <v xml:space="preserve">          6156 - EMPLOYEE MEALS</v>
      </c>
      <c r="C74" s="12"/>
      <c r="D74" s="7">
        <v>281.83</v>
      </c>
      <c r="E74" s="3"/>
      <c r="F74" s="8">
        <f t="shared" si="12"/>
        <v>1.905530758571356E-3</v>
      </c>
      <c r="G74" s="3"/>
      <c r="H74" s="7">
        <v>700</v>
      </c>
      <c r="I74" s="3"/>
      <c r="J74" s="8">
        <f t="shared" si="13"/>
        <v>3.8664847577647298E-3</v>
      </c>
      <c r="K74" s="3"/>
      <c r="L74" s="7">
        <f t="shared" si="14"/>
        <v>-418.17</v>
      </c>
      <c r="M74" s="3"/>
      <c r="N74" s="8">
        <f t="shared" si="15"/>
        <v>-0.5973857142857143</v>
      </c>
      <c r="O74" s="12"/>
      <c r="P74" s="7">
        <v>281.83</v>
      </c>
      <c r="Q74" s="3"/>
      <c r="R74" s="8">
        <f t="shared" si="16"/>
        <v>1.905530758571356E-3</v>
      </c>
      <c r="S74" s="3"/>
      <c r="T74" s="7">
        <v>700</v>
      </c>
      <c r="U74" s="3"/>
      <c r="V74" s="8">
        <f t="shared" si="17"/>
        <v>3.8664847577647298E-3</v>
      </c>
      <c r="W74" s="3"/>
      <c r="X74" s="7">
        <f t="shared" si="18"/>
        <v>-418.17</v>
      </c>
      <c r="Y74" s="3"/>
      <c r="Z74" s="8">
        <f t="shared" si="19"/>
        <v>-0.5973857142857143</v>
      </c>
    </row>
    <row r="75" spans="1:26" s="29" customFormat="1" outlineLevel="1" collapsed="1" x14ac:dyDescent="0.25">
      <c r="A75" s="28"/>
      <c r="B75" s="14" t="str">
        <f>CONCATENATE("     ","*Payroll                                          ")</f>
        <v xml:space="preserve">     *Payroll                                          </v>
      </c>
      <c r="C75" s="14"/>
      <c r="D75" s="1">
        <f>SUM(OSRRefD22_1x_0)</f>
        <v>21274.85</v>
      </c>
      <c r="E75" s="1"/>
      <c r="F75" s="5">
        <f t="shared" ref="F75:F85" si="20">IF(D$12=0,0,D75/D$12)</f>
        <v>0.14384515863815708</v>
      </c>
      <c r="G75" s="1"/>
      <c r="H75" s="1">
        <f>SUM(OSRRefH22_1x_0)</f>
        <v>53050.730769230795</v>
      </c>
      <c r="I75" s="1"/>
      <c r="J75" s="5">
        <f t="shared" ref="J75:J85" si="21">IF(H$12=0,0,H75/H$12)</f>
        <v>0.2930283455821589</v>
      </c>
      <c r="K75" s="1"/>
      <c r="L75" s="1">
        <f t="shared" ref="L75:L85" si="22">+D75-H75</f>
        <v>-31775.880769230796</v>
      </c>
      <c r="M75" s="1"/>
      <c r="N75" s="5">
        <f t="shared" ref="N75:N85" si="23">IF(H75=0,0,L75/H75)</f>
        <v>-0.59897159395324817</v>
      </c>
      <c r="O75" s="14"/>
      <c r="P75" s="1">
        <f>SUM(OSRRefP22_1x_0)</f>
        <v>21274.85</v>
      </c>
      <c r="Q75" s="1"/>
      <c r="R75" s="5">
        <f t="shared" ref="R75:R85" si="24">IF(P$12=0,0,P75/P$12)</f>
        <v>0.14384515863815708</v>
      </c>
      <c r="S75" s="1"/>
      <c r="T75" s="1">
        <f>SUM(OSRRefT22_1x_0)</f>
        <v>53050.730769230795</v>
      </c>
      <c r="U75" s="1"/>
      <c r="V75" s="5">
        <f t="shared" ref="V75:V85" si="25">IF(T$12=0,0,T75/T$12)</f>
        <v>0.2930283455821589</v>
      </c>
      <c r="W75" s="1"/>
      <c r="X75" s="1">
        <f t="shared" ref="X75:X85" si="26">+P75-T75</f>
        <v>-31775.880769230796</v>
      </c>
      <c r="Y75" s="1"/>
      <c r="Z75" s="5">
        <f t="shared" ref="Z75:Z85" si="27">IF(T75=0,0,X75/T75)</f>
        <v>-0.59897159395324817</v>
      </c>
    </row>
    <row r="76" spans="1:26" s="24" customFormat="1" hidden="1" outlineLevel="2" x14ac:dyDescent="0.25">
      <c r="A76" s="27"/>
      <c r="B76" s="12" t="str">
        <f>CONCATENATE("          ", "6001", " - ", "ADMINISTRATIVE SALARIES")</f>
        <v xml:space="preserve">          6001 - ADMINISTRATIVE SALARIES</v>
      </c>
      <c r="C76" s="12"/>
      <c r="D76" s="7"/>
      <c r="E76" s="3"/>
      <c r="F76" s="8">
        <f t="shared" si="20"/>
        <v>0</v>
      </c>
      <c r="G76" s="3"/>
      <c r="H76" s="7">
        <v>0</v>
      </c>
      <c r="I76" s="3"/>
      <c r="J76" s="8">
        <f t="shared" si="21"/>
        <v>0</v>
      </c>
      <c r="K76" s="3"/>
      <c r="L76" s="7">
        <f t="shared" si="22"/>
        <v>0</v>
      </c>
      <c r="M76" s="3"/>
      <c r="N76" s="8">
        <f t="shared" si="23"/>
        <v>0</v>
      </c>
      <c r="O76" s="12"/>
      <c r="P76" s="7"/>
      <c r="Q76" s="3"/>
      <c r="R76" s="8">
        <f t="shared" si="24"/>
        <v>0</v>
      </c>
      <c r="S76" s="3"/>
      <c r="T76" s="7">
        <v>0</v>
      </c>
      <c r="U76" s="3"/>
      <c r="V76" s="8">
        <f t="shared" si="25"/>
        <v>0</v>
      </c>
      <c r="W76" s="3"/>
      <c r="X76" s="7">
        <f t="shared" si="26"/>
        <v>0</v>
      </c>
      <c r="Y76" s="3"/>
      <c r="Z76" s="8">
        <f t="shared" si="27"/>
        <v>0</v>
      </c>
    </row>
    <row r="77" spans="1:26" s="24" customFormat="1" hidden="1" outlineLevel="2" x14ac:dyDescent="0.25">
      <c r="A77" s="27"/>
      <c r="B77" s="12" t="str">
        <f>CONCATENATE("          ", "6002", " - ", "STAFF SALARIES")</f>
        <v xml:space="preserve">          6002 - STAFF SALARIES</v>
      </c>
      <c r="C77" s="12"/>
      <c r="D77" s="7">
        <v>16234.78</v>
      </c>
      <c r="E77" s="3"/>
      <c r="F77" s="8">
        <f t="shared" si="20"/>
        <v>0.1097678481660543</v>
      </c>
      <c r="G77" s="3"/>
      <c r="H77" s="7">
        <v>14930.480769230799</v>
      </c>
      <c r="I77" s="3"/>
      <c r="J77" s="8">
        <f t="shared" si="21"/>
        <v>8.2469251886186146E-2</v>
      </c>
      <c r="K77" s="3"/>
      <c r="L77" s="7">
        <f t="shared" si="22"/>
        <v>1304.299230769202</v>
      </c>
      <c r="M77" s="3"/>
      <c r="N77" s="8">
        <f t="shared" si="23"/>
        <v>8.735815349343222E-2</v>
      </c>
      <c r="O77" s="12"/>
      <c r="P77" s="7">
        <v>16234.78</v>
      </c>
      <c r="Q77" s="3"/>
      <c r="R77" s="8">
        <f t="shared" si="24"/>
        <v>0.1097678481660543</v>
      </c>
      <c r="S77" s="3"/>
      <c r="T77" s="7">
        <v>14930.480769230799</v>
      </c>
      <c r="U77" s="3"/>
      <c r="V77" s="8">
        <f t="shared" si="25"/>
        <v>8.2469251886186146E-2</v>
      </c>
      <c r="W77" s="3"/>
      <c r="X77" s="7">
        <f t="shared" si="26"/>
        <v>1304.299230769202</v>
      </c>
      <c r="Y77" s="3"/>
      <c r="Z77" s="8">
        <f t="shared" si="27"/>
        <v>8.735815349343222E-2</v>
      </c>
    </row>
    <row r="78" spans="1:26" s="24" customFormat="1" hidden="1" outlineLevel="2" x14ac:dyDescent="0.25">
      <c r="A78" s="27"/>
      <c r="B78" s="12" t="str">
        <f>CONCATENATE("          ", "6003", " - ", "STAFF HOURLY-9 MONTH")</f>
        <v xml:space="preserve">          6003 - STAFF HOURLY-9 MONTH</v>
      </c>
      <c r="C78" s="12"/>
      <c r="D78" s="7"/>
      <c r="E78" s="3"/>
      <c r="F78" s="8">
        <f t="shared" si="20"/>
        <v>0</v>
      </c>
      <c r="G78" s="3"/>
      <c r="H78" s="7">
        <v>0</v>
      </c>
      <c r="I78" s="3"/>
      <c r="J78" s="8">
        <f t="shared" si="21"/>
        <v>0</v>
      </c>
      <c r="K78" s="3"/>
      <c r="L78" s="7">
        <f t="shared" si="22"/>
        <v>0</v>
      </c>
      <c r="M78" s="3"/>
      <c r="N78" s="8">
        <f t="shared" si="23"/>
        <v>0</v>
      </c>
      <c r="O78" s="12"/>
      <c r="P78" s="7"/>
      <c r="Q78" s="3"/>
      <c r="R78" s="8">
        <f t="shared" si="24"/>
        <v>0</v>
      </c>
      <c r="S78" s="3"/>
      <c r="T78" s="7">
        <v>0</v>
      </c>
      <c r="U78" s="3"/>
      <c r="V78" s="8">
        <f t="shared" si="25"/>
        <v>0</v>
      </c>
      <c r="W78" s="3"/>
      <c r="X78" s="7">
        <f t="shared" si="26"/>
        <v>0</v>
      </c>
      <c r="Y78" s="3"/>
      <c r="Z78" s="8">
        <f t="shared" si="27"/>
        <v>0</v>
      </c>
    </row>
    <row r="79" spans="1:26" s="24" customFormat="1" hidden="1" outlineLevel="2" x14ac:dyDescent="0.25">
      <c r="A79" s="27"/>
      <c r="B79" s="12" t="str">
        <f>CONCATENATE("          ", "6004", " - ", "STAFF HOURLY")</f>
        <v xml:space="preserve">          6004 - STAFF HOURLY</v>
      </c>
      <c r="C79" s="12"/>
      <c r="D79" s="7">
        <v>3989.25</v>
      </c>
      <c r="E79" s="3"/>
      <c r="F79" s="8">
        <f t="shared" si="20"/>
        <v>2.6972425145054758E-2</v>
      </c>
      <c r="G79" s="3"/>
      <c r="H79" s="7">
        <v>6671.25</v>
      </c>
      <c r="I79" s="3"/>
      <c r="J79" s="8">
        <f t="shared" si="21"/>
        <v>3.6848980628911364E-2</v>
      </c>
      <c r="K79" s="3"/>
      <c r="L79" s="7">
        <f t="shared" si="22"/>
        <v>-2682</v>
      </c>
      <c r="M79" s="3"/>
      <c r="N79" s="8">
        <f t="shared" si="23"/>
        <v>-0.40202360876897131</v>
      </c>
      <c r="O79" s="12"/>
      <c r="P79" s="7">
        <v>3989.25</v>
      </c>
      <c r="Q79" s="3"/>
      <c r="R79" s="8">
        <f t="shared" si="24"/>
        <v>2.6972425145054758E-2</v>
      </c>
      <c r="S79" s="3"/>
      <c r="T79" s="7">
        <v>6671.25</v>
      </c>
      <c r="U79" s="3"/>
      <c r="V79" s="8">
        <f t="shared" si="25"/>
        <v>3.6848980628911364E-2</v>
      </c>
      <c r="W79" s="3"/>
      <c r="X79" s="7">
        <f t="shared" si="26"/>
        <v>-2682</v>
      </c>
      <c r="Y79" s="3"/>
      <c r="Z79" s="8">
        <f t="shared" si="27"/>
        <v>-0.40202360876897131</v>
      </c>
    </row>
    <row r="80" spans="1:26" s="24" customFormat="1" hidden="1" outlineLevel="2" x14ac:dyDescent="0.25">
      <c r="A80" s="27"/>
      <c r="B80" s="12" t="str">
        <f>CONCATENATE("          ", "6005", " - ", "TEMPORARY WAGES-HOURLY")</f>
        <v xml:space="preserve">          6005 - TEMPORARY WAGES-HOURLY</v>
      </c>
      <c r="C80" s="12"/>
      <c r="D80" s="7">
        <v>726.82</v>
      </c>
      <c r="E80" s="3"/>
      <c r="F80" s="8">
        <f t="shared" si="20"/>
        <v>4.9142315081603565E-3</v>
      </c>
      <c r="G80" s="3"/>
      <c r="H80" s="7">
        <v>0</v>
      </c>
      <c r="I80" s="3"/>
      <c r="J80" s="8">
        <f t="shared" si="21"/>
        <v>0</v>
      </c>
      <c r="K80" s="3"/>
      <c r="L80" s="7">
        <f t="shared" si="22"/>
        <v>726.82</v>
      </c>
      <c r="M80" s="3"/>
      <c r="N80" s="8">
        <f t="shared" si="23"/>
        <v>0</v>
      </c>
      <c r="O80" s="12"/>
      <c r="P80" s="7">
        <v>726.82</v>
      </c>
      <c r="Q80" s="3"/>
      <c r="R80" s="8">
        <f t="shared" si="24"/>
        <v>4.9142315081603565E-3</v>
      </c>
      <c r="S80" s="3"/>
      <c r="T80" s="7">
        <v>0</v>
      </c>
      <c r="U80" s="3"/>
      <c r="V80" s="8">
        <f t="shared" si="25"/>
        <v>0</v>
      </c>
      <c r="W80" s="3"/>
      <c r="X80" s="7">
        <f t="shared" si="26"/>
        <v>726.82</v>
      </c>
      <c r="Y80" s="3"/>
      <c r="Z80" s="8">
        <f t="shared" si="27"/>
        <v>0</v>
      </c>
    </row>
    <row r="81" spans="1:26" s="24" customFormat="1" hidden="1" outlineLevel="2" x14ac:dyDescent="0.25">
      <c r="A81" s="27"/>
      <c r="B81" s="12" t="str">
        <f>CONCATENATE("          ", "6006", " - ", "TEMPORARY PART TIME")</f>
        <v xml:space="preserve">          6006 - TEMPORARY PART TIME</v>
      </c>
      <c r="C81" s="12"/>
      <c r="D81" s="7"/>
      <c r="E81" s="3"/>
      <c r="F81" s="8">
        <f t="shared" si="20"/>
        <v>0</v>
      </c>
      <c r="G81" s="3"/>
      <c r="H81" s="7">
        <v>0</v>
      </c>
      <c r="I81" s="3"/>
      <c r="J81" s="8">
        <f t="shared" si="21"/>
        <v>0</v>
      </c>
      <c r="K81" s="3"/>
      <c r="L81" s="7">
        <f t="shared" si="22"/>
        <v>0</v>
      </c>
      <c r="M81" s="3"/>
      <c r="N81" s="8">
        <f t="shared" si="23"/>
        <v>0</v>
      </c>
      <c r="O81" s="12"/>
      <c r="P81" s="7"/>
      <c r="Q81" s="3"/>
      <c r="R81" s="8">
        <f t="shared" si="24"/>
        <v>0</v>
      </c>
      <c r="S81" s="3"/>
      <c r="T81" s="7">
        <v>0</v>
      </c>
      <c r="U81" s="3"/>
      <c r="V81" s="8">
        <f t="shared" si="25"/>
        <v>0</v>
      </c>
      <c r="W81" s="3"/>
      <c r="X81" s="7">
        <f t="shared" si="26"/>
        <v>0</v>
      </c>
      <c r="Y81" s="3"/>
      <c r="Z81" s="8">
        <f t="shared" si="27"/>
        <v>0</v>
      </c>
    </row>
    <row r="82" spans="1:26" s="24" customFormat="1" hidden="1" outlineLevel="2" x14ac:dyDescent="0.25">
      <c r="A82" s="27"/>
      <c r="B82" s="12" t="str">
        <f>CONCATENATE("          ", "6007", " - ", "STUDENT HOURLY")</f>
        <v xml:space="preserve">          6007 - STUDENT HOURLY</v>
      </c>
      <c r="C82" s="12"/>
      <c r="D82" s="7">
        <v>324</v>
      </c>
      <c r="E82" s="3"/>
      <c r="F82" s="8">
        <f t="shared" si="20"/>
        <v>2.1906538188876962E-3</v>
      </c>
      <c r="G82" s="3"/>
      <c r="H82" s="7">
        <v>31449</v>
      </c>
      <c r="I82" s="3"/>
      <c r="J82" s="8">
        <f t="shared" si="21"/>
        <v>0.17371011306706141</v>
      </c>
      <c r="K82" s="3"/>
      <c r="L82" s="7">
        <f t="shared" si="22"/>
        <v>-31125</v>
      </c>
      <c r="M82" s="3"/>
      <c r="N82" s="8">
        <f t="shared" si="23"/>
        <v>-0.98969760564723841</v>
      </c>
      <c r="O82" s="12"/>
      <c r="P82" s="7">
        <v>324</v>
      </c>
      <c r="Q82" s="3"/>
      <c r="R82" s="8">
        <f t="shared" si="24"/>
        <v>2.1906538188876962E-3</v>
      </c>
      <c r="S82" s="3"/>
      <c r="T82" s="7">
        <v>31449</v>
      </c>
      <c r="U82" s="3"/>
      <c r="V82" s="8">
        <f t="shared" si="25"/>
        <v>0.17371011306706141</v>
      </c>
      <c r="W82" s="3"/>
      <c r="X82" s="7">
        <f t="shared" si="26"/>
        <v>-31125</v>
      </c>
      <c r="Y82" s="3"/>
      <c r="Z82" s="8">
        <f t="shared" si="27"/>
        <v>-0.98969760564723841</v>
      </c>
    </row>
    <row r="83" spans="1:26" s="24" customFormat="1" hidden="1" outlineLevel="2" x14ac:dyDescent="0.25">
      <c r="A83" s="27"/>
      <c r="B83" s="12" t="str">
        <f>CONCATENATE("          ", "6008", " - ", "STUDENT HOURLY-FICA EXEMPT")</f>
        <v xml:space="preserve">          6008 - STUDENT HOURLY-FICA EXEMPT</v>
      </c>
      <c r="C83" s="12"/>
      <c r="D83" s="7"/>
      <c r="E83" s="3"/>
      <c r="F83" s="8">
        <f t="shared" si="20"/>
        <v>0</v>
      </c>
      <c r="G83" s="3"/>
      <c r="H83" s="7">
        <v>0</v>
      </c>
      <c r="I83" s="3"/>
      <c r="J83" s="8">
        <f t="shared" si="21"/>
        <v>0</v>
      </c>
      <c r="K83" s="3"/>
      <c r="L83" s="7">
        <f t="shared" si="22"/>
        <v>0</v>
      </c>
      <c r="M83" s="3"/>
      <c r="N83" s="8">
        <f t="shared" si="23"/>
        <v>0</v>
      </c>
      <c r="O83" s="12"/>
      <c r="P83" s="7"/>
      <c r="Q83" s="3"/>
      <c r="R83" s="8">
        <f t="shared" si="24"/>
        <v>0</v>
      </c>
      <c r="S83" s="3"/>
      <c r="T83" s="7">
        <v>0</v>
      </c>
      <c r="U83" s="3"/>
      <c r="V83" s="8">
        <f t="shared" si="25"/>
        <v>0</v>
      </c>
      <c r="W83" s="3"/>
      <c r="X83" s="7">
        <f t="shared" si="26"/>
        <v>0</v>
      </c>
      <c r="Y83" s="3"/>
      <c r="Z83" s="8">
        <f t="shared" si="27"/>
        <v>0</v>
      </c>
    </row>
    <row r="84" spans="1:26" s="24" customFormat="1" hidden="1" outlineLevel="2" x14ac:dyDescent="0.25">
      <c r="A84" s="27"/>
      <c r="B84" s="12" t="str">
        <f>CONCATENATE("          ", "6009", " - ", "TEMPORARY-SEASONAL")</f>
        <v xml:space="preserve">          6009 - TEMPORARY-SEASONAL</v>
      </c>
      <c r="C84" s="12"/>
      <c r="D84" s="7"/>
      <c r="E84" s="3"/>
      <c r="F84" s="8">
        <f t="shared" si="20"/>
        <v>0</v>
      </c>
      <c r="G84" s="3"/>
      <c r="H84" s="7">
        <v>0</v>
      </c>
      <c r="I84" s="3"/>
      <c r="J84" s="8">
        <f t="shared" si="21"/>
        <v>0</v>
      </c>
      <c r="K84" s="3"/>
      <c r="L84" s="7">
        <f t="shared" si="22"/>
        <v>0</v>
      </c>
      <c r="M84" s="3"/>
      <c r="N84" s="8">
        <f t="shared" si="23"/>
        <v>0</v>
      </c>
      <c r="O84" s="12"/>
      <c r="P84" s="7"/>
      <c r="Q84" s="3"/>
      <c r="R84" s="8">
        <f t="shared" si="24"/>
        <v>0</v>
      </c>
      <c r="S84" s="3"/>
      <c r="T84" s="7">
        <v>0</v>
      </c>
      <c r="U84" s="3"/>
      <c r="V84" s="8">
        <f t="shared" si="25"/>
        <v>0</v>
      </c>
      <c r="W84" s="3"/>
      <c r="X84" s="7">
        <f t="shared" si="26"/>
        <v>0</v>
      </c>
      <c r="Y84" s="3"/>
      <c r="Z84" s="8">
        <f t="shared" si="27"/>
        <v>0</v>
      </c>
    </row>
    <row r="85" spans="1:26" s="24" customFormat="1" hidden="1" outlineLevel="2" x14ac:dyDescent="0.25">
      <c r="A85" s="27"/>
      <c r="B85" s="12" t="str">
        <f>CONCATENATE("          ", "6010", " - ", "GRATUITY")</f>
        <v xml:space="preserve">          6010 - GRATUITY</v>
      </c>
      <c r="C85" s="12"/>
      <c r="D85" s="7"/>
      <c r="E85" s="3"/>
      <c r="F85" s="8">
        <f t="shared" si="20"/>
        <v>0</v>
      </c>
      <c r="G85" s="3"/>
      <c r="H85" s="7">
        <v>0</v>
      </c>
      <c r="I85" s="3"/>
      <c r="J85" s="8">
        <f t="shared" si="21"/>
        <v>0</v>
      </c>
      <c r="K85" s="3"/>
      <c r="L85" s="7">
        <f t="shared" si="22"/>
        <v>0</v>
      </c>
      <c r="M85" s="3"/>
      <c r="N85" s="8">
        <f t="shared" si="23"/>
        <v>0</v>
      </c>
      <c r="O85" s="12"/>
      <c r="P85" s="7"/>
      <c r="Q85" s="3"/>
      <c r="R85" s="8">
        <f t="shared" si="24"/>
        <v>0</v>
      </c>
      <c r="S85" s="3"/>
      <c r="T85" s="7">
        <v>0</v>
      </c>
      <c r="U85" s="3"/>
      <c r="V85" s="8">
        <f t="shared" si="25"/>
        <v>0</v>
      </c>
      <c r="W85" s="3"/>
      <c r="X85" s="7">
        <f t="shared" si="26"/>
        <v>0</v>
      </c>
      <c r="Y85" s="3"/>
      <c r="Z85" s="8">
        <f t="shared" si="27"/>
        <v>0</v>
      </c>
    </row>
    <row r="86" spans="1:26" s="29" customFormat="1" outlineLevel="1" collapsed="1" x14ac:dyDescent="0.25">
      <c r="A86" s="28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SUM(OSRRefD22_2x_0)</f>
        <v>1340.93</v>
      </c>
      <c r="E86" s="1"/>
      <c r="F86" s="5">
        <f t="shared" ref="F86:F98" si="28">IF(D$12=0,0,D86/D$12)</f>
        <v>9.0663994609909825E-3</v>
      </c>
      <c r="G86" s="1"/>
      <c r="H86" s="1">
        <f>SUM(OSRRefH22_2x_0)</f>
        <v>580</v>
      </c>
      <c r="I86" s="1"/>
      <c r="J86" s="5">
        <f t="shared" ref="J86:J98" si="29">IF(H$12=0,0,H86/H$12)</f>
        <v>3.2036587992907762E-3</v>
      </c>
      <c r="K86" s="1"/>
      <c r="L86" s="1">
        <f t="shared" ref="L86:L98" si="30">+D86-H86</f>
        <v>760.93000000000006</v>
      </c>
      <c r="M86" s="1"/>
      <c r="N86" s="5">
        <f t="shared" ref="N86:N98" si="31">IF(H86=0,0,L86/H86)</f>
        <v>1.3119482758620691</v>
      </c>
      <c r="O86" s="14"/>
      <c r="P86" s="1">
        <f>SUM(OSRRefP22_2x_0)</f>
        <v>1340.93</v>
      </c>
      <c r="Q86" s="1"/>
      <c r="R86" s="5">
        <f t="shared" ref="R86:R98" si="32">IF(P$12=0,0,P86/P$12)</f>
        <v>9.0663994609909825E-3</v>
      </c>
      <c r="S86" s="1"/>
      <c r="T86" s="1">
        <f>SUM(OSRRefT22_2x_0)</f>
        <v>580</v>
      </c>
      <c r="U86" s="1"/>
      <c r="V86" s="5">
        <f t="shared" ref="V86:V98" si="33">IF(T$12=0,0,T86/T$12)</f>
        <v>3.2036587992907762E-3</v>
      </c>
      <c r="W86" s="1"/>
      <c r="X86" s="1">
        <f t="shared" ref="X86:X98" si="34">+P86-T86</f>
        <v>760.93000000000006</v>
      </c>
      <c r="Y86" s="1"/>
      <c r="Z86" s="5">
        <f t="shared" ref="Z86:Z98" si="35">IF(T86=0,0,X86/T86)</f>
        <v>1.3119482758620691</v>
      </c>
    </row>
    <row r="87" spans="1:26" s="24" customFormat="1" hidden="1" outlineLevel="2" x14ac:dyDescent="0.25">
      <c r="A87" s="27"/>
      <c r="B87" s="12" t="str">
        <f>CONCATENATE("          ", "6362", " - ", "ADVERTISING EXPENSE")</f>
        <v xml:space="preserve">          6362 - ADVERTISING EXPENSE</v>
      </c>
      <c r="C87" s="12"/>
      <c r="D87" s="7">
        <v>1340.93</v>
      </c>
      <c r="E87" s="3"/>
      <c r="F87" s="8">
        <f t="shared" si="28"/>
        <v>9.0663994609909825E-3</v>
      </c>
      <c r="G87" s="3"/>
      <c r="H87" s="7">
        <v>580</v>
      </c>
      <c r="I87" s="3"/>
      <c r="J87" s="8">
        <f t="shared" si="29"/>
        <v>3.2036587992907762E-3</v>
      </c>
      <c r="K87" s="3"/>
      <c r="L87" s="7">
        <f t="shared" si="30"/>
        <v>760.93000000000006</v>
      </c>
      <c r="M87" s="3"/>
      <c r="N87" s="8">
        <f t="shared" si="31"/>
        <v>1.3119482758620691</v>
      </c>
      <c r="O87" s="12"/>
      <c r="P87" s="7">
        <v>1340.93</v>
      </c>
      <c r="Q87" s="3"/>
      <c r="R87" s="8">
        <f t="shared" si="32"/>
        <v>9.0663994609909825E-3</v>
      </c>
      <c r="S87" s="3"/>
      <c r="T87" s="7">
        <v>580</v>
      </c>
      <c r="U87" s="3"/>
      <c r="V87" s="8">
        <f t="shared" si="33"/>
        <v>3.2036587992907762E-3</v>
      </c>
      <c r="W87" s="3"/>
      <c r="X87" s="7">
        <f t="shared" si="34"/>
        <v>760.93000000000006</v>
      </c>
      <c r="Y87" s="3"/>
      <c r="Z87" s="8">
        <f t="shared" si="35"/>
        <v>1.3119482758620691</v>
      </c>
    </row>
    <row r="88" spans="1:26" s="29" customFormat="1" outlineLevel="1" collapsed="1" x14ac:dyDescent="0.25">
      <c r="A88" s="28"/>
      <c r="B88" s="14" t="str">
        <f>CONCATENATE("     ","Bad Debts/Over/Short                              ")</f>
        <v xml:space="preserve">     Bad Debts/Over/Short                              </v>
      </c>
      <c r="C88" s="14"/>
      <c r="D88" s="1">
        <f>SUM(OSRRefD22_3x_0)</f>
        <v>0</v>
      </c>
      <c r="E88" s="1"/>
      <c r="F88" s="5">
        <f t="shared" si="28"/>
        <v>0</v>
      </c>
      <c r="G88" s="1"/>
      <c r="H88" s="1">
        <f>SUM(OSRRefH22_3x_0)</f>
        <v>0</v>
      </c>
      <c r="I88" s="1"/>
      <c r="J88" s="5">
        <f t="shared" si="29"/>
        <v>0</v>
      </c>
      <c r="K88" s="1"/>
      <c r="L88" s="1">
        <f t="shared" si="30"/>
        <v>0</v>
      </c>
      <c r="M88" s="1"/>
      <c r="N88" s="5">
        <f t="shared" si="31"/>
        <v>0</v>
      </c>
      <c r="O88" s="14"/>
      <c r="P88" s="1">
        <f>SUM(OSRRefP22_3x_0)</f>
        <v>0</v>
      </c>
      <c r="Q88" s="1"/>
      <c r="R88" s="5">
        <f t="shared" si="32"/>
        <v>0</v>
      </c>
      <c r="S88" s="1"/>
      <c r="T88" s="1">
        <f>SUM(OSRRefT22_3x_0)</f>
        <v>0</v>
      </c>
      <c r="U88" s="1"/>
      <c r="V88" s="5">
        <f t="shared" si="33"/>
        <v>0</v>
      </c>
      <c r="W88" s="1"/>
      <c r="X88" s="1">
        <f t="shared" si="34"/>
        <v>0</v>
      </c>
      <c r="Y88" s="1"/>
      <c r="Z88" s="5">
        <f t="shared" si="35"/>
        <v>0</v>
      </c>
    </row>
    <row r="89" spans="1:26" s="24" customFormat="1" hidden="1" outlineLevel="2" x14ac:dyDescent="0.25">
      <c r="A89" s="27"/>
      <c r="B89" s="12" t="str">
        <f>CONCATENATE("          ", "6272", " - ", "CASH (OVER/SHORT)")</f>
        <v xml:space="preserve">          6272 - CASH (OVER/SHORT)</v>
      </c>
      <c r="C89" s="12"/>
      <c r="D89" s="7"/>
      <c r="E89" s="3"/>
      <c r="F89" s="8">
        <f t="shared" si="28"/>
        <v>0</v>
      </c>
      <c r="G89" s="3"/>
      <c r="H89" s="7">
        <v>0</v>
      </c>
      <c r="I89" s="3"/>
      <c r="J89" s="8">
        <f t="shared" si="29"/>
        <v>0</v>
      </c>
      <c r="K89" s="3"/>
      <c r="L89" s="7">
        <f t="shared" si="30"/>
        <v>0</v>
      </c>
      <c r="M89" s="3"/>
      <c r="N89" s="8">
        <f t="shared" si="31"/>
        <v>0</v>
      </c>
      <c r="O89" s="12"/>
      <c r="P89" s="7"/>
      <c r="Q89" s="3"/>
      <c r="R89" s="8">
        <f t="shared" si="32"/>
        <v>0</v>
      </c>
      <c r="S89" s="3"/>
      <c r="T89" s="7">
        <v>0</v>
      </c>
      <c r="U89" s="3"/>
      <c r="V89" s="8">
        <f t="shared" si="33"/>
        <v>0</v>
      </c>
      <c r="W89" s="3"/>
      <c r="X89" s="7">
        <f t="shared" si="34"/>
        <v>0</v>
      </c>
      <c r="Y89" s="3"/>
      <c r="Z89" s="8">
        <f t="shared" si="35"/>
        <v>0</v>
      </c>
    </row>
    <row r="90" spans="1:26" s="29" customFormat="1" outlineLevel="1" collapsed="1" x14ac:dyDescent="0.25">
      <c r="A90" s="28"/>
      <c r="B90" s="14" t="str">
        <f>CONCATENATE("     ","Bank/card Fees                                    ")</f>
        <v xml:space="preserve">     Bank/card Fees                                    </v>
      </c>
      <c r="C90" s="14"/>
      <c r="D90" s="1">
        <f>SUM(OSRRefD22_4x_0)</f>
        <v>0</v>
      </c>
      <c r="E90" s="1"/>
      <c r="F90" s="5">
        <f t="shared" si="28"/>
        <v>0</v>
      </c>
      <c r="G90" s="1"/>
      <c r="H90" s="1">
        <f>SUM(OSRRefH22_4x_0)</f>
        <v>0</v>
      </c>
      <c r="I90" s="1"/>
      <c r="J90" s="5">
        <f t="shared" si="29"/>
        <v>0</v>
      </c>
      <c r="K90" s="1"/>
      <c r="L90" s="1">
        <f t="shared" si="30"/>
        <v>0</v>
      </c>
      <c r="M90" s="1"/>
      <c r="N90" s="5">
        <f t="shared" si="31"/>
        <v>0</v>
      </c>
      <c r="O90" s="14"/>
      <c r="P90" s="1">
        <f>SUM(OSRRefP22_4x_0)</f>
        <v>0</v>
      </c>
      <c r="Q90" s="1"/>
      <c r="R90" s="5">
        <f t="shared" si="32"/>
        <v>0</v>
      </c>
      <c r="S90" s="1"/>
      <c r="T90" s="1">
        <f>SUM(OSRRefT22_4x_0)</f>
        <v>0</v>
      </c>
      <c r="U90" s="1"/>
      <c r="V90" s="5">
        <f t="shared" si="33"/>
        <v>0</v>
      </c>
      <c r="W90" s="1"/>
      <c r="X90" s="1">
        <f t="shared" si="34"/>
        <v>0</v>
      </c>
      <c r="Y90" s="1"/>
      <c r="Z90" s="5">
        <f t="shared" si="35"/>
        <v>0</v>
      </c>
    </row>
    <row r="91" spans="1:26" s="24" customFormat="1" hidden="1" outlineLevel="2" x14ac:dyDescent="0.25">
      <c r="A91" s="27"/>
      <c r="B91" s="12" t="str">
        <f>CONCATENATE("          ", "6381", " - ", "BANK/CREDIT CARD FEES")</f>
        <v xml:space="preserve">          6381 - BANK/CREDIT CARD FEES</v>
      </c>
      <c r="C91" s="12"/>
      <c r="D91" s="7"/>
      <c r="E91" s="3"/>
      <c r="F91" s="8">
        <f t="shared" si="28"/>
        <v>0</v>
      </c>
      <c r="G91" s="3"/>
      <c r="H91" s="7">
        <v>0</v>
      </c>
      <c r="I91" s="3"/>
      <c r="J91" s="8">
        <f t="shared" si="29"/>
        <v>0</v>
      </c>
      <c r="K91" s="3"/>
      <c r="L91" s="7">
        <f t="shared" si="30"/>
        <v>0</v>
      </c>
      <c r="M91" s="3"/>
      <c r="N91" s="8">
        <f t="shared" si="31"/>
        <v>0</v>
      </c>
      <c r="O91" s="12"/>
      <c r="P91" s="7"/>
      <c r="Q91" s="3"/>
      <c r="R91" s="8">
        <f t="shared" si="32"/>
        <v>0</v>
      </c>
      <c r="S91" s="3"/>
      <c r="T91" s="7">
        <v>0</v>
      </c>
      <c r="U91" s="3"/>
      <c r="V91" s="8">
        <f t="shared" si="33"/>
        <v>0</v>
      </c>
      <c r="W91" s="3"/>
      <c r="X91" s="7">
        <f t="shared" si="34"/>
        <v>0</v>
      </c>
      <c r="Y91" s="3"/>
      <c r="Z91" s="8">
        <f t="shared" si="35"/>
        <v>0</v>
      </c>
    </row>
    <row r="92" spans="1:26" s="29" customFormat="1" outlineLevel="1" collapsed="1" x14ac:dyDescent="0.25">
      <c r="A92" s="28"/>
      <c r="B92" s="14" t="str">
        <f>CONCATENATE("     ","Discounts and Markdowns                           ")</f>
        <v xml:space="preserve">     Discounts and Markdowns                           </v>
      </c>
      <c r="C92" s="14"/>
      <c r="D92" s="1">
        <f>SUM(OSRRefD22_5x_0)</f>
        <v>0</v>
      </c>
      <c r="E92" s="1"/>
      <c r="F92" s="5">
        <f t="shared" si="28"/>
        <v>0</v>
      </c>
      <c r="G92" s="1"/>
      <c r="H92" s="1">
        <f>SUM(OSRRefH22_5x_0)</f>
        <v>13578</v>
      </c>
      <c r="I92" s="1"/>
      <c r="J92" s="5">
        <f t="shared" si="29"/>
        <v>7.4998757201327856E-2</v>
      </c>
      <c r="K92" s="1"/>
      <c r="L92" s="1">
        <f t="shared" si="30"/>
        <v>-13578</v>
      </c>
      <c r="M92" s="1"/>
      <c r="N92" s="5">
        <f t="shared" si="31"/>
        <v>-1</v>
      </c>
      <c r="O92" s="14"/>
      <c r="P92" s="1">
        <f>SUM(OSRRefP22_5x_0)</f>
        <v>0</v>
      </c>
      <c r="Q92" s="1"/>
      <c r="R92" s="5">
        <f t="shared" si="32"/>
        <v>0</v>
      </c>
      <c r="S92" s="1"/>
      <c r="T92" s="1">
        <f>SUM(OSRRefT22_5x_0)</f>
        <v>13578</v>
      </c>
      <c r="U92" s="1"/>
      <c r="V92" s="5">
        <f t="shared" si="33"/>
        <v>7.4998757201327856E-2</v>
      </c>
      <c r="W92" s="1"/>
      <c r="X92" s="1">
        <f t="shared" si="34"/>
        <v>-13578</v>
      </c>
      <c r="Y92" s="1"/>
      <c r="Z92" s="5">
        <f t="shared" si="35"/>
        <v>-1</v>
      </c>
    </row>
    <row r="93" spans="1:26" s="24" customFormat="1" hidden="1" outlineLevel="2" x14ac:dyDescent="0.25">
      <c r="A93" s="27"/>
      <c r="B93" s="12" t="str">
        <f>CONCATENATE("          ", "6382", " - ", "DISCOUNTS/MARK DOWNS")</f>
        <v xml:space="preserve">          6382 - DISCOUNTS/MARK DOWNS</v>
      </c>
      <c r="C93" s="12"/>
      <c r="D93" s="7"/>
      <c r="E93" s="3"/>
      <c r="F93" s="8">
        <f t="shared" si="28"/>
        <v>0</v>
      </c>
      <c r="G93" s="3"/>
      <c r="H93" s="7">
        <v>13578</v>
      </c>
      <c r="I93" s="3"/>
      <c r="J93" s="8">
        <f t="shared" si="29"/>
        <v>7.4998757201327856E-2</v>
      </c>
      <c r="K93" s="3"/>
      <c r="L93" s="7">
        <f t="shared" si="30"/>
        <v>-13578</v>
      </c>
      <c r="M93" s="3"/>
      <c r="N93" s="8">
        <f t="shared" si="31"/>
        <v>-1</v>
      </c>
      <c r="O93" s="12"/>
      <c r="P93" s="7"/>
      <c r="Q93" s="3"/>
      <c r="R93" s="8">
        <f t="shared" si="32"/>
        <v>0</v>
      </c>
      <c r="S93" s="3"/>
      <c r="T93" s="7">
        <v>13578</v>
      </c>
      <c r="U93" s="3"/>
      <c r="V93" s="8">
        <f t="shared" si="33"/>
        <v>7.4998757201327856E-2</v>
      </c>
      <c r="W93" s="3"/>
      <c r="X93" s="7">
        <f t="shared" si="34"/>
        <v>-13578</v>
      </c>
      <c r="Y93" s="3"/>
      <c r="Z93" s="8">
        <f t="shared" si="35"/>
        <v>-1</v>
      </c>
    </row>
    <row r="94" spans="1:26" s="29" customFormat="1" outlineLevel="1" collapsed="1" x14ac:dyDescent="0.25">
      <c r="A94" s="28"/>
      <c r="B94" s="14" t="str">
        <f>CONCATENATE("     ","Employees' Appreciation                           ")</f>
        <v xml:space="preserve">     Employees' Appreciation                           </v>
      </c>
      <c r="C94" s="14"/>
      <c r="D94" s="1">
        <f>SUM(OSRRefD22_6x_0)</f>
        <v>0</v>
      </c>
      <c r="E94" s="1"/>
      <c r="F94" s="5">
        <f t="shared" si="28"/>
        <v>0</v>
      </c>
      <c r="G94" s="1"/>
      <c r="H94" s="1">
        <f>SUM(OSRRefH22_6x_0)</f>
        <v>150</v>
      </c>
      <c r="I94" s="1"/>
      <c r="J94" s="5">
        <f t="shared" si="29"/>
        <v>8.2853244809244215E-4</v>
      </c>
      <c r="K94" s="1"/>
      <c r="L94" s="1">
        <f t="shared" si="30"/>
        <v>-150</v>
      </c>
      <c r="M94" s="1"/>
      <c r="N94" s="5">
        <f t="shared" si="31"/>
        <v>-1</v>
      </c>
      <c r="O94" s="14"/>
      <c r="P94" s="1">
        <f>SUM(OSRRefP22_6x_0)</f>
        <v>0</v>
      </c>
      <c r="Q94" s="1"/>
      <c r="R94" s="5">
        <f t="shared" si="32"/>
        <v>0</v>
      </c>
      <c r="S94" s="1"/>
      <c r="T94" s="1">
        <f>SUM(OSRRefT22_6x_0)</f>
        <v>150</v>
      </c>
      <c r="U94" s="1"/>
      <c r="V94" s="5">
        <f t="shared" si="33"/>
        <v>8.2853244809244215E-4</v>
      </c>
      <c r="W94" s="1"/>
      <c r="X94" s="1">
        <f t="shared" si="34"/>
        <v>-150</v>
      </c>
      <c r="Y94" s="1"/>
      <c r="Z94" s="5">
        <f t="shared" si="35"/>
        <v>-1</v>
      </c>
    </row>
    <row r="95" spans="1:26" s="24" customFormat="1" hidden="1" outlineLevel="2" x14ac:dyDescent="0.25">
      <c r="A95" s="27"/>
      <c r="B95" s="12" t="str">
        <f>CONCATENATE("          ", "6277", " - ", "EMPLOYEE APPRECIATION")</f>
        <v xml:space="preserve">          6277 - EMPLOYEE APPRECIATION</v>
      </c>
      <c r="C95" s="12"/>
      <c r="D95" s="7"/>
      <c r="E95" s="3"/>
      <c r="F95" s="8">
        <f t="shared" si="28"/>
        <v>0</v>
      </c>
      <c r="G95" s="3"/>
      <c r="H95" s="7">
        <v>150</v>
      </c>
      <c r="I95" s="3"/>
      <c r="J95" s="8">
        <f t="shared" si="29"/>
        <v>8.2853244809244215E-4</v>
      </c>
      <c r="K95" s="3"/>
      <c r="L95" s="7">
        <f t="shared" si="30"/>
        <v>-150</v>
      </c>
      <c r="M95" s="3"/>
      <c r="N95" s="8">
        <f t="shared" si="31"/>
        <v>-1</v>
      </c>
      <c r="O95" s="12"/>
      <c r="P95" s="7"/>
      <c r="Q95" s="3"/>
      <c r="R95" s="8">
        <f t="shared" si="32"/>
        <v>0</v>
      </c>
      <c r="S95" s="3"/>
      <c r="T95" s="7">
        <v>150</v>
      </c>
      <c r="U95" s="3"/>
      <c r="V95" s="8">
        <f t="shared" si="33"/>
        <v>8.2853244809244215E-4</v>
      </c>
      <c r="W95" s="3"/>
      <c r="X95" s="7">
        <f t="shared" si="34"/>
        <v>-150</v>
      </c>
      <c r="Y95" s="3"/>
      <c r="Z95" s="8">
        <f t="shared" si="35"/>
        <v>-1</v>
      </c>
    </row>
    <row r="96" spans="1:26" s="29" customFormat="1" outlineLevel="1" collapsed="1" x14ac:dyDescent="0.25">
      <c r="A96" s="28"/>
      <c r="B96" s="14" t="str">
        <f>CONCATENATE("     ","Freight out/Postage                               ")</f>
        <v xml:space="preserve">     Freight out/Postage                               </v>
      </c>
      <c r="C96" s="14"/>
      <c r="D96" s="1">
        <f>SUM(OSRRefD22_7x_0)</f>
        <v>16.39</v>
      </c>
      <c r="E96" s="1"/>
      <c r="F96" s="5">
        <f t="shared" si="28"/>
        <v>1.1081733361595476E-4</v>
      </c>
      <c r="G96" s="1"/>
      <c r="H96" s="1">
        <f>SUM(OSRRefH22_7x_0)</f>
        <v>10</v>
      </c>
      <c r="I96" s="1"/>
      <c r="J96" s="5">
        <f t="shared" si="29"/>
        <v>5.523549653949614E-5</v>
      </c>
      <c r="K96" s="1"/>
      <c r="L96" s="1">
        <f t="shared" si="30"/>
        <v>6.3900000000000006</v>
      </c>
      <c r="M96" s="1"/>
      <c r="N96" s="5">
        <f t="shared" si="31"/>
        <v>0.63900000000000001</v>
      </c>
      <c r="O96" s="14"/>
      <c r="P96" s="1">
        <f>SUM(OSRRefP22_7x_0)</f>
        <v>16.39</v>
      </c>
      <c r="Q96" s="1"/>
      <c r="R96" s="5">
        <f t="shared" si="32"/>
        <v>1.1081733361595476E-4</v>
      </c>
      <c r="S96" s="1"/>
      <c r="T96" s="1">
        <f>SUM(OSRRefT22_7x_0)</f>
        <v>10</v>
      </c>
      <c r="U96" s="1"/>
      <c r="V96" s="5">
        <f t="shared" si="33"/>
        <v>5.523549653949614E-5</v>
      </c>
      <c r="W96" s="1"/>
      <c r="X96" s="1">
        <f t="shared" si="34"/>
        <v>6.3900000000000006</v>
      </c>
      <c r="Y96" s="1"/>
      <c r="Z96" s="5">
        <f t="shared" si="35"/>
        <v>0.63900000000000001</v>
      </c>
    </row>
    <row r="97" spans="1:26" s="24" customFormat="1" hidden="1" outlineLevel="2" x14ac:dyDescent="0.25">
      <c r="A97" s="27"/>
      <c r="B97" s="12" t="str">
        <f>CONCATENATE("          ", "6305", " - ", "FREIGHT OUT")</f>
        <v xml:space="preserve">          6305 - FREIGHT OUT</v>
      </c>
      <c r="C97" s="12"/>
      <c r="D97" s="7">
        <v>16.39</v>
      </c>
      <c r="E97" s="3"/>
      <c r="F97" s="8">
        <f t="shared" si="28"/>
        <v>1.1081733361595476E-4</v>
      </c>
      <c r="G97" s="3"/>
      <c r="H97" s="7"/>
      <c r="I97" s="3"/>
      <c r="J97" s="8">
        <f t="shared" si="29"/>
        <v>0</v>
      </c>
      <c r="K97" s="3"/>
      <c r="L97" s="7">
        <f t="shared" si="30"/>
        <v>16.39</v>
      </c>
      <c r="M97" s="3"/>
      <c r="N97" s="8">
        <f t="shared" si="31"/>
        <v>0</v>
      </c>
      <c r="O97" s="12"/>
      <c r="P97" s="7">
        <v>16.39</v>
      </c>
      <c r="Q97" s="3"/>
      <c r="R97" s="8">
        <f t="shared" si="32"/>
        <v>1.1081733361595476E-4</v>
      </c>
      <c r="S97" s="3"/>
      <c r="T97" s="7"/>
      <c r="U97" s="3"/>
      <c r="V97" s="8">
        <f t="shared" si="33"/>
        <v>0</v>
      </c>
      <c r="W97" s="3"/>
      <c r="X97" s="7">
        <f t="shared" si="34"/>
        <v>16.39</v>
      </c>
      <c r="Y97" s="3"/>
      <c r="Z97" s="8">
        <f t="shared" si="35"/>
        <v>0</v>
      </c>
    </row>
    <row r="98" spans="1:26" s="24" customFormat="1" hidden="1" outlineLevel="2" x14ac:dyDescent="0.25">
      <c r="A98" s="27"/>
      <c r="B98" s="12" t="str">
        <f>CONCATENATE("          ", "6307", " - ", "POSTAGE")</f>
        <v xml:space="preserve">          6307 - POSTAGE</v>
      </c>
      <c r="C98" s="12"/>
      <c r="D98" s="7"/>
      <c r="E98" s="3"/>
      <c r="F98" s="8">
        <f t="shared" si="28"/>
        <v>0</v>
      </c>
      <c r="G98" s="3"/>
      <c r="H98" s="7">
        <v>10</v>
      </c>
      <c r="I98" s="3"/>
      <c r="J98" s="8">
        <f t="shared" si="29"/>
        <v>5.523549653949614E-5</v>
      </c>
      <c r="K98" s="3"/>
      <c r="L98" s="7">
        <f t="shared" si="30"/>
        <v>-10</v>
      </c>
      <c r="M98" s="3"/>
      <c r="N98" s="8">
        <f t="shared" si="31"/>
        <v>-1</v>
      </c>
      <c r="O98" s="12"/>
      <c r="P98" s="7"/>
      <c r="Q98" s="3"/>
      <c r="R98" s="8">
        <f t="shared" si="32"/>
        <v>0</v>
      </c>
      <c r="S98" s="3"/>
      <c r="T98" s="7">
        <v>10</v>
      </c>
      <c r="U98" s="3"/>
      <c r="V98" s="8">
        <f t="shared" si="33"/>
        <v>5.523549653949614E-5</v>
      </c>
      <c r="W98" s="3"/>
      <c r="X98" s="7">
        <f t="shared" si="34"/>
        <v>-10</v>
      </c>
      <c r="Y98" s="3"/>
      <c r="Z98" s="8">
        <f t="shared" si="35"/>
        <v>-1</v>
      </c>
    </row>
    <row r="99" spans="1:26" s="29" customFormat="1" outlineLevel="1" collapsed="1" x14ac:dyDescent="0.25">
      <c r="A99" s="28"/>
      <c r="B99" s="14" t="str">
        <f>CONCATENATE("     ","General                                           ")</f>
        <v xml:space="preserve">     General                                           </v>
      </c>
      <c r="C99" s="14"/>
      <c r="D99" s="1">
        <f>SUM(OSRRefD22_8x_0)</f>
        <v>0</v>
      </c>
      <c r="E99" s="1"/>
      <c r="F99" s="5">
        <f t="shared" ref="F99:F110" si="36">IF(D$12=0,0,D99/D$12)</f>
        <v>0</v>
      </c>
      <c r="G99" s="1"/>
      <c r="H99" s="1">
        <f>SUM(OSRRefH22_8x_0)</f>
        <v>0</v>
      </c>
      <c r="I99" s="1"/>
      <c r="J99" s="5">
        <f t="shared" ref="J99:J110" si="37">IF(H$12=0,0,H99/H$12)</f>
        <v>0</v>
      </c>
      <c r="K99" s="1"/>
      <c r="L99" s="1">
        <f t="shared" ref="L99:L110" si="38">+D99-H99</f>
        <v>0</v>
      </c>
      <c r="M99" s="1"/>
      <c r="N99" s="5">
        <f t="shared" ref="N99:N110" si="39">IF(H99=0,0,L99/H99)</f>
        <v>0</v>
      </c>
      <c r="O99" s="14"/>
      <c r="P99" s="1">
        <f>SUM(OSRRefP22_8x_0)</f>
        <v>0</v>
      </c>
      <c r="Q99" s="1"/>
      <c r="R99" s="5">
        <f t="shared" ref="R99:R110" si="40">IF(P$12=0,0,P99/P$12)</f>
        <v>0</v>
      </c>
      <c r="S99" s="1"/>
      <c r="T99" s="1">
        <f>SUM(OSRRefT22_8x_0)</f>
        <v>0</v>
      </c>
      <c r="U99" s="1"/>
      <c r="V99" s="5">
        <f t="shared" ref="V99:V110" si="41">IF(T$12=0,0,T99/T$12)</f>
        <v>0</v>
      </c>
      <c r="W99" s="1"/>
      <c r="X99" s="1">
        <f t="shared" ref="X99:X110" si="42">+P99-T99</f>
        <v>0</v>
      </c>
      <c r="Y99" s="1"/>
      <c r="Z99" s="5">
        <f t="shared" ref="Z99:Z110" si="43">IF(T99=0,0,X99/T99)</f>
        <v>0</v>
      </c>
    </row>
    <row r="100" spans="1:26" s="24" customFormat="1" hidden="1" outlineLevel="2" x14ac:dyDescent="0.25">
      <c r="A100" s="27"/>
      <c r="B100" s="12" t="str">
        <f>CONCATENATE("          ", "6279", " - ", "GENERAL EXPENSE")</f>
        <v xml:space="preserve">          6279 - GENERAL EXPENSE</v>
      </c>
      <c r="C100" s="12"/>
      <c r="D100" s="7"/>
      <c r="E100" s="3"/>
      <c r="F100" s="8">
        <f t="shared" si="36"/>
        <v>0</v>
      </c>
      <c r="G100" s="3"/>
      <c r="H100" s="7">
        <v>0</v>
      </c>
      <c r="I100" s="3"/>
      <c r="J100" s="8">
        <f t="shared" si="37"/>
        <v>0</v>
      </c>
      <c r="K100" s="3"/>
      <c r="L100" s="7">
        <f t="shared" si="38"/>
        <v>0</v>
      </c>
      <c r="M100" s="3"/>
      <c r="N100" s="8">
        <f t="shared" si="39"/>
        <v>0</v>
      </c>
      <c r="O100" s="12"/>
      <c r="P100" s="7"/>
      <c r="Q100" s="3"/>
      <c r="R100" s="8">
        <f t="shared" si="40"/>
        <v>0</v>
      </c>
      <c r="S100" s="3"/>
      <c r="T100" s="7">
        <v>0</v>
      </c>
      <c r="U100" s="3"/>
      <c r="V100" s="8">
        <f t="shared" si="41"/>
        <v>0</v>
      </c>
      <c r="W100" s="3"/>
      <c r="X100" s="7">
        <f t="shared" si="42"/>
        <v>0</v>
      </c>
      <c r="Y100" s="3"/>
      <c r="Z100" s="8">
        <f t="shared" si="43"/>
        <v>0</v>
      </c>
    </row>
    <row r="101" spans="1:26" s="29" customFormat="1" outlineLevel="1" collapsed="1" x14ac:dyDescent="0.25">
      <c r="A101" s="28"/>
      <c r="B101" s="14" t="str">
        <f>CONCATENATE("     ","Inventory Adjustment                              ")</f>
        <v xml:space="preserve">     Inventory Adjustment                              </v>
      </c>
      <c r="C101" s="14"/>
      <c r="D101" s="1">
        <f>SUM(OSRRefD22_9x_0)</f>
        <v>1000</v>
      </c>
      <c r="E101" s="1"/>
      <c r="F101" s="5">
        <f t="shared" si="36"/>
        <v>6.761277218789186E-3</v>
      </c>
      <c r="G101" s="1"/>
      <c r="H101" s="1">
        <f>SUM(OSRRefH22_9x_0)</f>
        <v>1000</v>
      </c>
      <c r="I101" s="1"/>
      <c r="J101" s="5">
        <f t="shared" si="37"/>
        <v>5.5235496539496141E-3</v>
      </c>
      <c r="K101" s="1"/>
      <c r="L101" s="1">
        <f t="shared" si="38"/>
        <v>0</v>
      </c>
      <c r="M101" s="1"/>
      <c r="N101" s="5">
        <f t="shared" si="39"/>
        <v>0</v>
      </c>
      <c r="O101" s="14"/>
      <c r="P101" s="1">
        <f>SUM(OSRRefP22_9x_0)</f>
        <v>1000</v>
      </c>
      <c r="Q101" s="1"/>
      <c r="R101" s="5">
        <f t="shared" si="40"/>
        <v>6.761277218789186E-3</v>
      </c>
      <c r="S101" s="1"/>
      <c r="T101" s="1">
        <f>SUM(OSRRefT22_9x_0)</f>
        <v>1000</v>
      </c>
      <c r="U101" s="1"/>
      <c r="V101" s="5">
        <f t="shared" si="41"/>
        <v>5.5235496539496141E-3</v>
      </c>
      <c r="W101" s="1"/>
      <c r="X101" s="1">
        <f t="shared" si="42"/>
        <v>0</v>
      </c>
      <c r="Y101" s="1"/>
      <c r="Z101" s="5">
        <f t="shared" si="43"/>
        <v>0</v>
      </c>
    </row>
    <row r="102" spans="1:26" s="24" customFormat="1" hidden="1" outlineLevel="2" x14ac:dyDescent="0.25">
      <c r="A102" s="27"/>
      <c r="B102" s="12" t="str">
        <f>CONCATENATE("          ", "6408", " - ", "INVENTORY ADJUSTMENT")</f>
        <v xml:space="preserve">          6408 - INVENTORY ADJUSTMENT</v>
      </c>
      <c r="C102" s="12"/>
      <c r="D102" s="7">
        <v>1000</v>
      </c>
      <c r="E102" s="3"/>
      <c r="F102" s="8">
        <f t="shared" si="36"/>
        <v>6.761277218789186E-3</v>
      </c>
      <c r="G102" s="3"/>
      <c r="H102" s="7">
        <v>1000</v>
      </c>
      <c r="I102" s="3"/>
      <c r="J102" s="8">
        <f t="shared" si="37"/>
        <v>5.5235496539496141E-3</v>
      </c>
      <c r="K102" s="3"/>
      <c r="L102" s="7">
        <f t="shared" si="38"/>
        <v>0</v>
      </c>
      <c r="M102" s="3"/>
      <c r="N102" s="8">
        <f t="shared" si="39"/>
        <v>0</v>
      </c>
      <c r="O102" s="12"/>
      <c r="P102" s="7">
        <v>1000</v>
      </c>
      <c r="Q102" s="3"/>
      <c r="R102" s="8">
        <f t="shared" si="40"/>
        <v>6.761277218789186E-3</v>
      </c>
      <c r="S102" s="3"/>
      <c r="T102" s="7">
        <v>1000</v>
      </c>
      <c r="U102" s="3"/>
      <c r="V102" s="8">
        <f t="shared" si="41"/>
        <v>5.5235496539496141E-3</v>
      </c>
      <c r="W102" s="3"/>
      <c r="X102" s="7">
        <f t="shared" si="42"/>
        <v>0</v>
      </c>
      <c r="Y102" s="3"/>
      <c r="Z102" s="8">
        <f t="shared" si="43"/>
        <v>0</v>
      </c>
    </row>
    <row r="103" spans="1:26" s="29" customFormat="1" outlineLevel="1" collapsed="1" x14ac:dyDescent="0.25">
      <c r="A103" s="28"/>
      <c r="B103" s="14" t="str">
        <f>CONCATENATE("     ","Professional Services                             ")</f>
        <v xml:space="preserve">     Professional Services                             </v>
      </c>
      <c r="C103" s="14"/>
      <c r="D103" s="1">
        <f>SUM(OSRRefD22_10x_0)</f>
        <v>0</v>
      </c>
      <c r="E103" s="1"/>
      <c r="F103" s="5">
        <f t="shared" si="36"/>
        <v>0</v>
      </c>
      <c r="G103" s="1"/>
      <c r="H103" s="1">
        <f>SUM(OSRRefH22_10x_0)</f>
        <v>5000</v>
      </c>
      <c r="I103" s="1"/>
      <c r="J103" s="5">
        <f t="shared" si="37"/>
        <v>2.7617748269748072E-2</v>
      </c>
      <c r="K103" s="1"/>
      <c r="L103" s="1">
        <f t="shared" si="38"/>
        <v>-5000</v>
      </c>
      <c r="M103" s="1"/>
      <c r="N103" s="5">
        <f t="shared" si="39"/>
        <v>-1</v>
      </c>
      <c r="O103" s="14"/>
      <c r="P103" s="1">
        <f>SUM(OSRRefP22_10x_0)</f>
        <v>0</v>
      </c>
      <c r="Q103" s="1"/>
      <c r="R103" s="5">
        <f t="shared" si="40"/>
        <v>0</v>
      </c>
      <c r="S103" s="1"/>
      <c r="T103" s="1">
        <f>SUM(OSRRefT22_10x_0)</f>
        <v>5000</v>
      </c>
      <c r="U103" s="1"/>
      <c r="V103" s="5">
        <f t="shared" si="41"/>
        <v>2.7617748269748072E-2</v>
      </c>
      <c r="W103" s="1"/>
      <c r="X103" s="1">
        <f t="shared" si="42"/>
        <v>-5000</v>
      </c>
      <c r="Y103" s="1"/>
      <c r="Z103" s="5">
        <f t="shared" si="43"/>
        <v>-1</v>
      </c>
    </row>
    <row r="104" spans="1:26" s="24" customFormat="1" hidden="1" outlineLevel="2" x14ac:dyDescent="0.25">
      <c r="A104" s="27"/>
      <c r="B104" s="12" t="str">
        <f>CONCATENATE("          ", "6336", " - ", "PROFESSIONAL SERVICES")</f>
        <v xml:space="preserve">          6336 - PROFESSIONAL SERVICES</v>
      </c>
      <c r="C104" s="12"/>
      <c r="D104" s="7"/>
      <c r="E104" s="3"/>
      <c r="F104" s="8">
        <f t="shared" si="36"/>
        <v>0</v>
      </c>
      <c r="G104" s="3"/>
      <c r="H104" s="7">
        <v>5000</v>
      </c>
      <c r="I104" s="3"/>
      <c r="J104" s="8">
        <f t="shared" si="37"/>
        <v>2.7617748269748072E-2</v>
      </c>
      <c r="K104" s="3"/>
      <c r="L104" s="7">
        <f t="shared" si="38"/>
        <v>-5000</v>
      </c>
      <c r="M104" s="3"/>
      <c r="N104" s="8">
        <f t="shared" si="39"/>
        <v>-1</v>
      </c>
      <c r="O104" s="12"/>
      <c r="P104" s="7"/>
      <c r="Q104" s="3"/>
      <c r="R104" s="8">
        <f t="shared" si="40"/>
        <v>0</v>
      </c>
      <c r="S104" s="3"/>
      <c r="T104" s="7">
        <v>5000</v>
      </c>
      <c r="U104" s="3"/>
      <c r="V104" s="8">
        <f t="shared" si="41"/>
        <v>2.7617748269748072E-2</v>
      </c>
      <c r="W104" s="3"/>
      <c r="X104" s="7">
        <f t="shared" si="42"/>
        <v>-5000</v>
      </c>
      <c r="Y104" s="3"/>
      <c r="Z104" s="8">
        <f t="shared" si="43"/>
        <v>-1</v>
      </c>
    </row>
    <row r="105" spans="1:26" s="29" customFormat="1" outlineLevel="1" collapsed="1" x14ac:dyDescent="0.25">
      <c r="A105" s="28"/>
      <c r="B105" s="14" t="str">
        <f>CONCATENATE("     ","Repair and Maintenance                            ")</f>
        <v xml:space="preserve">     Repair and Maintenance                            </v>
      </c>
      <c r="C105" s="14"/>
      <c r="D105" s="1">
        <f>SUM(OSRRefD22_11x_0)</f>
        <v>0</v>
      </c>
      <c r="E105" s="1"/>
      <c r="F105" s="5">
        <f t="shared" si="36"/>
        <v>0</v>
      </c>
      <c r="G105" s="1"/>
      <c r="H105" s="1">
        <f>SUM(OSRRefH22_11x_0)</f>
        <v>50</v>
      </c>
      <c r="I105" s="1"/>
      <c r="J105" s="5">
        <f t="shared" si="37"/>
        <v>2.7617748269748068E-4</v>
      </c>
      <c r="K105" s="1"/>
      <c r="L105" s="1">
        <f t="shared" si="38"/>
        <v>-50</v>
      </c>
      <c r="M105" s="1"/>
      <c r="N105" s="5">
        <f t="shared" si="39"/>
        <v>-1</v>
      </c>
      <c r="O105" s="14"/>
      <c r="P105" s="1">
        <f>SUM(OSRRefP22_11x_0)</f>
        <v>0</v>
      </c>
      <c r="Q105" s="1"/>
      <c r="R105" s="5">
        <f t="shared" si="40"/>
        <v>0</v>
      </c>
      <c r="S105" s="1"/>
      <c r="T105" s="1">
        <f>SUM(OSRRefT22_11x_0)</f>
        <v>50</v>
      </c>
      <c r="U105" s="1"/>
      <c r="V105" s="5">
        <f t="shared" si="41"/>
        <v>2.7617748269748068E-4</v>
      </c>
      <c r="W105" s="1"/>
      <c r="X105" s="1">
        <f t="shared" si="42"/>
        <v>-50</v>
      </c>
      <c r="Y105" s="1"/>
      <c r="Z105" s="5">
        <f t="shared" si="43"/>
        <v>-1</v>
      </c>
    </row>
    <row r="106" spans="1:26" s="24" customFormat="1" hidden="1" outlineLevel="2" x14ac:dyDescent="0.25">
      <c r="A106" s="27"/>
      <c r="B106" s="12" t="str">
        <f>CONCATENATE("          ", "6375", " - ", "OUTSIDE REPAIRS &amp; MAINTENANCE")</f>
        <v xml:space="preserve">          6375 - OUTSIDE REPAIRS &amp; MAINTENANCE</v>
      </c>
      <c r="C106" s="12"/>
      <c r="D106" s="7"/>
      <c r="E106" s="3"/>
      <c r="F106" s="8">
        <f t="shared" si="36"/>
        <v>0</v>
      </c>
      <c r="G106" s="3"/>
      <c r="H106" s="7">
        <v>50</v>
      </c>
      <c r="I106" s="3"/>
      <c r="J106" s="8">
        <f t="shared" si="37"/>
        <v>2.7617748269748068E-4</v>
      </c>
      <c r="K106" s="3"/>
      <c r="L106" s="7">
        <f t="shared" si="38"/>
        <v>-50</v>
      </c>
      <c r="M106" s="3"/>
      <c r="N106" s="8">
        <f t="shared" si="39"/>
        <v>-1</v>
      </c>
      <c r="O106" s="12"/>
      <c r="P106" s="7"/>
      <c r="Q106" s="3"/>
      <c r="R106" s="8">
        <f t="shared" si="40"/>
        <v>0</v>
      </c>
      <c r="S106" s="3"/>
      <c r="T106" s="7">
        <v>50</v>
      </c>
      <c r="U106" s="3"/>
      <c r="V106" s="8">
        <f t="shared" si="41"/>
        <v>2.7617748269748068E-4</v>
      </c>
      <c r="W106" s="3"/>
      <c r="X106" s="7">
        <f t="shared" si="42"/>
        <v>-50</v>
      </c>
      <c r="Y106" s="3"/>
      <c r="Z106" s="8">
        <f t="shared" si="43"/>
        <v>-1</v>
      </c>
    </row>
    <row r="107" spans="1:26" s="29" customFormat="1" outlineLevel="1" collapsed="1" x14ac:dyDescent="0.25">
      <c r="A107" s="28"/>
      <c r="B107" s="14" t="str">
        <f>CONCATENATE("     ","Royalty &amp; Commissions                             ")</f>
        <v xml:space="preserve">     Royalty &amp; Commissions                             </v>
      </c>
      <c r="C107" s="14"/>
      <c r="D107" s="1">
        <f>SUM(OSRRefD22_12x_0)</f>
        <v>5672.2</v>
      </c>
      <c r="E107" s="1"/>
      <c r="F107" s="5">
        <f t="shared" si="36"/>
        <v>3.8351316640416015E-2</v>
      </c>
      <c r="G107" s="1"/>
      <c r="H107" s="1">
        <f>SUM(OSRRefH22_12x_0)</f>
        <v>6271</v>
      </c>
      <c r="I107" s="1"/>
      <c r="J107" s="5">
        <f t="shared" si="37"/>
        <v>3.4638179879918032E-2</v>
      </c>
      <c r="K107" s="1"/>
      <c r="L107" s="1">
        <f t="shared" si="38"/>
        <v>-598.80000000000018</v>
      </c>
      <c r="M107" s="1"/>
      <c r="N107" s="5">
        <f t="shared" si="39"/>
        <v>-9.5487163131876926E-2</v>
      </c>
      <c r="O107" s="14"/>
      <c r="P107" s="1">
        <f>SUM(OSRRefP22_12x_0)</f>
        <v>5672.2</v>
      </c>
      <c r="Q107" s="1"/>
      <c r="R107" s="5">
        <f t="shared" si="40"/>
        <v>3.8351316640416015E-2</v>
      </c>
      <c r="S107" s="1"/>
      <c r="T107" s="1">
        <f>SUM(OSRRefT22_12x_0)</f>
        <v>6271</v>
      </c>
      <c r="U107" s="1"/>
      <c r="V107" s="5">
        <f t="shared" si="41"/>
        <v>3.4638179879918032E-2</v>
      </c>
      <c r="W107" s="1"/>
      <c r="X107" s="1">
        <f t="shared" si="42"/>
        <v>-598.80000000000018</v>
      </c>
      <c r="Y107" s="1"/>
      <c r="Z107" s="5">
        <f t="shared" si="43"/>
        <v>-9.5487163131876926E-2</v>
      </c>
    </row>
    <row r="108" spans="1:26" s="24" customFormat="1" hidden="1" outlineLevel="2" x14ac:dyDescent="0.25">
      <c r="A108" s="27"/>
      <c r="B108" s="12" t="str">
        <f>CONCATENATE("          ", "6252", " - ", "ROYALTY DUE CSTV")</f>
        <v xml:space="preserve">          6252 - ROYALTY DUE CSTV</v>
      </c>
      <c r="C108" s="12"/>
      <c r="D108" s="7"/>
      <c r="E108" s="3"/>
      <c r="F108" s="8">
        <f t="shared" si="36"/>
        <v>0</v>
      </c>
      <c r="G108" s="3"/>
      <c r="H108" s="7">
        <v>1085</v>
      </c>
      <c r="I108" s="3"/>
      <c r="J108" s="8">
        <f t="shared" si="37"/>
        <v>5.9930513745353317E-3</v>
      </c>
      <c r="K108" s="3"/>
      <c r="L108" s="7">
        <f t="shared" si="38"/>
        <v>-1085</v>
      </c>
      <c r="M108" s="3"/>
      <c r="N108" s="8">
        <f t="shared" si="39"/>
        <v>-1</v>
      </c>
      <c r="O108" s="12"/>
      <c r="P108" s="7"/>
      <c r="Q108" s="3"/>
      <c r="R108" s="8">
        <f t="shared" si="40"/>
        <v>0</v>
      </c>
      <c r="S108" s="3"/>
      <c r="T108" s="7">
        <v>1085</v>
      </c>
      <c r="U108" s="3"/>
      <c r="V108" s="8">
        <f t="shared" si="41"/>
        <v>5.9930513745353317E-3</v>
      </c>
      <c r="W108" s="3"/>
      <c r="X108" s="7">
        <f t="shared" si="42"/>
        <v>-1085</v>
      </c>
      <c r="Y108" s="3"/>
      <c r="Z108" s="8">
        <f t="shared" si="43"/>
        <v>-1</v>
      </c>
    </row>
    <row r="109" spans="1:26" s="24" customFormat="1" hidden="1" outlineLevel="2" x14ac:dyDescent="0.25">
      <c r="A109" s="27"/>
      <c r="B109" s="12" t="str">
        <f>CONCATENATE("          ", "6253", " - ", "ROYALTY DUE ATHLETICS-LRG")</f>
        <v xml:space="preserve">          6253 - ROYALTY DUE ATHLETICS-LRG</v>
      </c>
      <c r="C109" s="12"/>
      <c r="D109" s="7">
        <v>5672.2</v>
      </c>
      <c r="E109" s="3"/>
      <c r="F109" s="8">
        <f t="shared" si="36"/>
        <v>3.8351316640416015E-2</v>
      </c>
      <c r="G109" s="3"/>
      <c r="H109" s="7">
        <v>4037</v>
      </c>
      <c r="I109" s="3"/>
      <c r="J109" s="8">
        <f t="shared" si="37"/>
        <v>2.2298569952994594E-2</v>
      </c>
      <c r="K109" s="3"/>
      <c r="L109" s="7">
        <f t="shared" si="38"/>
        <v>1635.1999999999998</v>
      </c>
      <c r="M109" s="3"/>
      <c r="N109" s="8">
        <f t="shared" si="39"/>
        <v>0.40505325736933362</v>
      </c>
      <c r="O109" s="12"/>
      <c r="P109" s="7">
        <v>5672.2</v>
      </c>
      <c r="Q109" s="3"/>
      <c r="R109" s="8">
        <f t="shared" si="40"/>
        <v>3.8351316640416015E-2</v>
      </c>
      <c r="S109" s="3"/>
      <c r="T109" s="7">
        <v>4037</v>
      </c>
      <c r="U109" s="3"/>
      <c r="V109" s="8">
        <f t="shared" si="41"/>
        <v>2.2298569952994594E-2</v>
      </c>
      <c r="W109" s="3"/>
      <c r="X109" s="7">
        <f t="shared" si="42"/>
        <v>1635.1999999999998</v>
      </c>
      <c r="Y109" s="3"/>
      <c r="Z109" s="8">
        <f t="shared" si="43"/>
        <v>0.40505325736933362</v>
      </c>
    </row>
    <row r="110" spans="1:26" s="24" customFormat="1" hidden="1" outlineLevel="2" x14ac:dyDescent="0.25">
      <c r="A110" s="27"/>
      <c r="B110" s="12" t="str">
        <f>CONCATENATE("          ", "6254", " - ", "ROYALTY &amp; COMMISSIONS")</f>
        <v xml:space="preserve">          6254 - ROYALTY &amp; COMMISSIONS</v>
      </c>
      <c r="C110" s="12"/>
      <c r="D110" s="7"/>
      <c r="E110" s="3"/>
      <c r="F110" s="8">
        <f t="shared" si="36"/>
        <v>0</v>
      </c>
      <c r="G110" s="3"/>
      <c r="H110" s="7">
        <v>1149</v>
      </c>
      <c r="I110" s="3"/>
      <c r="J110" s="8">
        <f t="shared" si="37"/>
        <v>6.346558552388107E-3</v>
      </c>
      <c r="K110" s="3"/>
      <c r="L110" s="7">
        <f t="shared" si="38"/>
        <v>-1149</v>
      </c>
      <c r="M110" s="3"/>
      <c r="N110" s="8">
        <f t="shared" si="39"/>
        <v>-1</v>
      </c>
      <c r="O110" s="12"/>
      <c r="P110" s="7"/>
      <c r="Q110" s="3"/>
      <c r="R110" s="8">
        <f t="shared" si="40"/>
        <v>0</v>
      </c>
      <c r="S110" s="3"/>
      <c r="T110" s="7">
        <v>1149</v>
      </c>
      <c r="U110" s="3"/>
      <c r="V110" s="8">
        <f t="shared" si="41"/>
        <v>6.346558552388107E-3</v>
      </c>
      <c r="W110" s="3"/>
      <c r="X110" s="7">
        <f t="shared" si="42"/>
        <v>-1149</v>
      </c>
      <c r="Y110" s="3"/>
      <c r="Z110" s="8">
        <f t="shared" si="43"/>
        <v>-1</v>
      </c>
    </row>
    <row r="111" spans="1:26" s="29" customFormat="1" outlineLevel="1" collapsed="1" x14ac:dyDescent="0.25">
      <c r="A111" s="28"/>
      <c r="B111" s="14" t="str">
        <f>CONCATENATE("     ","Subscriptions &amp; Dues                              ")</f>
        <v xml:space="preserve">     Subscriptions &amp; Dues                              </v>
      </c>
      <c r="C111" s="14"/>
      <c r="D111" s="1">
        <f>SUM(OSRRefD22_13x_0)</f>
        <v>0</v>
      </c>
      <c r="E111" s="1"/>
      <c r="F111" s="5">
        <f t="shared" ref="F111:F120" si="44">IF(D$12=0,0,D111/D$12)</f>
        <v>0</v>
      </c>
      <c r="G111" s="1"/>
      <c r="H111" s="1">
        <f>SUM(OSRRefH22_13x_0)</f>
        <v>1000</v>
      </c>
      <c r="I111" s="1"/>
      <c r="J111" s="5">
        <f t="shared" ref="J111:J120" si="45">IF(H$12=0,0,H111/H$12)</f>
        <v>5.5235496539496141E-3</v>
      </c>
      <c r="K111" s="1"/>
      <c r="L111" s="1">
        <f t="shared" ref="L111:L120" si="46">+D111-H111</f>
        <v>-1000</v>
      </c>
      <c r="M111" s="1"/>
      <c r="N111" s="5">
        <f t="shared" ref="N111:N120" si="47">IF(H111=0,0,L111/H111)</f>
        <v>-1</v>
      </c>
      <c r="O111" s="14"/>
      <c r="P111" s="1">
        <f>SUM(OSRRefP22_13x_0)</f>
        <v>0</v>
      </c>
      <c r="Q111" s="1"/>
      <c r="R111" s="5">
        <f t="shared" ref="R111:R120" si="48">IF(P$12=0,0,P111/P$12)</f>
        <v>0</v>
      </c>
      <c r="S111" s="1"/>
      <c r="T111" s="1">
        <f>SUM(OSRRefT22_13x_0)</f>
        <v>1000</v>
      </c>
      <c r="U111" s="1"/>
      <c r="V111" s="5">
        <f t="shared" ref="V111:V120" si="49">IF(T$12=0,0,T111/T$12)</f>
        <v>5.5235496539496141E-3</v>
      </c>
      <c r="W111" s="1"/>
      <c r="X111" s="1">
        <f t="shared" ref="X111:X120" si="50">+P111-T111</f>
        <v>-1000</v>
      </c>
      <c r="Y111" s="1"/>
      <c r="Z111" s="5">
        <f t="shared" ref="Z111:Z120" si="51">IF(T111=0,0,X111/T111)</f>
        <v>-1</v>
      </c>
    </row>
    <row r="112" spans="1:26" s="24" customFormat="1" hidden="1" outlineLevel="2" x14ac:dyDescent="0.25">
      <c r="A112" s="27"/>
      <c r="B112" s="12" t="str">
        <f>CONCATENATE("          ", "6258", " - ", "MEMBERSHIP DUES")</f>
        <v xml:space="preserve">          6258 - MEMBERSHIP DUES</v>
      </c>
      <c r="C112" s="12"/>
      <c r="D112" s="7"/>
      <c r="E112" s="3"/>
      <c r="F112" s="8">
        <f t="shared" si="44"/>
        <v>0</v>
      </c>
      <c r="G112" s="3"/>
      <c r="H112" s="7">
        <v>1000</v>
      </c>
      <c r="I112" s="3"/>
      <c r="J112" s="8">
        <f t="shared" si="45"/>
        <v>5.5235496539496141E-3</v>
      </c>
      <c r="K112" s="3"/>
      <c r="L112" s="7">
        <f t="shared" si="46"/>
        <v>-1000</v>
      </c>
      <c r="M112" s="3"/>
      <c r="N112" s="8">
        <f t="shared" si="47"/>
        <v>-1</v>
      </c>
      <c r="O112" s="12"/>
      <c r="P112" s="7"/>
      <c r="Q112" s="3"/>
      <c r="R112" s="8">
        <f t="shared" si="48"/>
        <v>0</v>
      </c>
      <c r="S112" s="3"/>
      <c r="T112" s="7">
        <v>1000</v>
      </c>
      <c r="U112" s="3"/>
      <c r="V112" s="8">
        <f t="shared" si="49"/>
        <v>5.5235496539496141E-3</v>
      </c>
      <c r="W112" s="3"/>
      <c r="X112" s="7">
        <f t="shared" si="50"/>
        <v>-1000</v>
      </c>
      <c r="Y112" s="3"/>
      <c r="Z112" s="8">
        <f t="shared" si="51"/>
        <v>-1</v>
      </c>
    </row>
    <row r="113" spans="1:26" s="29" customFormat="1" outlineLevel="1" collapsed="1" x14ac:dyDescent="0.25">
      <c r="A113" s="28"/>
      <c r="B113" s="14" t="str">
        <f>CONCATENATE("     ","Supplies                                          ")</f>
        <v xml:space="preserve">     Supplies                                          </v>
      </c>
      <c r="C113" s="14"/>
      <c r="D113" s="1">
        <f>SUM(OSRRefD22_14x_0)</f>
        <v>1009.76</v>
      </c>
      <c r="E113" s="1"/>
      <c r="F113" s="5">
        <f t="shared" si="44"/>
        <v>6.8272672844445683E-3</v>
      </c>
      <c r="G113" s="1"/>
      <c r="H113" s="1">
        <f>SUM(OSRRefH22_14x_0)</f>
        <v>450</v>
      </c>
      <c r="I113" s="1"/>
      <c r="J113" s="5">
        <f t="shared" si="45"/>
        <v>2.4855973442773262E-3</v>
      </c>
      <c r="K113" s="1"/>
      <c r="L113" s="1">
        <f t="shared" si="46"/>
        <v>559.76</v>
      </c>
      <c r="M113" s="1"/>
      <c r="N113" s="5">
        <f t="shared" si="47"/>
        <v>1.2439111111111112</v>
      </c>
      <c r="O113" s="14"/>
      <c r="P113" s="1">
        <f>SUM(OSRRefP22_14x_0)</f>
        <v>1009.76</v>
      </c>
      <c r="Q113" s="1"/>
      <c r="R113" s="5">
        <f t="shared" si="48"/>
        <v>6.8272672844445683E-3</v>
      </c>
      <c r="S113" s="1"/>
      <c r="T113" s="1">
        <f>SUM(OSRRefT22_14x_0)</f>
        <v>450</v>
      </c>
      <c r="U113" s="1"/>
      <c r="V113" s="5">
        <f t="shared" si="49"/>
        <v>2.4855973442773262E-3</v>
      </c>
      <c r="W113" s="1"/>
      <c r="X113" s="1">
        <f t="shared" si="50"/>
        <v>559.76</v>
      </c>
      <c r="Y113" s="1"/>
      <c r="Z113" s="5">
        <f t="shared" si="51"/>
        <v>1.2439111111111112</v>
      </c>
    </row>
    <row r="114" spans="1:26" s="24" customFormat="1" hidden="1" outlineLevel="2" x14ac:dyDescent="0.25">
      <c r="A114" s="27"/>
      <c r="B114" s="12" t="str">
        <f>CONCATENATE("          ", "6234", " - ", "EXPENDABLE SUPPLIES &amp; EQUIPMEN")</f>
        <v xml:space="preserve">          6234 - EXPENDABLE SUPPLIES &amp; EQUIPMEN</v>
      </c>
      <c r="C114" s="12"/>
      <c r="D114" s="7"/>
      <c r="E114" s="3"/>
      <c r="F114" s="8">
        <f t="shared" si="44"/>
        <v>0</v>
      </c>
      <c r="G114" s="3"/>
      <c r="H114" s="7">
        <v>50</v>
      </c>
      <c r="I114" s="3"/>
      <c r="J114" s="8">
        <f t="shared" si="45"/>
        <v>2.7617748269748068E-4</v>
      </c>
      <c r="K114" s="3"/>
      <c r="L114" s="7">
        <f t="shared" si="46"/>
        <v>-50</v>
      </c>
      <c r="M114" s="3"/>
      <c r="N114" s="8">
        <f t="shared" si="47"/>
        <v>-1</v>
      </c>
      <c r="O114" s="12"/>
      <c r="P114" s="7"/>
      <c r="Q114" s="3"/>
      <c r="R114" s="8">
        <f t="shared" si="48"/>
        <v>0</v>
      </c>
      <c r="S114" s="3"/>
      <c r="T114" s="7">
        <v>50</v>
      </c>
      <c r="U114" s="3"/>
      <c r="V114" s="8">
        <f t="shared" si="49"/>
        <v>2.7617748269748068E-4</v>
      </c>
      <c r="W114" s="3"/>
      <c r="X114" s="7">
        <f t="shared" si="50"/>
        <v>-50</v>
      </c>
      <c r="Y114" s="3"/>
      <c r="Z114" s="8">
        <f t="shared" si="51"/>
        <v>-1</v>
      </c>
    </row>
    <row r="115" spans="1:26" s="24" customFormat="1" hidden="1" outlineLevel="2" x14ac:dyDescent="0.25">
      <c r="A115" s="27"/>
      <c r="B115" s="12" t="str">
        <f>CONCATENATE("          ", "6235", " - ", "COVID-19 EXPENSES")</f>
        <v xml:space="preserve">          6235 - COVID-19 EXPENSES</v>
      </c>
      <c r="C115" s="12"/>
      <c r="D115" s="7">
        <v>961.38</v>
      </c>
      <c r="E115" s="3"/>
      <c r="F115" s="8">
        <f t="shared" si="44"/>
        <v>6.5001566925995471E-3</v>
      </c>
      <c r="G115" s="3"/>
      <c r="H115" s="7">
        <v>100</v>
      </c>
      <c r="I115" s="3"/>
      <c r="J115" s="8">
        <f t="shared" si="45"/>
        <v>5.5235496539496136E-4</v>
      </c>
      <c r="K115" s="3"/>
      <c r="L115" s="7">
        <f t="shared" si="46"/>
        <v>861.38</v>
      </c>
      <c r="M115" s="3"/>
      <c r="N115" s="8">
        <f t="shared" si="47"/>
        <v>8.6137999999999995</v>
      </c>
      <c r="O115" s="12"/>
      <c r="P115" s="7">
        <v>961.38</v>
      </c>
      <c r="Q115" s="3"/>
      <c r="R115" s="8">
        <f t="shared" si="48"/>
        <v>6.5001566925995471E-3</v>
      </c>
      <c r="S115" s="3"/>
      <c r="T115" s="7">
        <v>100</v>
      </c>
      <c r="U115" s="3"/>
      <c r="V115" s="8">
        <f t="shared" si="49"/>
        <v>5.5235496539496136E-4</v>
      </c>
      <c r="W115" s="3"/>
      <c r="X115" s="7">
        <f t="shared" si="50"/>
        <v>861.38</v>
      </c>
      <c r="Y115" s="3"/>
      <c r="Z115" s="8">
        <f t="shared" si="51"/>
        <v>8.6137999999999995</v>
      </c>
    </row>
    <row r="116" spans="1:26" s="24" customFormat="1" hidden="1" outlineLevel="2" x14ac:dyDescent="0.25">
      <c r="A116" s="27"/>
      <c r="B116" s="12" t="str">
        <f>CONCATENATE("          ", "6237", " - ", "JANITORIAL SUPPLIES")</f>
        <v xml:space="preserve">          6237 - JANITORIAL SUPPLIES</v>
      </c>
      <c r="C116" s="12"/>
      <c r="D116" s="7"/>
      <c r="E116" s="3"/>
      <c r="F116" s="8">
        <f t="shared" si="44"/>
        <v>0</v>
      </c>
      <c r="G116" s="3"/>
      <c r="H116" s="7">
        <v>50</v>
      </c>
      <c r="I116" s="3"/>
      <c r="J116" s="8">
        <f t="shared" si="45"/>
        <v>2.7617748269748068E-4</v>
      </c>
      <c r="K116" s="3"/>
      <c r="L116" s="7">
        <f t="shared" si="46"/>
        <v>-50</v>
      </c>
      <c r="M116" s="3"/>
      <c r="N116" s="8">
        <f t="shared" si="47"/>
        <v>-1</v>
      </c>
      <c r="O116" s="12"/>
      <c r="P116" s="7"/>
      <c r="Q116" s="3"/>
      <c r="R116" s="8">
        <f t="shared" si="48"/>
        <v>0</v>
      </c>
      <c r="S116" s="3"/>
      <c r="T116" s="7">
        <v>50</v>
      </c>
      <c r="U116" s="3"/>
      <c r="V116" s="8">
        <f t="shared" si="49"/>
        <v>2.7617748269748068E-4</v>
      </c>
      <c r="W116" s="3"/>
      <c r="X116" s="7">
        <f t="shared" si="50"/>
        <v>-50</v>
      </c>
      <c r="Y116" s="3"/>
      <c r="Z116" s="8">
        <f t="shared" si="51"/>
        <v>-1</v>
      </c>
    </row>
    <row r="117" spans="1:26" s="24" customFormat="1" hidden="1" outlineLevel="2" x14ac:dyDescent="0.25">
      <c r="A117" s="27"/>
      <c r="B117" s="12" t="str">
        <f>CONCATENATE("          ", "6241", " - ", "OFFICE EXPENSE")</f>
        <v xml:space="preserve">          6241 - OFFICE EXPENSE</v>
      </c>
      <c r="C117" s="12"/>
      <c r="D117" s="7">
        <v>48.38</v>
      </c>
      <c r="E117" s="3"/>
      <c r="F117" s="8">
        <f t="shared" si="44"/>
        <v>3.2711059184502083E-4</v>
      </c>
      <c r="G117" s="3"/>
      <c r="H117" s="7">
        <v>100</v>
      </c>
      <c r="I117" s="3"/>
      <c r="J117" s="8">
        <f t="shared" si="45"/>
        <v>5.5235496539496136E-4</v>
      </c>
      <c r="K117" s="3"/>
      <c r="L117" s="7">
        <f t="shared" si="46"/>
        <v>-51.62</v>
      </c>
      <c r="M117" s="3"/>
      <c r="N117" s="8">
        <f t="shared" si="47"/>
        <v>-0.51619999999999999</v>
      </c>
      <c r="O117" s="12"/>
      <c r="P117" s="7">
        <v>48.38</v>
      </c>
      <c r="Q117" s="3"/>
      <c r="R117" s="8">
        <f t="shared" si="48"/>
        <v>3.2711059184502083E-4</v>
      </c>
      <c r="S117" s="3"/>
      <c r="T117" s="7">
        <v>100</v>
      </c>
      <c r="U117" s="3"/>
      <c r="V117" s="8">
        <f t="shared" si="49"/>
        <v>5.5235496539496136E-4</v>
      </c>
      <c r="W117" s="3"/>
      <c r="X117" s="7">
        <f t="shared" si="50"/>
        <v>-51.62</v>
      </c>
      <c r="Y117" s="3"/>
      <c r="Z117" s="8">
        <f t="shared" si="51"/>
        <v>-0.51619999999999999</v>
      </c>
    </row>
    <row r="118" spans="1:26" s="24" customFormat="1" hidden="1" outlineLevel="2" x14ac:dyDescent="0.25">
      <c r="A118" s="27"/>
      <c r="B118" s="12" t="str">
        <f>CONCATENATE("          ", "6243", " - ", "PAPER SUPPLIES")</f>
        <v xml:space="preserve">          6243 - PAPER SUPPLIES</v>
      </c>
      <c r="C118" s="12"/>
      <c r="D118" s="7"/>
      <c r="E118" s="3"/>
      <c r="F118" s="8">
        <f t="shared" si="44"/>
        <v>0</v>
      </c>
      <c r="G118" s="3"/>
      <c r="H118" s="7">
        <v>50</v>
      </c>
      <c r="I118" s="3"/>
      <c r="J118" s="8">
        <f t="shared" si="45"/>
        <v>2.7617748269748068E-4</v>
      </c>
      <c r="K118" s="3"/>
      <c r="L118" s="7">
        <f t="shared" si="46"/>
        <v>-50</v>
      </c>
      <c r="M118" s="3"/>
      <c r="N118" s="8">
        <f t="shared" si="47"/>
        <v>-1</v>
      </c>
      <c r="O118" s="12"/>
      <c r="P118" s="7"/>
      <c r="Q118" s="3"/>
      <c r="R118" s="8">
        <f t="shared" si="48"/>
        <v>0</v>
      </c>
      <c r="S118" s="3"/>
      <c r="T118" s="7">
        <v>50</v>
      </c>
      <c r="U118" s="3"/>
      <c r="V118" s="8">
        <f t="shared" si="49"/>
        <v>2.7617748269748068E-4</v>
      </c>
      <c r="W118" s="3"/>
      <c r="X118" s="7">
        <f t="shared" si="50"/>
        <v>-50</v>
      </c>
      <c r="Y118" s="3"/>
      <c r="Z118" s="8">
        <f t="shared" si="51"/>
        <v>-1</v>
      </c>
    </row>
    <row r="119" spans="1:26" s="24" customFormat="1" hidden="1" outlineLevel="2" x14ac:dyDescent="0.25">
      <c r="A119" s="27"/>
      <c r="B119" s="12" t="str">
        <f>CONCATENATE("          ", "6245", " - ", "PRINTING")</f>
        <v xml:space="preserve">          6245 - PRINTING</v>
      </c>
      <c r="C119" s="12"/>
      <c r="D119" s="7"/>
      <c r="E119" s="3"/>
      <c r="F119" s="8">
        <f t="shared" si="44"/>
        <v>0</v>
      </c>
      <c r="G119" s="3"/>
      <c r="H119" s="7">
        <v>50</v>
      </c>
      <c r="I119" s="3"/>
      <c r="J119" s="8">
        <f t="shared" si="45"/>
        <v>2.7617748269748068E-4</v>
      </c>
      <c r="K119" s="3"/>
      <c r="L119" s="7">
        <f t="shared" si="46"/>
        <v>-50</v>
      </c>
      <c r="M119" s="3"/>
      <c r="N119" s="8">
        <f t="shared" si="47"/>
        <v>-1</v>
      </c>
      <c r="O119" s="12"/>
      <c r="P119" s="7"/>
      <c r="Q119" s="3"/>
      <c r="R119" s="8">
        <f t="shared" si="48"/>
        <v>0</v>
      </c>
      <c r="S119" s="3"/>
      <c r="T119" s="7">
        <v>50</v>
      </c>
      <c r="U119" s="3"/>
      <c r="V119" s="8">
        <f t="shared" si="49"/>
        <v>2.7617748269748068E-4</v>
      </c>
      <c r="W119" s="3"/>
      <c r="X119" s="7">
        <f t="shared" si="50"/>
        <v>-50</v>
      </c>
      <c r="Y119" s="3"/>
      <c r="Z119" s="8">
        <f t="shared" si="51"/>
        <v>-1</v>
      </c>
    </row>
    <row r="120" spans="1:26" s="24" customFormat="1" hidden="1" outlineLevel="2" x14ac:dyDescent="0.25">
      <c r="A120" s="27"/>
      <c r="B120" s="12" t="str">
        <f>CONCATENATE("          ", "6247", " - ", "STORE SUPPLIES")</f>
        <v xml:space="preserve">          6247 - STORE SUPPLIES</v>
      </c>
      <c r="C120" s="12"/>
      <c r="D120" s="7"/>
      <c r="E120" s="3"/>
      <c r="F120" s="8">
        <f t="shared" si="44"/>
        <v>0</v>
      </c>
      <c r="G120" s="3"/>
      <c r="H120" s="7">
        <v>50</v>
      </c>
      <c r="I120" s="3"/>
      <c r="J120" s="8">
        <f t="shared" si="45"/>
        <v>2.7617748269748068E-4</v>
      </c>
      <c r="K120" s="3"/>
      <c r="L120" s="7">
        <f t="shared" si="46"/>
        <v>-50</v>
      </c>
      <c r="M120" s="3"/>
      <c r="N120" s="8">
        <f t="shared" si="47"/>
        <v>-1</v>
      </c>
      <c r="O120" s="12"/>
      <c r="P120" s="7"/>
      <c r="Q120" s="3"/>
      <c r="R120" s="8">
        <f t="shared" si="48"/>
        <v>0</v>
      </c>
      <c r="S120" s="3"/>
      <c r="T120" s="7">
        <v>50</v>
      </c>
      <c r="U120" s="3"/>
      <c r="V120" s="8">
        <f t="shared" si="49"/>
        <v>2.7617748269748068E-4</v>
      </c>
      <c r="W120" s="3"/>
      <c r="X120" s="7">
        <f t="shared" si="50"/>
        <v>-50</v>
      </c>
      <c r="Y120" s="3"/>
      <c r="Z120" s="8">
        <f t="shared" si="51"/>
        <v>-1</v>
      </c>
    </row>
    <row r="121" spans="1:26" s="29" customFormat="1" outlineLevel="1" collapsed="1" x14ac:dyDescent="0.25">
      <c r="A121" s="28"/>
      <c r="B121" s="14" t="str">
        <f>CONCATENATE("     ","Telephone/Data Lines                              ")</f>
        <v xml:space="preserve">     Telephone/Data Lines                              </v>
      </c>
      <c r="C121" s="14"/>
      <c r="D121" s="1">
        <f>SUM(OSRRefD22_15x_0)</f>
        <v>514.22</v>
      </c>
      <c r="E121" s="1"/>
      <c r="F121" s="5">
        <f t="shared" ref="F121:F125" si="52">IF(D$12=0,0,D121/D$12)</f>
        <v>3.4767839714457752E-3</v>
      </c>
      <c r="G121" s="1"/>
      <c r="H121" s="1">
        <f>SUM(OSRRefH22_15x_0)</f>
        <v>600</v>
      </c>
      <c r="I121" s="1"/>
      <c r="J121" s="5">
        <f t="shared" ref="J121:J125" si="53">IF(H$12=0,0,H121/H$12)</f>
        <v>3.3141297923697686E-3</v>
      </c>
      <c r="K121" s="1"/>
      <c r="L121" s="1">
        <f t="shared" ref="L121:L125" si="54">+D121-H121</f>
        <v>-85.779999999999973</v>
      </c>
      <c r="M121" s="1"/>
      <c r="N121" s="5">
        <f t="shared" ref="N121:N125" si="55">IF(H121=0,0,L121/H121)</f>
        <v>-0.14296666666666663</v>
      </c>
      <c r="O121" s="14"/>
      <c r="P121" s="1">
        <f>SUM(OSRRefP22_15x_0)</f>
        <v>514.22</v>
      </c>
      <c r="Q121" s="1"/>
      <c r="R121" s="5">
        <f t="shared" ref="R121:R125" si="56">IF(P$12=0,0,P121/P$12)</f>
        <v>3.4767839714457752E-3</v>
      </c>
      <c r="S121" s="1"/>
      <c r="T121" s="1">
        <f>SUM(OSRRefT22_15x_0)</f>
        <v>600</v>
      </c>
      <c r="U121" s="1"/>
      <c r="V121" s="5">
        <f t="shared" ref="V121:V125" si="57">IF(T$12=0,0,T121/T$12)</f>
        <v>3.3141297923697686E-3</v>
      </c>
      <c r="W121" s="1"/>
      <c r="X121" s="1">
        <f t="shared" ref="X121:X125" si="58">+P121-T121</f>
        <v>-85.779999999999973</v>
      </c>
      <c r="Y121" s="1"/>
      <c r="Z121" s="5">
        <f t="shared" ref="Z121:Z125" si="59">IF(T121=0,0,X121/T121)</f>
        <v>-0.14296666666666663</v>
      </c>
    </row>
    <row r="122" spans="1:26" s="24" customFormat="1" hidden="1" outlineLevel="2" x14ac:dyDescent="0.25">
      <c r="A122" s="27"/>
      <c r="B122" s="12" t="str">
        <f>CONCATENATE("          ", "6309", " - ", "TELEPHONE")</f>
        <v xml:space="preserve">          6309 - TELEPHONE</v>
      </c>
      <c r="C122" s="12"/>
      <c r="D122" s="7">
        <v>514.22</v>
      </c>
      <c r="E122" s="3"/>
      <c r="F122" s="8">
        <f t="shared" si="52"/>
        <v>3.4767839714457752E-3</v>
      </c>
      <c r="G122" s="3"/>
      <c r="H122" s="7">
        <v>600</v>
      </c>
      <c r="I122" s="3"/>
      <c r="J122" s="8">
        <f t="shared" si="53"/>
        <v>3.3141297923697686E-3</v>
      </c>
      <c r="K122" s="3"/>
      <c r="L122" s="7">
        <f t="shared" si="54"/>
        <v>-85.779999999999973</v>
      </c>
      <c r="M122" s="3"/>
      <c r="N122" s="8">
        <f t="shared" si="55"/>
        <v>-0.14296666666666663</v>
      </c>
      <c r="O122" s="12"/>
      <c r="P122" s="7">
        <v>514.22</v>
      </c>
      <c r="Q122" s="3"/>
      <c r="R122" s="8">
        <f t="shared" si="56"/>
        <v>3.4767839714457752E-3</v>
      </c>
      <c r="S122" s="3"/>
      <c r="T122" s="7">
        <v>600</v>
      </c>
      <c r="U122" s="3"/>
      <c r="V122" s="8">
        <f t="shared" si="57"/>
        <v>3.3141297923697686E-3</v>
      </c>
      <c r="W122" s="3"/>
      <c r="X122" s="7">
        <f t="shared" si="58"/>
        <v>-85.779999999999973</v>
      </c>
      <c r="Y122" s="3"/>
      <c r="Z122" s="8">
        <f t="shared" si="59"/>
        <v>-0.14296666666666663</v>
      </c>
    </row>
    <row r="123" spans="1:26" s="29" customFormat="1" outlineLevel="1" collapsed="1" x14ac:dyDescent="0.25">
      <c r="A123" s="28"/>
      <c r="B123" s="14" t="str">
        <f>CONCATENATE("     ","Travel                                            ")</f>
        <v xml:space="preserve">     Travel                                            </v>
      </c>
      <c r="C123" s="14"/>
      <c r="D123" s="1">
        <f>SUM(OSRRefD22_16x_0)</f>
        <v>0</v>
      </c>
      <c r="E123" s="1"/>
      <c r="F123" s="5">
        <f t="shared" si="52"/>
        <v>0</v>
      </c>
      <c r="G123" s="1"/>
      <c r="H123" s="1">
        <f>SUM(OSRRefH22_16x_0)</f>
        <v>25</v>
      </c>
      <c r="I123" s="1"/>
      <c r="J123" s="5">
        <f t="shared" si="53"/>
        <v>1.3808874134874034E-4</v>
      </c>
      <c r="K123" s="1"/>
      <c r="L123" s="1">
        <f t="shared" si="54"/>
        <v>-25</v>
      </c>
      <c r="M123" s="1"/>
      <c r="N123" s="5">
        <f t="shared" si="55"/>
        <v>-1</v>
      </c>
      <c r="O123" s="14"/>
      <c r="P123" s="1">
        <f>SUM(OSRRefP22_16x_0)</f>
        <v>0</v>
      </c>
      <c r="Q123" s="1"/>
      <c r="R123" s="5">
        <f t="shared" si="56"/>
        <v>0</v>
      </c>
      <c r="S123" s="1"/>
      <c r="T123" s="1">
        <f>SUM(OSRRefT22_16x_0)</f>
        <v>25</v>
      </c>
      <c r="U123" s="1"/>
      <c r="V123" s="5">
        <f t="shared" si="57"/>
        <v>1.3808874134874034E-4</v>
      </c>
      <c r="W123" s="1"/>
      <c r="X123" s="1">
        <f t="shared" si="58"/>
        <v>-25</v>
      </c>
      <c r="Y123" s="1"/>
      <c r="Z123" s="5">
        <f t="shared" si="59"/>
        <v>-1</v>
      </c>
    </row>
    <row r="124" spans="1:26" s="24" customFormat="1" hidden="1" outlineLevel="2" x14ac:dyDescent="0.25">
      <c r="A124" s="27"/>
      <c r="B124" s="12" t="str">
        <f>CONCATENATE("          ", "6294", " - ", "TRAVEL OPERATIONAL")</f>
        <v xml:space="preserve">          6294 - TRAVEL OPERATIONAL</v>
      </c>
      <c r="C124" s="12"/>
      <c r="D124" s="7"/>
      <c r="E124" s="3"/>
      <c r="F124" s="8">
        <f t="shared" si="52"/>
        <v>0</v>
      </c>
      <c r="G124" s="3"/>
      <c r="H124" s="7">
        <v>25</v>
      </c>
      <c r="I124" s="3"/>
      <c r="J124" s="8">
        <f t="shared" si="53"/>
        <v>1.3808874134874034E-4</v>
      </c>
      <c r="K124" s="3"/>
      <c r="L124" s="7">
        <f t="shared" si="54"/>
        <v>-25</v>
      </c>
      <c r="M124" s="3"/>
      <c r="N124" s="8">
        <f t="shared" si="55"/>
        <v>-1</v>
      </c>
      <c r="O124" s="12"/>
      <c r="P124" s="7"/>
      <c r="Q124" s="3"/>
      <c r="R124" s="8">
        <f t="shared" si="56"/>
        <v>0</v>
      </c>
      <c r="S124" s="3"/>
      <c r="T124" s="7">
        <v>25</v>
      </c>
      <c r="U124" s="3"/>
      <c r="V124" s="8">
        <f t="shared" si="57"/>
        <v>1.3808874134874034E-4</v>
      </c>
      <c r="W124" s="3"/>
      <c r="X124" s="7">
        <f t="shared" si="58"/>
        <v>-25</v>
      </c>
      <c r="Y124" s="3"/>
      <c r="Z124" s="8">
        <f t="shared" si="59"/>
        <v>-1</v>
      </c>
    </row>
    <row r="125" spans="1:26" s="24" customFormat="1" hidden="1" outlineLevel="2" x14ac:dyDescent="0.25">
      <c r="A125" s="27"/>
      <c r="B125" s="12" t="str">
        <f>CONCATENATE("          ", "6298", " - ", "VEHICLE MILEAGE")</f>
        <v xml:space="preserve">          6298 - VEHICLE MILEAGE</v>
      </c>
      <c r="C125" s="12"/>
      <c r="D125" s="7"/>
      <c r="E125" s="3"/>
      <c r="F125" s="8">
        <f t="shared" si="52"/>
        <v>0</v>
      </c>
      <c r="G125" s="3"/>
      <c r="H125" s="7">
        <v>0</v>
      </c>
      <c r="I125" s="3"/>
      <c r="J125" s="8">
        <f t="shared" si="53"/>
        <v>0</v>
      </c>
      <c r="K125" s="3"/>
      <c r="L125" s="7">
        <f t="shared" si="54"/>
        <v>0</v>
      </c>
      <c r="M125" s="3"/>
      <c r="N125" s="8">
        <f t="shared" si="55"/>
        <v>0</v>
      </c>
      <c r="O125" s="12"/>
      <c r="P125" s="7"/>
      <c r="Q125" s="3"/>
      <c r="R125" s="8">
        <f t="shared" si="56"/>
        <v>0</v>
      </c>
      <c r="S125" s="3"/>
      <c r="T125" s="7">
        <v>0</v>
      </c>
      <c r="U125" s="3"/>
      <c r="V125" s="8">
        <f t="shared" si="57"/>
        <v>0</v>
      </c>
      <c r="W125" s="3"/>
      <c r="X125" s="7">
        <f t="shared" si="58"/>
        <v>0</v>
      </c>
      <c r="Y125" s="3"/>
      <c r="Z125" s="8">
        <f t="shared" si="59"/>
        <v>0</v>
      </c>
    </row>
    <row r="126" spans="1:26" s="54" customFormat="1" x14ac:dyDescent="0.25">
      <c r="A126" s="36"/>
      <c r="B126" s="36"/>
      <c r="C126" s="36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6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2" customFormat="1" collapsed="1" x14ac:dyDescent="0.25">
      <c r="A127" s="10"/>
      <c r="B127" s="26" t="s">
        <v>0</v>
      </c>
      <c r="C127" s="10"/>
      <c r="D127" s="4">
        <f>SUM(OSRRefD25x_0)</f>
        <v>172008.31</v>
      </c>
      <c r="E127" s="4"/>
      <c r="F127" s="11">
        <f t="shared" ref="F127:F130" si="60">IF(D$12=0,0,D127/D$12)</f>
        <v>1.162995867845428</v>
      </c>
      <c r="G127" s="4"/>
      <c r="H127" s="4">
        <f>SUM(OSRRefH25x_0)</f>
        <v>8075</v>
      </c>
      <c r="I127" s="4"/>
      <c r="J127" s="11">
        <f t="shared" ref="J127:J130" si="61">IF(H$12=0,0,H127/H$12)</f>
        <v>4.4602663455643135E-2</v>
      </c>
      <c r="K127" s="4"/>
      <c r="L127" s="4">
        <f t="shared" ref="L127:L130" si="62">+D127-H127</f>
        <v>163933.31</v>
      </c>
      <c r="M127" s="4"/>
      <c r="N127" s="11">
        <f t="shared" ref="N127:N130" si="63">IF(H127=0,0,L127/H127)</f>
        <v>20.301338699690401</v>
      </c>
      <c r="O127" s="10"/>
      <c r="P127" s="4">
        <f>SUM(OSRRefP25x_0)</f>
        <v>172008.31</v>
      </c>
      <c r="Q127" s="4"/>
      <c r="R127" s="11">
        <f t="shared" ref="R127:R130" si="64">IF(P$12=0,0,P127/P$12)</f>
        <v>1.162995867845428</v>
      </c>
      <c r="S127" s="4"/>
      <c r="T127" s="4">
        <f>SUM(OSRRefT25x_0)</f>
        <v>8075</v>
      </c>
      <c r="U127" s="4"/>
      <c r="V127" s="11">
        <f t="shared" ref="V127:V130" si="65">IF(T$12=0,0,T127/T$12)</f>
        <v>4.4602663455643135E-2</v>
      </c>
      <c r="W127" s="4"/>
      <c r="X127" s="4">
        <f t="shared" ref="X127:X130" si="66">+P127-T127</f>
        <v>163933.31</v>
      </c>
      <c r="Y127" s="4"/>
      <c r="Z127" s="11">
        <f t="shared" ref="Z127:Z130" si="67">IF(T127=0,0,X127/T127)</f>
        <v>20.301338699690401</v>
      </c>
    </row>
    <row r="128" spans="1:26" s="24" customFormat="1" hidden="1" outlineLevel="1" x14ac:dyDescent="0.25">
      <c r="A128" s="51"/>
      <c r="B128" s="12" t="str">
        <f>CONCATENATE("          ", "9150", " - ", "MISC. INCOME")</f>
        <v xml:space="preserve">          9150 - MISC. INCOME</v>
      </c>
      <c r="C128" s="12"/>
      <c r="D128" s="3">
        <f>--11344.41</f>
        <v>11344.41</v>
      </c>
      <c r="E128" s="3"/>
      <c r="F128" s="23">
        <f t="shared" si="60"/>
        <v>7.6702700893604217E-2</v>
      </c>
      <c r="G128" s="3"/>
      <c r="H128" s="3">
        <v>8075</v>
      </c>
      <c r="I128" s="3"/>
      <c r="J128" s="23">
        <f t="shared" si="61"/>
        <v>4.4602663455643135E-2</v>
      </c>
      <c r="K128" s="3"/>
      <c r="L128" s="3">
        <f t="shared" si="62"/>
        <v>3269.41</v>
      </c>
      <c r="M128" s="3"/>
      <c r="N128" s="23">
        <f t="shared" si="63"/>
        <v>0.40488049535603715</v>
      </c>
      <c r="O128" s="12"/>
      <c r="P128" s="3">
        <f>--11344.41</f>
        <v>11344.41</v>
      </c>
      <c r="Q128" s="3"/>
      <c r="R128" s="23">
        <f t="shared" si="64"/>
        <v>7.6702700893604217E-2</v>
      </c>
      <c r="S128" s="3"/>
      <c r="T128" s="3">
        <v>8075</v>
      </c>
      <c r="U128" s="3"/>
      <c r="V128" s="23">
        <f t="shared" si="65"/>
        <v>4.4602663455643135E-2</v>
      </c>
      <c r="W128" s="3"/>
      <c r="X128" s="3">
        <f t="shared" si="66"/>
        <v>3269.41</v>
      </c>
      <c r="Y128" s="3"/>
      <c r="Z128" s="23">
        <f t="shared" si="67"/>
        <v>0.40488049535603715</v>
      </c>
    </row>
    <row r="129" spans="1:26" s="24" customFormat="1" hidden="1" outlineLevel="1" x14ac:dyDescent="0.25">
      <c r="A129" s="51"/>
      <c r="B129" s="12" t="str">
        <f>CONCATENATE("          ", "9151", " - ", "MISC. INCOME")</f>
        <v xml:space="preserve">          9151 - MISC. INCOME</v>
      </c>
      <c r="C129" s="12"/>
      <c r="D129" s="3">
        <f>0</f>
        <v>0</v>
      </c>
      <c r="E129" s="3"/>
      <c r="F129" s="23">
        <f t="shared" si="60"/>
        <v>0</v>
      </c>
      <c r="G129" s="3"/>
      <c r="H129" s="3">
        <v>0</v>
      </c>
      <c r="I129" s="3"/>
      <c r="J129" s="23">
        <f t="shared" si="61"/>
        <v>0</v>
      </c>
      <c r="K129" s="3"/>
      <c r="L129" s="3">
        <f t="shared" si="62"/>
        <v>0</v>
      </c>
      <c r="M129" s="3"/>
      <c r="N129" s="23">
        <f t="shared" si="63"/>
        <v>0</v>
      </c>
      <c r="O129" s="12"/>
      <c r="P129" s="3">
        <f>0</f>
        <v>0</v>
      </c>
      <c r="Q129" s="3"/>
      <c r="R129" s="23">
        <f t="shared" si="64"/>
        <v>0</v>
      </c>
      <c r="S129" s="3"/>
      <c r="T129" s="3">
        <v>0</v>
      </c>
      <c r="U129" s="3"/>
      <c r="V129" s="23">
        <f t="shared" si="65"/>
        <v>0</v>
      </c>
      <c r="W129" s="3"/>
      <c r="X129" s="3">
        <f t="shared" si="66"/>
        <v>0</v>
      </c>
      <c r="Y129" s="3"/>
      <c r="Z129" s="23">
        <f t="shared" si="67"/>
        <v>0</v>
      </c>
    </row>
    <row r="130" spans="1:26" s="24" customFormat="1" hidden="1" outlineLevel="1" x14ac:dyDescent="0.25">
      <c r="A130" s="51"/>
      <c r="B130" s="12" t="str">
        <f>CONCATENATE("          ", "9163", " - ", "MISC. INCOME")</f>
        <v xml:space="preserve">          9163 - MISC. INCOME</v>
      </c>
      <c r="C130" s="12"/>
      <c r="D130" s="3">
        <f>--160663.9</f>
        <v>160663.9</v>
      </c>
      <c r="E130" s="3"/>
      <c r="F130" s="23">
        <f t="shared" si="60"/>
        <v>1.0862931669518239</v>
      </c>
      <c r="G130" s="3"/>
      <c r="H130" s="3"/>
      <c r="I130" s="3"/>
      <c r="J130" s="23">
        <f t="shared" si="61"/>
        <v>0</v>
      </c>
      <c r="K130" s="3"/>
      <c r="L130" s="3">
        <f t="shared" si="62"/>
        <v>160663.9</v>
      </c>
      <c r="M130" s="3"/>
      <c r="N130" s="23">
        <f t="shared" si="63"/>
        <v>0</v>
      </c>
      <c r="O130" s="12"/>
      <c r="P130" s="3">
        <f>--160663.9</f>
        <v>160663.9</v>
      </c>
      <c r="Q130" s="3"/>
      <c r="R130" s="23">
        <f t="shared" si="64"/>
        <v>1.0862931669518239</v>
      </c>
      <c r="S130" s="3"/>
      <c r="T130" s="3"/>
      <c r="U130" s="3"/>
      <c r="V130" s="23">
        <f t="shared" si="65"/>
        <v>0</v>
      </c>
      <c r="W130" s="3"/>
      <c r="X130" s="3">
        <f t="shared" si="66"/>
        <v>160663.9</v>
      </c>
      <c r="Y130" s="3"/>
      <c r="Z130" s="23">
        <f t="shared" si="67"/>
        <v>0</v>
      </c>
    </row>
    <row r="131" spans="1:26" x14ac:dyDescent="0.25">
      <c r="A131" s="9"/>
      <c r="B131" s="10"/>
      <c r="C131" s="10"/>
      <c r="D131" s="2"/>
      <c r="E131" s="2"/>
      <c r="F131" s="6"/>
      <c r="G131" s="2"/>
      <c r="H131" s="2"/>
      <c r="I131" s="2"/>
      <c r="J131" s="6"/>
      <c r="K131" s="2"/>
      <c r="L131" s="2"/>
      <c r="M131" s="2"/>
      <c r="N131" s="6"/>
      <c r="O131" s="10"/>
      <c r="P131" s="2"/>
      <c r="Q131" s="2"/>
      <c r="R131" s="6"/>
      <c r="S131" s="2"/>
      <c r="T131" s="2"/>
      <c r="U131" s="2"/>
      <c r="V131" s="6"/>
      <c r="W131" s="2"/>
      <c r="X131" s="2"/>
      <c r="Y131" s="2"/>
      <c r="Z131" s="6"/>
    </row>
    <row r="132" spans="1:26" s="22" customFormat="1" x14ac:dyDescent="0.25">
      <c r="A132" s="10"/>
      <c r="B132" s="25" t="s">
        <v>3</v>
      </c>
      <c r="C132" s="25"/>
      <c r="D132" s="21">
        <f>+D62-D64+D127</f>
        <v>180028.35999999996</v>
      </c>
      <c r="E132" s="13"/>
      <c r="F132" s="20">
        <f>IF(D$12=0,0,D132/D$12)</f>
        <v>1.217221649203978</v>
      </c>
      <c r="G132" s="13"/>
      <c r="H132" s="21">
        <f>+H62-H64+H127</f>
        <v>8393.8393511538306</v>
      </c>
      <c r="I132" s="13"/>
      <c r="J132" s="20">
        <f>IF(H$12=0,0,H132/H$12)</f>
        <v>4.6363788443374396E-2</v>
      </c>
      <c r="K132" s="15"/>
      <c r="L132" s="21">
        <f>+D132-H132</f>
        <v>171634.52064884611</v>
      </c>
      <c r="M132" s="15"/>
      <c r="N132" s="20">
        <f>IF(H132=0,0,L132/H132)</f>
        <v>20.447677572629853</v>
      </c>
      <c r="O132" s="26"/>
      <c r="P132" s="21">
        <f>+P62-P64+P127</f>
        <v>180028.35999999996</v>
      </c>
      <c r="Q132" s="13"/>
      <c r="R132" s="20">
        <f>IF(P$12=0,0,P132/P$12)</f>
        <v>1.217221649203978</v>
      </c>
      <c r="S132" s="13"/>
      <c r="T132" s="21">
        <f>+T62-T64+T127</f>
        <v>8393.8393511538306</v>
      </c>
      <c r="U132" s="13"/>
      <c r="V132" s="20">
        <f>IF(T$12=0,0,T132/T$12)</f>
        <v>4.6363788443374396E-2</v>
      </c>
      <c r="W132" s="15"/>
      <c r="X132" s="21">
        <f>+P132-T132</f>
        <v>171634.52064884611</v>
      </c>
      <c r="Y132" s="15"/>
      <c r="Z132" s="20">
        <f>IF(T132=0,0,X132/T132)</f>
        <v>20.447677572629853</v>
      </c>
    </row>
    <row r="133" spans="1:26" x14ac:dyDescent="0.25">
      <c r="A133" s="9"/>
      <c r="B133" s="10"/>
      <c r="C133" s="9"/>
      <c r="D133" s="2"/>
      <c r="E133" s="2"/>
      <c r="F133" s="6"/>
      <c r="G133" s="2"/>
      <c r="H133" s="2"/>
      <c r="I133" s="2"/>
      <c r="J133" s="6"/>
      <c r="K133" s="2"/>
      <c r="L133" s="2"/>
      <c r="M133" s="2"/>
      <c r="N133" s="6"/>
      <c r="P133" s="2"/>
      <c r="Q133" s="2"/>
      <c r="R133" s="6"/>
      <c r="S133" s="2"/>
      <c r="T133" s="2"/>
      <c r="U133" s="2"/>
      <c r="V133" s="6"/>
      <c r="W133" s="2"/>
      <c r="X133" s="2"/>
      <c r="Y133" s="2"/>
      <c r="Z133" s="6"/>
    </row>
    <row r="134" spans="1:26" s="22" customFormat="1" x14ac:dyDescent="0.25">
      <c r="A134" s="52"/>
      <c r="B134" s="10" t="s">
        <v>14</v>
      </c>
      <c r="C134" s="10"/>
      <c r="D134" s="4">
        <v>75751.090000000011</v>
      </c>
      <c r="E134" s="4"/>
      <c r="F134" s="11">
        <f>IF(D$12=0,0,D134/D$12)</f>
        <v>0.51217411911544941</v>
      </c>
      <c r="G134" s="4"/>
      <c r="H134" s="4">
        <v>87943</v>
      </c>
      <c r="I134" s="4"/>
      <c r="J134" s="11">
        <f>IF(H$12=0,0,H134/H$12)</f>
        <v>0.48575752721729093</v>
      </c>
      <c r="K134" s="4"/>
      <c r="L134" s="4">
        <f>+D134-H134</f>
        <v>-12191.909999999989</v>
      </c>
      <c r="M134" s="4"/>
      <c r="N134" s="11">
        <f>IF(H134=0,0,L134/H134)</f>
        <v>-0.13863422898923153</v>
      </c>
      <c r="O134" s="10"/>
      <c r="P134" s="4">
        <v>75751.090000000011</v>
      </c>
      <c r="Q134" s="4"/>
      <c r="R134" s="11">
        <f>IF(P$12=0,0,P134/P$12)</f>
        <v>0.51217411911544941</v>
      </c>
      <c r="S134" s="4"/>
      <c r="T134" s="4">
        <v>87943</v>
      </c>
      <c r="U134" s="4"/>
      <c r="V134" s="11">
        <f>IF(T$12=0,0,T134/T$12)</f>
        <v>0.48575752721729093</v>
      </c>
      <c r="W134" s="4"/>
      <c r="X134" s="4">
        <f>+P134-T134</f>
        <v>-12191.909999999989</v>
      </c>
      <c r="Y134" s="4"/>
      <c r="Z134" s="11">
        <f>IF(T134=0,0,X134/T134)</f>
        <v>-0.13863422898923153</v>
      </c>
    </row>
    <row r="135" spans="1:26" x14ac:dyDescent="0.25">
      <c r="A135" s="9"/>
      <c r="B135" s="10"/>
      <c r="C135" s="10"/>
      <c r="D135" s="2"/>
      <c r="E135" s="2"/>
      <c r="F135" s="6"/>
      <c r="G135" s="2"/>
      <c r="H135" s="2"/>
      <c r="I135" s="2"/>
      <c r="J135" s="6"/>
      <c r="K135" s="2"/>
      <c r="L135" s="2"/>
      <c r="M135" s="2"/>
      <c r="N135" s="6"/>
      <c r="O135" s="10"/>
      <c r="P135" s="2"/>
      <c r="Q135" s="2"/>
      <c r="R135" s="6"/>
      <c r="S135" s="2"/>
      <c r="T135" s="2"/>
      <c r="U135" s="2"/>
      <c r="V135" s="6"/>
      <c r="W135" s="2"/>
      <c r="X135" s="2"/>
      <c r="Y135" s="2"/>
      <c r="Z135" s="6"/>
    </row>
    <row r="136" spans="1:26" s="22" customFormat="1" ht="15.75" thickBot="1" x14ac:dyDescent="0.3">
      <c r="A136" s="10"/>
      <c r="B136" s="25" t="s">
        <v>4</v>
      </c>
      <c r="C136" s="25"/>
      <c r="D136" s="34">
        <f>+D132-D134</f>
        <v>104277.26999999995</v>
      </c>
      <c r="E136" s="13"/>
      <c r="F136" s="30">
        <f>IF(D$12=0,0,D136/D$12)</f>
        <v>0.70504753008852861</v>
      </c>
      <c r="G136" s="13"/>
      <c r="H136" s="34">
        <f>+H132-H134</f>
        <v>-79549.160648846169</v>
      </c>
      <c r="I136" s="13"/>
      <c r="J136" s="30">
        <f>IF(H$12=0,0,H136/H$12)</f>
        <v>-0.43939373877391652</v>
      </c>
      <c r="K136" s="15"/>
      <c r="L136" s="34">
        <f>D136-H136</f>
        <v>183826.43064884612</v>
      </c>
      <c r="M136" s="15"/>
      <c r="N136" s="30">
        <f>IF(H136=0,0,L136/H136)</f>
        <v>-2.3108531774497414</v>
      </c>
      <c r="O136" s="26"/>
      <c r="P136" s="34">
        <f>+P132-P134</f>
        <v>104277.26999999995</v>
      </c>
      <c r="Q136" s="13"/>
      <c r="R136" s="30">
        <f>IF(P$12=0,0,P136/P$12)</f>
        <v>0.70504753008852861</v>
      </c>
      <c r="S136" s="13"/>
      <c r="T136" s="34">
        <f>+T132-T134</f>
        <v>-79549.160648846169</v>
      </c>
      <c r="U136" s="13"/>
      <c r="V136" s="30">
        <f>IF(T$12=0,0,T136/T$12)</f>
        <v>-0.43939373877391652</v>
      </c>
      <c r="W136" s="15"/>
      <c r="X136" s="34">
        <f>P136-T136</f>
        <v>183826.43064884612</v>
      </c>
      <c r="Y136" s="15"/>
      <c r="Z136" s="30">
        <f>IF(T136=0,0,X136/T136)</f>
        <v>-2.3108531774497414</v>
      </c>
    </row>
    <row r="137" spans="1:26" ht="15.75" thickTop="1" x14ac:dyDescent="0.25">
      <c r="A137" s="9"/>
      <c r="B137" s="9"/>
      <c r="C137" s="9"/>
      <c r="D137" s="2"/>
      <c r="E137" s="2"/>
      <c r="F137" s="6"/>
      <c r="G137" s="2"/>
      <c r="H137" s="2"/>
      <c r="I137" s="2"/>
      <c r="J137" s="6"/>
      <c r="K137" s="2"/>
      <c r="L137" s="2"/>
      <c r="M137" s="2"/>
      <c r="N137" s="6"/>
      <c r="P137" s="2"/>
      <c r="Q137" s="2"/>
      <c r="R137" s="6"/>
      <c r="S137" s="2"/>
      <c r="T137" s="2"/>
      <c r="U137" s="2"/>
      <c r="V137" s="6"/>
      <c r="W137" s="2"/>
      <c r="X137" s="2"/>
      <c r="Y137" s="2"/>
      <c r="Z137" s="6"/>
    </row>
    <row r="138" spans="1:26" x14ac:dyDescent="0.25">
      <c r="A138" s="9"/>
      <c r="B138" s="9"/>
      <c r="C138" s="9"/>
      <c r="D138" s="2"/>
      <c r="E138" s="2"/>
      <c r="F138" s="6"/>
      <c r="G138" s="2"/>
      <c r="H138" s="2"/>
      <c r="I138" s="2"/>
      <c r="J138" s="6"/>
      <c r="K138" s="2"/>
      <c r="L138" s="2"/>
      <c r="M138" s="2"/>
      <c r="N138" s="6"/>
      <c r="P138" s="2"/>
      <c r="Q138" s="2"/>
      <c r="R138" s="6"/>
      <c r="S138" s="2"/>
      <c r="T138" s="2"/>
      <c r="U138" s="2"/>
      <c r="V138" s="6"/>
      <c r="W138" s="2"/>
      <c r="X138" s="2"/>
      <c r="Y138" s="2"/>
      <c r="Z138" s="6"/>
    </row>
    <row r="139" spans="1:26" s="22" customFormat="1" ht="15.75" thickBot="1" x14ac:dyDescent="0.3">
      <c r="A139" s="10"/>
      <c r="B139" s="25" t="s">
        <v>5</v>
      </c>
      <c r="C139" s="25"/>
      <c r="D139" s="32">
        <f>SUM(D136:D138)</f>
        <v>104277.26999999995</v>
      </c>
      <c r="E139" s="13"/>
      <c r="F139" s="33">
        <f>IF(D$12=0,0,D139/D$12)</f>
        <v>0.70504753008852861</v>
      </c>
      <c r="G139" s="13"/>
      <c r="H139" s="32">
        <f>SUM(H136:H138)</f>
        <v>-79549.160648846169</v>
      </c>
      <c r="I139" s="13"/>
      <c r="J139" s="33">
        <f>IF(H$12=0,0,H139/H$12)</f>
        <v>-0.43939373877391652</v>
      </c>
      <c r="K139" s="15"/>
      <c r="L139" s="32">
        <f>+D139-H139</f>
        <v>183826.43064884612</v>
      </c>
      <c r="M139" s="15"/>
      <c r="N139" s="33">
        <f>IF(H139=0,0,L139/H139)</f>
        <v>-2.3108531774497414</v>
      </c>
      <c r="O139" s="26"/>
      <c r="P139" s="32">
        <f>SUM(P136:P138)</f>
        <v>104277.26999999995</v>
      </c>
      <c r="Q139" s="13"/>
      <c r="R139" s="33">
        <f>IF(P$12=0,0,P139/P$12)</f>
        <v>0.70504753008852861</v>
      </c>
      <c r="S139" s="13"/>
      <c r="T139" s="32">
        <f>SUM(T136:T138)</f>
        <v>-79549.160648846169</v>
      </c>
      <c r="U139" s="13"/>
      <c r="V139" s="33">
        <f>IF(T$12=0,0,T139/T$12)</f>
        <v>-0.43939373877391652</v>
      </c>
      <c r="W139" s="15"/>
      <c r="X139" s="32">
        <f>+P139-T139</f>
        <v>183826.43064884612</v>
      </c>
      <c r="Y139" s="15"/>
      <c r="Z139" s="33">
        <f>IF(T139=0,0,X139/T139)</f>
        <v>-2.3108531774497414</v>
      </c>
    </row>
    <row r="140" spans="1:26" ht="15.75" thickTop="1" x14ac:dyDescent="0.25">
      <c r="A140" s="9"/>
      <c r="C140" s="9"/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A141" s="9"/>
      <c r="B141" s="58">
        <v>44104.686007025462</v>
      </c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  <row r="142" spans="1:26" x14ac:dyDescent="0.25">
      <c r="A142" s="9"/>
      <c r="B142" s="56" t="s">
        <v>314</v>
      </c>
      <c r="D142" s="17"/>
      <c r="E142" s="17"/>
      <c r="G142" s="17"/>
      <c r="H142" s="17"/>
      <c r="I142" s="17"/>
      <c r="J142" s="43"/>
      <c r="K142" s="17"/>
      <c r="L142" s="17"/>
      <c r="M142" s="17"/>
      <c r="P142" s="17"/>
      <c r="Q142" s="17"/>
      <c r="R142" s="43"/>
      <c r="S142" s="17"/>
      <c r="T142" s="17"/>
      <c r="U142" s="17"/>
      <c r="V142" s="43"/>
      <c r="W142" s="17"/>
      <c r="X142" s="17"/>
    </row>
    <row r="143" spans="1:26" x14ac:dyDescent="0.25">
      <c r="A143" s="9"/>
      <c r="B143" s="62"/>
      <c r="D143" s="17"/>
      <c r="E143" s="17"/>
      <c r="G143" s="17"/>
      <c r="H143" s="17"/>
      <c r="I143" s="17"/>
      <c r="J143" s="43"/>
      <c r="K143" s="17"/>
      <c r="L143" s="17"/>
      <c r="M143" s="17"/>
      <c r="P143" s="17"/>
      <c r="Q143" s="17"/>
      <c r="R143" s="43"/>
      <c r="S143" s="17"/>
      <c r="T143" s="17"/>
      <c r="U143" s="17"/>
      <c r="V143" s="43"/>
      <c r="W143" s="17"/>
      <c r="X143" s="17"/>
    </row>
    <row r="144" spans="1:26" x14ac:dyDescent="0.25"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","326", " - ", "2nd Street Store")</f>
        <v>Department 326 - 2nd Street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26879.770000000004</v>
      </c>
      <c r="E12" s="4"/>
      <c r="F12" s="11"/>
      <c r="G12" s="4"/>
      <c r="H12" s="4">
        <f>SUM(OSRRefH13x_0)</f>
        <v>48908</v>
      </c>
      <c r="I12" s="4"/>
      <c r="J12" s="11"/>
      <c r="K12" s="4"/>
      <c r="L12" s="4">
        <f t="shared" ref="L12:L28" si="0">+D12-H12</f>
        <v>-22028.229999999996</v>
      </c>
      <c r="M12" s="4"/>
      <c r="N12" s="11">
        <f t="shared" ref="N12:N28" si="1">IF(H12=0,0,L12/H12)</f>
        <v>-0.45040136582972101</v>
      </c>
      <c r="O12" s="10"/>
      <c r="P12" s="4">
        <f>SUM(OSRRefP13x_0)</f>
        <v>26879.770000000004</v>
      </c>
      <c r="Q12" s="4"/>
      <c r="R12" s="11"/>
      <c r="S12" s="4"/>
      <c r="T12" s="4">
        <f>SUM(OSRRefT13x_0)</f>
        <v>48908</v>
      </c>
      <c r="U12" s="4"/>
      <c r="V12" s="11"/>
      <c r="W12" s="4"/>
      <c r="X12" s="4">
        <f t="shared" ref="X12:X28" si="2">+P12-T12</f>
        <v>-22028.229999999996</v>
      </c>
      <c r="Y12" s="4"/>
      <c r="Z12" s="11">
        <f t="shared" ref="Z12:Z28" si="3">IF(T12=0,0,X12/T12)</f>
        <v>-0.45040136582972101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-350.33</f>
        <v>-350.33</v>
      </c>
      <c r="E13" s="3"/>
      <c r="F13" s="23"/>
      <c r="G13" s="3"/>
      <c r="H13" s="3">
        <v>48908</v>
      </c>
      <c r="I13" s="3"/>
      <c r="J13" s="23"/>
      <c r="K13" s="3"/>
      <c r="L13" s="3">
        <f t="shared" si="0"/>
        <v>-49258.33</v>
      </c>
      <c r="M13" s="3"/>
      <c r="N13" s="23">
        <f t="shared" si="1"/>
        <v>-1.0071630408113192</v>
      </c>
      <c r="O13" s="12"/>
      <c r="P13" s="3">
        <f>-350.33</f>
        <v>-350.33</v>
      </c>
      <c r="Q13" s="3"/>
      <c r="R13" s="23"/>
      <c r="S13" s="3"/>
      <c r="T13" s="3">
        <v>48908</v>
      </c>
      <c r="U13" s="3"/>
      <c r="V13" s="23"/>
      <c r="W13" s="3"/>
      <c r="X13" s="3">
        <f t="shared" si="2"/>
        <v>-49258.33</v>
      </c>
      <c r="Y13" s="3"/>
      <c r="Z13" s="23">
        <f t="shared" si="3"/>
        <v>-1.0071630408113192</v>
      </c>
    </row>
    <row r="14" spans="1:26" s="24" customFormat="1" hidden="1" outlineLevel="1" x14ac:dyDescent="0.25">
      <c r="A14" s="51"/>
      <c r="B14" s="12" t="str">
        <f>CONCATENATE("          ", "4026", " - ", "TAXABLE SALES-WRITING INSTRUME")</f>
        <v xml:space="preserve">          4026 - TAXABLE SALES-WRITING INSTRUME</v>
      </c>
      <c r="C14" s="12"/>
      <c r="D14" s="3">
        <f>--14.57</f>
        <v>14.57</v>
      </c>
      <c r="E14" s="3"/>
      <c r="F14" s="23"/>
      <c r="G14" s="3"/>
      <c r="H14" s="3"/>
      <c r="I14" s="3"/>
      <c r="J14" s="23"/>
      <c r="K14" s="3"/>
      <c r="L14" s="3">
        <f t="shared" si="0"/>
        <v>14.57</v>
      </c>
      <c r="M14" s="3"/>
      <c r="N14" s="23">
        <f t="shared" si="1"/>
        <v>0</v>
      </c>
      <c r="O14" s="12"/>
      <c r="P14" s="3">
        <f>--14.57</f>
        <v>14.57</v>
      </c>
      <c r="Q14" s="3"/>
      <c r="R14" s="23"/>
      <c r="S14" s="3"/>
      <c r="T14" s="3"/>
      <c r="U14" s="3"/>
      <c r="V14" s="23"/>
      <c r="W14" s="3"/>
      <c r="X14" s="3">
        <f t="shared" si="2"/>
        <v>14.57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"4040", " - ", "TAXABLE SALES-LOGO CLOTHING")</f>
        <v xml:space="preserve">          4040 - TAXABLE SALES-LOGO CLOTHING</v>
      </c>
      <c r="C15" s="12"/>
      <c r="D15" s="3">
        <f>--21911.66</f>
        <v>21911.66</v>
      </c>
      <c r="E15" s="3"/>
      <c r="F15" s="23"/>
      <c r="G15" s="3"/>
      <c r="H15" s="3"/>
      <c r="I15" s="3"/>
      <c r="J15" s="23"/>
      <c r="K15" s="3"/>
      <c r="L15" s="3">
        <f t="shared" si="0"/>
        <v>21911.66</v>
      </c>
      <c r="M15" s="3"/>
      <c r="N15" s="23">
        <f t="shared" si="1"/>
        <v>0</v>
      </c>
      <c r="O15" s="12"/>
      <c r="P15" s="3">
        <f>--21911.66</f>
        <v>21911.66</v>
      </c>
      <c r="Q15" s="3"/>
      <c r="R15" s="23"/>
      <c r="S15" s="3"/>
      <c r="T15" s="3"/>
      <c r="U15" s="3"/>
      <c r="V15" s="23"/>
      <c r="W15" s="3"/>
      <c r="X15" s="3">
        <f t="shared" si="2"/>
        <v>21911.66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"4041", " - ", "TAXABLE SALES-LOGO GIFTS")</f>
        <v xml:space="preserve">          4041 - TAXABLE SALES-LOGO GIFTS</v>
      </c>
      <c r="C16" s="12"/>
      <c r="D16" s="3">
        <f>--4185.47</f>
        <v>4185.47</v>
      </c>
      <c r="E16" s="3"/>
      <c r="F16" s="23"/>
      <c r="G16" s="3"/>
      <c r="H16" s="3"/>
      <c r="I16" s="3"/>
      <c r="J16" s="23"/>
      <c r="K16" s="3"/>
      <c r="L16" s="3">
        <f t="shared" si="0"/>
        <v>4185.47</v>
      </c>
      <c r="M16" s="3"/>
      <c r="N16" s="23">
        <f t="shared" si="1"/>
        <v>0</v>
      </c>
      <c r="O16" s="12"/>
      <c r="P16" s="3">
        <f>--4185.47</f>
        <v>4185.47</v>
      </c>
      <c r="Q16" s="3"/>
      <c r="R16" s="23"/>
      <c r="S16" s="3"/>
      <c r="T16" s="3"/>
      <c r="U16" s="3"/>
      <c r="V16" s="23"/>
      <c r="W16" s="3"/>
      <c r="X16" s="3">
        <f t="shared" si="2"/>
        <v>4185.47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"4042", " - ", "TAXABLE SALES-EVERYDAY GIFTS")</f>
        <v xml:space="preserve">          4042 - TAXABLE SALES-EVERYDAY GIFTS</v>
      </c>
      <c r="C17" s="12"/>
      <c r="D17" s="3">
        <f>--1599.33</f>
        <v>1599.33</v>
      </c>
      <c r="E17" s="3"/>
      <c r="F17" s="23"/>
      <c r="G17" s="3"/>
      <c r="H17" s="3"/>
      <c r="I17" s="3"/>
      <c r="J17" s="23"/>
      <c r="K17" s="3"/>
      <c r="L17" s="3">
        <f t="shared" si="0"/>
        <v>1599.33</v>
      </c>
      <c r="M17" s="3"/>
      <c r="N17" s="23">
        <f t="shared" si="1"/>
        <v>0</v>
      </c>
      <c r="O17" s="12"/>
      <c r="P17" s="3">
        <f>--1599.33</f>
        <v>1599.33</v>
      </c>
      <c r="Q17" s="3"/>
      <c r="R17" s="23"/>
      <c r="S17" s="3"/>
      <c r="T17" s="3"/>
      <c r="U17" s="3"/>
      <c r="V17" s="23"/>
      <c r="W17" s="3"/>
      <c r="X17" s="3">
        <f t="shared" si="2"/>
        <v>1599.33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"4043", " - ", "TAXABLE SALES-CARDS")</f>
        <v xml:space="preserve">          4043 - TAXABLE SALES-CARDS</v>
      </c>
      <c r="C18" s="12"/>
      <c r="D18" s="3">
        <f>--29.99</f>
        <v>29.99</v>
      </c>
      <c r="E18" s="3"/>
      <c r="F18" s="23"/>
      <c r="G18" s="3"/>
      <c r="H18" s="3"/>
      <c r="I18" s="3"/>
      <c r="J18" s="23"/>
      <c r="K18" s="3"/>
      <c r="L18" s="3">
        <f t="shared" si="0"/>
        <v>29.99</v>
      </c>
      <c r="M18" s="3"/>
      <c r="N18" s="23">
        <f t="shared" si="1"/>
        <v>0</v>
      </c>
      <c r="O18" s="12"/>
      <c r="P18" s="3">
        <f>--29.99</f>
        <v>29.99</v>
      </c>
      <c r="Q18" s="3"/>
      <c r="R18" s="23"/>
      <c r="S18" s="3"/>
      <c r="T18" s="3"/>
      <c r="U18" s="3"/>
      <c r="V18" s="23"/>
      <c r="W18" s="3"/>
      <c r="X18" s="3">
        <f t="shared" si="2"/>
        <v>29.99</v>
      </c>
      <c r="Y18" s="3"/>
      <c r="Z18" s="23">
        <f t="shared" si="3"/>
        <v>0</v>
      </c>
    </row>
    <row r="19" spans="1:26" s="24" customFormat="1" hidden="1" outlineLevel="1" x14ac:dyDescent="0.25">
      <c r="A19" s="51"/>
      <c r="B19" s="12" t="str">
        <f>CONCATENATE("          ", "4044", " - ", "TAXABLE SALES-ACCESSORIES")</f>
        <v xml:space="preserve">          4044 - TAXABLE SALES-ACCESSORIES</v>
      </c>
      <c r="C19" s="12"/>
      <c r="D19" s="3">
        <f>--297.48</f>
        <v>297.48</v>
      </c>
      <c r="E19" s="3"/>
      <c r="F19" s="23"/>
      <c r="G19" s="3"/>
      <c r="H19" s="3"/>
      <c r="I19" s="3"/>
      <c r="J19" s="23"/>
      <c r="K19" s="3"/>
      <c r="L19" s="3">
        <f t="shared" si="0"/>
        <v>297.48</v>
      </c>
      <c r="M19" s="3"/>
      <c r="N19" s="23">
        <f t="shared" si="1"/>
        <v>0</v>
      </c>
      <c r="O19" s="12"/>
      <c r="P19" s="3">
        <f>--297.48</f>
        <v>297.48</v>
      </c>
      <c r="Q19" s="3"/>
      <c r="R19" s="23"/>
      <c r="S19" s="3"/>
      <c r="T19" s="3"/>
      <c r="U19" s="3"/>
      <c r="V19" s="23"/>
      <c r="W19" s="3"/>
      <c r="X19" s="3">
        <f t="shared" si="2"/>
        <v>297.48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"4131", " - ", "NON-TAXABLE SALES-FOOD")</f>
        <v xml:space="preserve">          4131 - NON-TAXABLE SALES-FOOD</v>
      </c>
      <c r="C20" s="12"/>
      <c r="D20" s="3">
        <f>--1.5</f>
        <v>1.5</v>
      </c>
      <c r="E20" s="3"/>
      <c r="F20" s="23"/>
      <c r="G20" s="3"/>
      <c r="H20" s="3"/>
      <c r="I20" s="3"/>
      <c r="J20" s="23"/>
      <c r="K20" s="3"/>
      <c r="L20" s="3">
        <f t="shared" si="0"/>
        <v>1.5</v>
      </c>
      <c r="M20" s="3"/>
      <c r="N20" s="23">
        <f t="shared" si="1"/>
        <v>0</v>
      </c>
      <c r="O20" s="12"/>
      <c r="P20" s="3">
        <f>--1.5</f>
        <v>1.5</v>
      </c>
      <c r="Q20" s="3"/>
      <c r="R20" s="23"/>
      <c r="S20" s="3"/>
      <c r="T20" s="3"/>
      <c r="U20" s="3"/>
      <c r="V20" s="23"/>
      <c r="W20" s="3"/>
      <c r="X20" s="3">
        <f t="shared" si="2"/>
        <v>1.5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"4137", " - ", "NON-TAXABLE SALES-WATER")</f>
        <v xml:space="preserve">          4137 - NON-TAXABLE SALES-WATER</v>
      </c>
      <c r="C21" s="12"/>
      <c r="D21" s="3">
        <f>--9</f>
        <v>9</v>
      </c>
      <c r="E21" s="3"/>
      <c r="F21" s="23"/>
      <c r="G21" s="3"/>
      <c r="H21" s="3"/>
      <c r="I21" s="3"/>
      <c r="J21" s="23"/>
      <c r="K21" s="3"/>
      <c r="L21" s="3">
        <f t="shared" si="0"/>
        <v>9</v>
      </c>
      <c r="M21" s="3"/>
      <c r="N21" s="23">
        <f t="shared" si="1"/>
        <v>0</v>
      </c>
      <c r="O21" s="12"/>
      <c r="P21" s="3">
        <f>--9</f>
        <v>9</v>
      </c>
      <c r="Q21" s="3"/>
      <c r="R21" s="23"/>
      <c r="S21" s="3"/>
      <c r="T21" s="3"/>
      <c r="U21" s="3"/>
      <c r="V21" s="23"/>
      <c r="W21" s="3"/>
      <c r="X21" s="3">
        <f t="shared" si="2"/>
        <v>9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"4140", " - ", "NON-TAXABLE SALES-LOGO CLOTHIN")</f>
        <v xml:space="preserve">          4140 - NON-TAXABLE SALES-LOGO CLOTHIN</v>
      </c>
      <c r="C22" s="12"/>
      <c r="D22" s="3">
        <f>--68.46</f>
        <v>68.459999999999994</v>
      </c>
      <c r="E22" s="3"/>
      <c r="F22" s="23"/>
      <c r="G22" s="3"/>
      <c r="H22" s="3"/>
      <c r="I22" s="3"/>
      <c r="J22" s="23"/>
      <c r="K22" s="3"/>
      <c r="L22" s="3">
        <f t="shared" si="0"/>
        <v>68.459999999999994</v>
      </c>
      <c r="M22" s="3"/>
      <c r="N22" s="23">
        <f t="shared" si="1"/>
        <v>0</v>
      </c>
      <c r="O22" s="12"/>
      <c r="P22" s="3">
        <f>--68.46</f>
        <v>68.459999999999994</v>
      </c>
      <c r="Q22" s="3"/>
      <c r="R22" s="23"/>
      <c r="S22" s="3"/>
      <c r="T22" s="3"/>
      <c r="U22" s="3"/>
      <c r="V22" s="23"/>
      <c r="W22" s="3"/>
      <c r="X22" s="3">
        <f t="shared" si="2"/>
        <v>68.459999999999994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"4145", " - ", "NON-TAXABLE SALES-SPECIAL ORDE")</f>
        <v xml:space="preserve">          4145 - NON-TAXABLE SALES-SPECIAL ORDE</v>
      </c>
      <c r="C23" s="12"/>
      <c r="D23" s="3">
        <f>--7</f>
        <v>7</v>
      </c>
      <c r="E23" s="3"/>
      <c r="F23" s="23"/>
      <c r="G23" s="3"/>
      <c r="H23" s="3"/>
      <c r="I23" s="3"/>
      <c r="J23" s="23"/>
      <c r="K23" s="3"/>
      <c r="L23" s="3">
        <f t="shared" si="0"/>
        <v>7</v>
      </c>
      <c r="M23" s="3"/>
      <c r="N23" s="23">
        <f t="shared" si="1"/>
        <v>0</v>
      </c>
      <c r="O23" s="12"/>
      <c r="P23" s="3">
        <f>--7</f>
        <v>7</v>
      </c>
      <c r="Q23" s="3"/>
      <c r="R23" s="23"/>
      <c r="S23" s="3"/>
      <c r="T23" s="3"/>
      <c r="U23" s="3"/>
      <c r="V23" s="23"/>
      <c r="W23" s="3"/>
      <c r="X23" s="3">
        <f t="shared" si="2"/>
        <v>7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"4227", " - ", "SALES RETURN TAXABLE-SCHOOL SU")</f>
        <v xml:space="preserve">          4227 - SALES RETURN TAXABLE-SCHOOL SU</v>
      </c>
      <c r="C24" s="12"/>
      <c r="D24" s="3">
        <f>-30</f>
        <v>-30</v>
      </c>
      <c r="E24" s="3"/>
      <c r="F24" s="23"/>
      <c r="G24" s="3"/>
      <c r="H24" s="3"/>
      <c r="I24" s="3"/>
      <c r="J24" s="23"/>
      <c r="K24" s="3"/>
      <c r="L24" s="3">
        <f t="shared" si="0"/>
        <v>-30</v>
      </c>
      <c r="M24" s="3"/>
      <c r="N24" s="23">
        <f t="shared" si="1"/>
        <v>0</v>
      </c>
      <c r="O24" s="12"/>
      <c r="P24" s="3">
        <f>-30</f>
        <v>-30</v>
      </c>
      <c r="Q24" s="3"/>
      <c r="R24" s="23"/>
      <c r="S24" s="3"/>
      <c r="T24" s="3"/>
      <c r="U24" s="3"/>
      <c r="V24" s="23"/>
      <c r="W24" s="3"/>
      <c r="X24" s="3">
        <f t="shared" si="2"/>
        <v>-30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"4240", " - ", "SALES RETURN TAXABLE-LOGO CLOT")</f>
        <v xml:space="preserve">          4240 - SALES RETURN TAXABLE-LOGO CLOT</v>
      </c>
      <c r="C25" s="12"/>
      <c r="D25" s="3">
        <f>-749.65</f>
        <v>-749.65</v>
      </c>
      <c r="E25" s="3"/>
      <c r="F25" s="23"/>
      <c r="G25" s="3"/>
      <c r="H25" s="3"/>
      <c r="I25" s="3"/>
      <c r="J25" s="23"/>
      <c r="K25" s="3"/>
      <c r="L25" s="3">
        <f t="shared" si="0"/>
        <v>-749.65</v>
      </c>
      <c r="M25" s="3"/>
      <c r="N25" s="23">
        <f t="shared" si="1"/>
        <v>0</v>
      </c>
      <c r="O25" s="12"/>
      <c r="P25" s="3">
        <f>-749.65</f>
        <v>-749.65</v>
      </c>
      <c r="Q25" s="3"/>
      <c r="R25" s="23"/>
      <c r="S25" s="3"/>
      <c r="T25" s="3"/>
      <c r="U25" s="3"/>
      <c r="V25" s="23"/>
      <c r="W25" s="3"/>
      <c r="X25" s="3">
        <f t="shared" si="2"/>
        <v>-749.65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"4241", " - ", "SALES RETURN TAXABLE-LOGO GIFT")</f>
        <v xml:space="preserve">          4241 - SALES RETURN TAXABLE-LOGO GIFT</v>
      </c>
      <c r="C26" s="12"/>
      <c r="D26" s="3">
        <f>-33.85</f>
        <v>-33.85</v>
      </c>
      <c r="E26" s="3"/>
      <c r="F26" s="23"/>
      <c r="G26" s="3"/>
      <c r="H26" s="3"/>
      <c r="I26" s="3"/>
      <c r="J26" s="23"/>
      <c r="K26" s="3"/>
      <c r="L26" s="3">
        <f t="shared" si="0"/>
        <v>-33.85</v>
      </c>
      <c r="M26" s="3"/>
      <c r="N26" s="23">
        <f t="shared" si="1"/>
        <v>0</v>
      </c>
      <c r="O26" s="12"/>
      <c r="P26" s="3">
        <f>-33.85</f>
        <v>-33.85</v>
      </c>
      <c r="Q26" s="3"/>
      <c r="R26" s="23"/>
      <c r="S26" s="3"/>
      <c r="T26" s="3"/>
      <c r="U26" s="3"/>
      <c r="V26" s="23"/>
      <c r="W26" s="3"/>
      <c r="X26" s="3">
        <f t="shared" si="2"/>
        <v>-33.85</v>
      </c>
      <c r="Y26" s="3"/>
      <c r="Z26" s="23">
        <f t="shared" si="3"/>
        <v>0</v>
      </c>
    </row>
    <row r="27" spans="1:26" s="24" customFormat="1" hidden="1" outlineLevel="1" x14ac:dyDescent="0.25">
      <c r="A27" s="51"/>
      <c r="B27" s="12" t="str">
        <f>CONCATENATE("          ", "4242", " - ", "SALES RETURN TAXABLE-EVERYDAY")</f>
        <v xml:space="preserve">          4242 - SALES RETURN TAXABLE-EVERYDAY</v>
      </c>
      <c r="C27" s="12"/>
      <c r="D27" s="3">
        <f>-73.86</f>
        <v>-73.86</v>
      </c>
      <c r="E27" s="3"/>
      <c r="F27" s="23"/>
      <c r="G27" s="3"/>
      <c r="H27" s="3"/>
      <c r="I27" s="3"/>
      <c r="J27" s="23"/>
      <c r="K27" s="3"/>
      <c r="L27" s="3">
        <f t="shared" si="0"/>
        <v>-73.86</v>
      </c>
      <c r="M27" s="3"/>
      <c r="N27" s="23">
        <f t="shared" si="1"/>
        <v>0</v>
      </c>
      <c r="O27" s="12"/>
      <c r="P27" s="3">
        <f>-73.86</f>
        <v>-73.86</v>
      </c>
      <c r="Q27" s="3"/>
      <c r="R27" s="23"/>
      <c r="S27" s="3"/>
      <c r="T27" s="3"/>
      <c r="U27" s="3"/>
      <c r="V27" s="23"/>
      <c r="W27" s="3"/>
      <c r="X27" s="3">
        <f t="shared" si="2"/>
        <v>-73.86</v>
      </c>
      <c r="Y27" s="3"/>
      <c r="Z27" s="23">
        <f t="shared" si="3"/>
        <v>0</v>
      </c>
    </row>
    <row r="28" spans="1:26" s="24" customFormat="1" hidden="1" outlineLevel="1" x14ac:dyDescent="0.25">
      <c r="A28" s="51"/>
      <c r="B28" s="12" t="str">
        <f>CONCATENATE("          ", "4245", " - ", "SALES RETURN TAXABLE-SPECIAL O")</f>
        <v xml:space="preserve">          4245 - SALES RETURN TAXABLE-SPECIAL O</v>
      </c>
      <c r="C28" s="12"/>
      <c r="D28" s="3">
        <f>-7</f>
        <v>-7</v>
      </c>
      <c r="E28" s="3"/>
      <c r="F28" s="23"/>
      <c r="G28" s="3"/>
      <c r="H28" s="3"/>
      <c r="I28" s="3"/>
      <c r="J28" s="23"/>
      <c r="K28" s="3"/>
      <c r="L28" s="3">
        <f t="shared" si="0"/>
        <v>-7</v>
      </c>
      <c r="M28" s="3"/>
      <c r="N28" s="23">
        <f t="shared" si="1"/>
        <v>0</v>
      </c>
      <c r="O28" s="12"/>
      <c r="P28" s="3">
        <f>-7</f>
        <v>-7</v>
      </c>
      <c r="Q28" s="3"/>
      <c r="R28" s="23"/>
      <c r="S28" s="3"/>
      <c r="T28" s="3"/>
      <c r="U28" s="3"/>
      <c r="V28" s="23"/>
      <c r="W28" s="3"/>
      <c r="X28" s="3">
        <f t="shared" si="2"/>
        <v>-7</v>
      </c>
      <c r="Y28" s="3"/>
      <c r="Z28" s="23">
        <f t="shared" si="3"/>
        <v>0</v>
      </c>
    </row>
    <row r="29" spans="1:26" x14ac:dyDescent="0.25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2" customFormat="1" collapsed="1" x14ac:dyDescent="0.25">
      <c r="A30" s="10"/>
      <c r="B30" s="26" t="s">
        <v>8</v>
      </c>
      <c r="C30" s="10"/>
      <c r="D30" s="4">
        <f>SUM(OSRRefD16x_0)</f>
        <v>10370</v>
      </c>
      <c r="E30" s="4"/>
      <c r="F30" s="11">
        <f t="shared" ref="F30:F32" si="4">IF(D$12=0,0,D30/D$12)</f>
        <v>0.38579199152373694</v>
      </c>
      <c r="G30" s="4"/>
      <c r="H30" s="4">
        <f>SUM(OSRRefH16x_0)</f>
        <v>21030</v>
      </c>
      <c r="I30" s="4"/>
      <c r="J30" s="11">
        <f t="shared" ref="J30:J32" si="5">IF(H$12=0,0,H30/H$12)</f>
        <v>0.42999100351680708</v>
      </c>
      <c r="K30" s="4"/>
      <c r="L30" s="4">
        <f t="shared" ref="L30:L32" si="6">+D30-H30</f>
        <v>-10660</v>
      </c>
      <c r="M30" s="4"/>
      <c r="N30" s="11">
        <f t="shared" ref="N30:N32" si="7">IF(H30=0,0,L30/H30)</f>
        <v>-0.50689491203043269</v>
      </c>
      <c r="O30" s="10"/>
      <c r="P30" s="4">
        <f>SUM(OSRRefP16x_0)</f>
        <v>10370</v>
      </c>
      <c r="Q30" s="4"/>
      <c r="R30" s="11">
        <f t="shared" ref="R30:R32" si="8">IF(P$12=0,0,P30/P$12)</f>
        <v>0.38579199152373694</v>
      </c>
      <c r="S30" s="4"/>
      <c r="T30" s="4">
        <f>SUM(OSRRefT16x_0)</f>
        <v>21030</v>
      </c>
      <c r="U30" s="4"/>
      <c r="V30" s="11">
        <f t="shared" ref="V30:V32" si="9">IF(T$12=0,0,T30/T$12)</f>
        <v>0.42999100351680708</v>
      </c>
      <c r="W30" s="4"/>
      <c r="X30" s="4">
        <f t="shared" ref="X30:X32" si="10">+P30-T30</f>
        <v>-10660</v>
      </c>
      <c r="Y30" s="4"/>
      <c r="Z30" s="11">
        <f t="shared" ref="Z30:Z32" si="11">IF(T30=0,0,X30/T30)</f>
        <v>-0.50689491203043269</v>
      </c>
    </row>
    <row r="31" spans="1:26" s="24" customFormat="1" hidden="1" outlineLevel="1" x14ac:dyDescent="0.25">
      <c r="A31" s="51"/>
      <c r="B31" s="12" t="str">
        <f>CONCATENATE("          ", "5000", " - ", "PURCHASES @ COST")</f>
        <v xml:space="preserve">          5000 - PURCHASES @ COST</v>
      </c>
      <c r="C31" s="12"/>
      <c r="D31" s="3"/>
      <c r="E31" s="3"/>
      <c r="F31" s="23">
        <f t="shared" si="4"/>
        <v>0</v>
      </c>
      <c r="G31" s="3"/>
      <c r="H31" s="3">
        <v>21030</v>
      </c>
      <c r="I31" s="3"/>
      <c r="J31" s="23">
        <f t="shared" si="5"/>
        <v>0.42999100351680708</v>
      </c>
      <c r="K31" s="3"/>
      <c r="L31" s="3">
        <f t="shared" si="6"/>
        <v>-21030</v>
      </c>
      <c r="M31" s="3"/>
      <c r="N31" s="23">
        <f t="shared" si="7"/>
        <v>-1</v>
      </c>
      <c r="O31" s="12"/>
      <c r="P31" s="3"/>
      <c r="Q31" s="3"/>
      <c r="R31" s="23">
        <f t="shared" si="8"/>
        <v>0</v>
      </c>
      <c r="S31" s="3"/>
      <c r="T31" s="3">
        <v>21030</v>
      </c>
      <c r="U31" s="3"/>
      <c r="V31" s="23">
        <f t="shared" si="9"/>
        <v>0.42999100351680708</v>
      </c>
      <c r="W31" s="3"/>
      <c r="X31" s="3">
        <f t="shared" si="10"/>
        <v>-21030</v>
      </c>
      <c r="Y31" s="3"/>
      <c r="Z31" s="23">
        <f t="shared" si="11"/>
        <v>-1</v>
      </c>
    </row>
    <row r="32" spans="1:26" s="24" customFormat="1" hidden="1" outlineLevel="1" x14ac:dyDescent="0.25">
      <c r="A32" s="51"/>
      <c r="B32" s="12" t="str">
        <f>CONCATENATE("          ", "5300", " - ", "COG$ OFFSET")</f>
        <v xml:space="preserve">          5300 - COG$ OFFSET</v>
      </c>
      <c r="C32" s="12"/>
      <c r="D32" s="3">
        <v>10370</v>
      </c>
      <c r="E32" s="3"/>
      <c r="F32" s="23">
        <f t="shared" si="4"/>
        <v>0.38579199152373694</v>
      </c>
      <c r="G32" s="3"/>
      <c r="H32" s="3"/>
      <c r="I32" s="3"/>
      <c r="J32" s="23">
        <f t="shared" si="5"/>
        <v>0</v>
      </c>
      <c r="K32" s="3"/>
      <c r="L32" s="3">
        <f t="shared" si="6"/>
        <v>10370</v>
      </c>
      <c r="M32" s="3"/>
      <c r="N32" s="23">
        <f t="shared" si="7"/>
        <v>0</v>
      </c>
      <c r="O32" s="12"/>
      <c r="P32" s="3">
        <v>10370</v>
      </c>
      <c r="Q32" s="3"/>
      <c r="R32" s="23">
        <f t="shared" si="8"/>
        <v>0.38579199152373694</v>
      </c>
      <c r="S32" s="3"/>
      <c r="T32" s="3"/>
      <c r="U32" s="3"/>
      <c r="V32" s="23">
        <f t="shared" si="9"/>
        <v>0</v>
      </c>
      <c r="W32" s="3"/>
      <c r="X32" s="3">
        <f t="shared" si="10"/>
        <v>10370</v>
      </c>
      <c r="Y32" s="3"/>
      <c r="Z32" s="23">
        <f t="shared" si="11"/>
        <v>0</v>
      </c>
    </row>
    <row r="33" spans="1:26" x14ac:dyDescent="0.25">
      <c r="A33" s="9"/>
      <c r="B33" s="10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10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2" customFormat="1" x14ac:dyDescent="0.25">
      <c r="A34" s="10"/>
      <c r="B34" s="25" t="s">
        <v>6</v>
      </c>
      <c r="C34" s="25"/>
      <c r="D34" s="21">
        <f>D12-D30</f>
        <v>16509.770000000004</v>
      </c>
      <c r="E34" s="13"/>
      <c r="F34" s="20">
        <f>IF(D$12=0,0,D34/D$12)</f>
        <v>0.61420800847626311</v>
      </c>
      <c r="G34" s="13"/>
      <c r="H34" s="21">
        <f>H12-H30</f>
        <v>27878</v>
      </c>
      <c r="I34" s="13"/>
      <c r="J34" s="20">
        <f>IF(H$12=0,0,H34/H$12)</f>
        <v>0.57000899648319292</v>
      </c>
      <c r="K34" s="15"/>
      <c r="L34" s="21">
        <f>+D34-H34</f>
        <v>-11368.229999999996</v>
      </c>
      <c r="M34" s="15"/>
      <c r="N34" s="20">
        <f>IF(H34=0,0,L34/H34)</f>
        <v>-0.40778499174976668</v>
      </c>
      <c r="O34" s="26"/>
      <c r="P34" s="21">
        <f>P12-P30</f>
        <v>16509.770000000004</v>
      </c>
      <c r="Q34" s="13"/>
      <c r="R34" s="20">
        <f>IF(P$12=0,0,P34/P$12)</f>
        <v>0.61420800847626311</v>
      </c>
      <c r="S34" s="13"/>
      <c r="T34" s="21">
        <f>T12-T30</f>
        <v>27878</v>
      </c>
      <c r="U34" s="13"/>
      <c r="V34" s="20">
        <f>IF(T$12=0,0,T34/T$12)</f>
        <v>0.57000899648319292</v>
      </c>
      <c r="W34" s="15"/>
      <c r="X34" s="21">
        <f>+P34-T34</f>
        <v>-11368.229999999996</v>
      </c>
      <c r="Y34" s="15"/>
      <c r="Z34" s="20">
        <f>IF(T34=0,0,X34/T34)</f>
        <v>-0.40778499174976668</v>
      </c>
    </row>
    <row r="35" spans="1:26" x14ac:dyDescent="0.25">
      <c r="A35" s="9"/>
      <c r="B35" s="10"/>
      <c r="C35" s="9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6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2" customFormat="1" x14ac:dyDescent="0.25">
      <c r="A36" s="10"/>
      <c r="B36" s="26" t="s">
        <v>9</v>
      </c>
      <c r="C36" s="10"/>
      <c r="D36" s="19">
        <f>SUM(OSRRefD22x_0)</f>
        <v>23071.4</v>
      </c>
      <c r="E36" s="19"/>
      <c r="F36" s="31">
        <f t="shared" ref="F36:F46" si="12">IF(D$12=0,0,D36/D$12)</f>
        <v>0.85831835614664853</v>
      </c>
      <c r="G36" s="19"/>
      <c r="H36" s="19">
        <f>SUM(OSRRefH22x_0)</f>
        <v>28502.025817307687</v>
      </c>
      <c r="I36" s="19"/>
      <c r="J36" s="31">
        <f t="shared" ref="J36:J46" si="13">IF(H$12=0,0,H36/H$12)</f>
        <v>0.58276817324993224</v>
      </c>
      <c r="K36" s="4"/>
      <c r="L36" s="19">
        <f t="shared" ref="L36:L46" si="14">+D36-H36</f>
        <v>-5430.6258173076858</v>
      </c>
      <c r="M36" s="4"/>
      <c r="N36" s="31">
        <f t="shared" ref="N36:N46" si="15">IF(H36=0,0,L36/H36)</f>
        <v>-0.19053473083341221</v>
      </c>
      <c r="O36" s="10"/>
      <c r="P36" s="19">
        <f>SUM(OSRRefP22x_0)</f>
        <v>23071.4</v>
      </c>
      <c r="Q36" s="19"/>
      <c r="R36" s="31">
        <f t="shared" ref="R36:R46" si="16">IF(P$12=0,0,P36/P$12)</f>
        <v>0.85831835614664853</v>
      </c>
      <c r="S36" s="19"/>
      <c r="T36" s="19">
        <f>SUM(OSRRefT22x_0)</f>
        <v>28502.025817307687</v>
      </c>
      <c r="U36" s="19"/>
      <c r="V36" s="31">
        <f t="shared" ref="V36:V46" si="17">IF(T$12=0,0,T36/T$12)</f>
        <v>0.58276817324993224</v>
      </c>
      <c r="W36" s="4"/>
      <c r="X36" s="19">
        <f t="shared" ref="X36:X46" si="18">+P36-T36</f>
        <v>-5430.6258173076858</v>
      </c>
      <c r="Y36" s="4"/>
      <c r="Z36" s="31">
        <f t="shared" ref="Z36:Z46" si="19">IF(T36=0,0,X36/T36)</f>
        <v>-0.19053473083341221</v>
      </c>
    </row>
    <row r="37" spans="1:26" s="29" customFormat="1" outlineLevel="1" collapsed="1" x14ac:dyDescent="0.25">
      <c r="A37" s="28"/>
      <c r="B37" s="14" t="str">
        <f>CONCATENATE("     ","*Benefits                                         ")</f>
        <v xml:space="preserve">     *Benefits                                         </v>
      </c>
      <c r="C37" s="14"/>
      <c r="D37" s="1">
        <f>SUM(OSRRefD22_0x_0)</f>
        <v>4182.72</v>
      </c>
      <c r="E37" s="1"/>
      <c r="F37" s="5">
        <f t="shared" si="12"/>
        <v>0.15560847432846336</v>
      </c>
      <c r="G37" s="1"/>
      <c r="H37" s="1">
        <f>SUM(OSRRefH22_0x_0)</f>
        <v>2869.9296634615389</v>
      </c>
      <c r="I37" s="1"/>
      <c r="J37" s="5">
        <f t="shared" si="13"/>
        <v>5.8680168141439823E-2</v>
      </c>
      <c r="K37" s="1"/>
      <c r="L37" s="1">
        <f t="shared" si="14"/>
        <v>1312.7903365384614</v>
      </c>
      <c r="M37" s="1"/>
      <c r="N37" s="5">
        <f t="shared" si="15"/>
        <v>0.45742944618198467</v>
      </c>
      <c r="O37" s="14"/>
      <c r="P37" s="1">
        <f>SUM(OSRRefP22_0x_0)</f>
        <v>4182.72</v>
      </c>
      <c r="Q37" s="1"/>
      <c r="R37" s="5">
        <f t="shared" si="16"/>
        <v>0.15560847432846336</v>
      </c>
      <c r="S37" s="1"/>
      <c r="T37" s="1">
        <f>SUM(OSRRefT22_0x_0)</f>
        <v>2869.9296634615389</v>
      </c>
      <c r="U37" s="1"/>
      <c r="V37" s="5">
        <f t="shared" si="17"/>
        <v>5.8680168141439823E-2</v>
      </c>
      <c r="W37" s="1"/>
      <c r="X37" s="1">
        <f t="shared" si="18"/>
        <v>1312.7903365384614</v>
      </c>
      <c r="Y37" s="1"/>
      <c r="Z37" s="5">
        <f t="shared" si="19"/>
        <v>0.45742944618198467</v>
      </c>
    </row>
    <row r="38" spans="1:26" s="24" customFormat="1" hidden="1" outlineLevel="2" x14ac:dyDescent="0.25">
      <c r="A38" s="27"/>
      <c r="B38" s="12" t="str">
        <f>CONCATENATE("          ", "6111", " - ", "F.I.C.A.")</f>
        <v xml:space="preserve">          6111 - F.I.C.A.</v>
      </c>
      <c r="C38" s="12"/>
      <c r="D38" s="7">
        <v>672.15</v>
      </c>
      <c r="E38" s="3"/>
      <c r="F38" s="8">
        <f t="shared" si="12"/>
        <v>2.5005794320412708E-2</v>
      </c>
      <c r="G38" s="3"/>
      <c r="H38" s="7">
        <v>845.87725961538501</v>
      </c>
      <c r="I38" s="3"/>
      <c r="J38" s="8">
        <f t="shared" si="13"/>
        <v>1.7295273975942278E-2</v>
      </c>
      <c r="K38" s="3"/>
      <c r="L38" s="7">
        <f t="shared" si="14"/>
        <v>-173.72725961538504</v>
      </c>
      <c r="M38" s="3"/>
      <c r="N38" s="8">
        <f t="shared" si="15"/>
        <v>-0.20538116806021917</v>
      </c>
      <c r="O38" s="12"/>
      <c r="P38" s="7">
        <v>672.15</v>
      </c>
      <c r="Q38" s="3"/>
      <c r="R38" s="8">
        <f t="shared" si="16"/>
        <v>2.5005794320412708E-2</v>
      </c>
      <c r="S38" s="3"/>
      <c r="T38" s="7">
        <v>845.87725961538501</v>
      </c>
      <c r="U38" s="3"/>
      <c r="V38" s="8">
        <f t="shared" si="17"/>
        <v>1.7295273975942278E-2</v>
      </c>
      <c r="W38" s="3"/>
      <c r="X38" s="7">
        <f t="shared" si="18"/>
        <v>-173.72725961538504</v>
      </c>
      <c r="Y38" s="3"/>
      <c r="Z38" s="8">
        <f t="shared" si="19"/>
        <v>-0.20538116806021917</v>
      </c>
    </row>
    <row r="39" spans="1:26" s="24" customFormat="1" hidden="1" outlineLevel="2" x14ac:dyDescent="0.25">
      <c r="A39" s="27"/>
      <c r="B39" s="12" t="str">
        <f>CONCATENATE("          ", "6112", " - ", "COMPENSATION INSURANCE")</f>
        <v xml:space="preserve">          6112 - COMPENSATION INSURANCE</v>
      </c>
      <c r="C39" s="12"/>
      <c r="D39" s="7">
        <v>228.93</v>
      </c>
      <c r="E39" s="3"/>
      <c r="F39" s="8">
        <f t="shared" si="12"/>
        <v>8.5168139459526615E-3</v>
      </c>
      <c r="G39" s="3"/>
      <c r="H39" s="7">
        <v>204.47836538461499</v>
      </c>
      <c r="I39" s="3"/>
      <c r="J39" s="8">
        <f t="shared" si="13"/>
        <v>4.1808776761391797E-3</v>
      </c>
      <c r="K39" s="3"/>
      <c r="L39" s="7">
        <f t="shared" si="14"/>
        <v>24.451634615385018</v>
      </c>
      <c r="M39" s="3"/>
      <c r="N39" s="8">
        <f t="shared" si="15"/>
        <v>0.11958054618341919</v>
      </c>
      <c r="O39" s="12"/>
      <c r="P39" s="7">
        <v>228.93</v>
      </c>
      <c r="Q39" s="3"/>
      <c r="R39" s="8">
        <f t="shared" si="16"/>
        <v>8.5168139459526615E-3</v>
      </c>
      <c r="S39" s="3"/>
      <c r="T39" s="7">
        <v>204.47836538461499</v>
      </c>
      <c r="U39" s="3"/>
      <c r="V39" s="8">
        <f t="shared" si="17"/>
        <v>4.1808776761391797E-3</v>
      </c>
      <c r="W39" s="3"/>
      <c r="X39" s="7">
        <f t="shared" si="18"/>
        <v>24.451634615385018</v>
      </c>
      <c r="Y39" s="3"/>
      <c r="Z39" s="8">
        <f t="shared" si="19"/>
        <v>0.11958054618341919</v>
      </c>
    </row>
    <row r="40" spans="1:26" s="24" customFormat="1" hidden="1" outlineLevel="2" x14ac:dyDescent="0.25">
      <c r="A40" s="27"/>
      <c r="B40" s="12" t="str">
        <f>CONCATENATE("          ", "6113", " - ", "GROUP INSURANCE")</f>
        <v xml:space="preserve">          6113 - GROUP INSURANCE</v>
      </c>
      <c r="C40" s="12"/>
      <c r="D40" s="7">
        <v>2012.47</v>
      </c>
      <c r="E40" s="3"/>
      <c r="F40" s="8">
        <f t="shared" si="12"/>
        <v>7.4869316218107509E-2</v>
      </c>
      <c r="G40" s="3"/>
      <c r="H40" s="7">
        <v>990</v>
      </c>
      <c r="I40" s="3"/>
      <c r="J40" s="8">
        <f t="shared" si="13"/>
        <v>2.0242087184100761E-2</v>
      </c>
      <c r="K40" s="3"/>
      <c r="L40" s="7">
        <f t="shared" si="14"/>
        <v>1022.47</v>
      </c>
      <c r="M40" s="3"/>
      <c r="N40" s="8">
        <f t="shared" si="15"/>
        <v>1.0327979797979798</v>
      </c>
      <c r="O40" s="12"/>
      <c r="P40" s="7">
        <v>2012.47</v>
      </c>
      <c r="Q40" s="3"/>
      <c r="R40" s="8">
        <f t="shared" si="16"/>
        <v>7.4869316218107509E-2</v>
      </c>
      <c r="S40" s="3"/>
      <c r="T40" s="7">
        <v>990</v>
      </c>
      <c r="U40" s="3"/>
      <c r="V40" s="8">
        <f t="shared" si="17"/>
        <v>2.0242087184100761E-2</v>
      </c>
      <c r="W40" s="3"/>
      <c r="X40" s="7">
        <f t="shared" si="18"/>
        <v>1022.47</v>
      </c>
      <c r="Y40" s="3"/>
      <c r="Z40" s="8">
        <f t="shared" si="19"/>
        <v>1.0327979797979798</v>
      </c>
    </row>
    <row r="41" spans="1:26" s="24" customFormat="1" hidden="1" outlineLevel="2" x14ac:dyDescent="0.25">
      <c r="A41" s="27"/>
      <c r="B41" s="12" t="str">
        <f>CONCATENATE("          ", "6114", " - ", "STATE UNEMPLOYMENT INSURANCE")</f>
        <v xml:space="preserve">          6114 - STATE UNEMPLOYMENT INSURANCE</v>
      </c>
      <c r="C41" s="12"/>
      <c r="D41" s="7">
        <v>23.65</v>
      </c>
      <c r="E41" s="3"/>
      <c r="F41" s="8">
        <f t="shared" si="12"/>
        <v>8.7984383794950606E-4</v>
      </c>
      <c r="G41" s="3"/>
      <c r="H41" s="7">
        <v>28.737500000000001</v>
      </c>
      <c r="I41" s="3"/>
      <c r="J41" s="8">
        <f t="shared" si="13"/>
        <v>5.8758280853848043E-4</v>
      </c>
      <c r="K41" s="3"/>
      <c r="L41" s="7">
        <f t="shared" si="14"/>
        <v>-5.0875000000000021</v>
      </c>
      <c r="M41" s="3"/>
      <c r="N41" s="8">
        <f t="shared" si="15"/>
        <v>-0.17703349282296657</v>
      </c>
      <c r="O41" s="12"/>
      <c r="P41" s="7">
        <v>23.65</v>
      </c>
      <c r="Q41" s="3"/>
      <c r="R41" s="8">
        <f t="shared" si="16"/>
        <v>8.7984383794950606E-4</v>
      </c>
      <c r="S41" s="3"/>
      <c r="T41" s="7">
        <v>28.737500000000001</v>
      </c>
      <c r="U41" s="3"/>
      <c r="V41" s="8">
        <f t="shared" si="17"/>
        <v>5.8758280853848043E-4</v>
      </c>
      <c r="W41" s="3"/>
      <c r="X41" s="7">
        <f t="shared" si="18"/>
        <v>-5.0875000000000021</v>
      </c>
      <c r="Y41" s="3"/>
      <c r="Z41" s="8">
        <f t="shared" si="19"/>
        <v>-0.17703349282296657</v>
      </c>
    </row>
    <row r="42" spans="1:26" s="24" customFormat="1" hidden="1" outlineLevel="2" x14ac:dyDescent="0.25">
      <c r="A42" s="27"/>
      <c r="B42" s="12" t="str">
        <f>CONCATENATE("          ", "6115", " - ", "P.E.R.S.")</f>
        <v xml:space="preserve">          6115 - P.E.R.S.</v>
      </c>
      <c r="C42" s="12"/>
      <c r="D42" s="7">
        <v>543.17999999999995</v>
      </c>
      <c r="E42" s="3"/>
      <c r="F42" s="8">
        <f t="shared" si="12"/>
        <v>2.0207762194393773E-2</v>
      </c>
      <c r="G42" s="3"/>
      <c r="H42" s="7">
        <v>251.79807692307702</v>
      </c>
      <c r="I42" s="3"/>
      <c r="J42" s="8">
        <f t="shared" si="13"/>
        <v>5.1484026523897324E-3</v>
      </c>
      <c r="K42" s="3"/>
      <c r="L42" s="7">
        <f t="shared" si="14"/>
        <v>291.38192307692293</v>
      </c>
      <c r="M42" s="3"/>
      <c r="N42" s="8">
        <f t="shared" si="15"/>
        <v>1.1572047198991855</v>
      </c>
      <c r="O42" s="12"/>
      <c r="P42" s="7">
        <v>543.17999999999995</v>
      </c>
      <c r="Q42" s="3"/>
      <c r="R42" s="8">
        <f t="shared" si="16"/>
        <v>2.0207762194393773E-2</v>
      </c>
      <c r="S42" s="3"/>
      <c r="T42" s="7">
        <v>251.79807692307702</v>
      </c>
      <c r="U42" s="3"/>
      <c r="V42" s="8">
        <f t="shared" si="17"/>
        <v>5.1484026523897324E-3</v>
      </c>
      <c r="W42" s="3"/>
      <c r="X42" s="7">
        <f t="shared" si="18"/>
        <v>291.38192307692293</v>
      </c>
      <c r="Y42" s="3"/>
      <c r="Z42" s="8">
        <f t="shared" si="19"/>
        <v>1.1572047198991855</v>
      </c>
    </row>
    <row r="43" spans="1:26" s="24" customFormat="1" hidden="1" outlineLevel="2" x14ac:dyDescent="0.25">
      <c r="A43" s="27"/>
      <c r="B43" s="12" t="str">
        <f>CONCATENATE("          ", "6116", " - ", "EDUCATIONAL BENEFITS")</f>
        <v xml:space="preserve">          6116 - EDUCATIONAL BENEFITS</v>
      </c>
      <c r="C43" s="12"/>
      <c r="D43" s="7"/>
      <c r="E43" s="3"/>
      <c r="F43" s="8">
        <f t="shared" si="12"/>
        <v>0</v>
      </c>
      <c r="G43" s="3"/>
      <c r="H43" s="7">
        <v>0</v>
      </c>
      <c r="I43" s="3"/>
      <c r="J43" s="8">
        <f t="shared" si="13"/>
        <v>0</v>
      </c>
      <c r="K43" s="3"/>
      <c r="L43" s="7">
        <f t="shared" si="14"/>
        <v>0</v>
      </c>
      <c r="M43" s="3"/>
      <c r="N43" s="8">
        <f t="shared" si="15"/>
        <v>0</v>
      </c>
      <c r="O43" s="12"/>
      <c r="P43" s="7"/>
      <c r="Q43" s="3"/>
      <c r="R43" s="8">
        <f t="shared" si="16"/>
        <v>0</v>
      </c>
      <c r="S43" s="3"/>
      <c r="T43" s="7">
        <v>0</v>
      </c>
      <c r="U43" s="3"/>
      <c r="V43" s="8">
        <f t="shared" si="17"/>
        <v>0</v>
      </c>
      <c r="W43" s="3"/>
      <c r="X43" s="7">
        <f t="shared" si="18"/>
        <v>0</v>
      </c>
      <c r="Y43" s="3"/>
      <c r="Z43" s="8">
        <f t="shared" si="19"/>
        <v>0</v>
      </c>
    </row>
    <row r="44" spans="1:26" s="24" customFormat="1" hidden="1" outlineLevel="2" x14ac:dyDescent="0.25">
      <c r="A44" s="27"/>
      <c r="B44" s="12" t="str">
        <f>CONCATENATE("          ", "6118", " - ", "VACATION")</f>
        <v xml:space="preserve">          6118 - VACATION</v>
      </c>
      <c r="C44" s="12"/>
      <c r="D44" s="7">
        <v>402.51</v>
      </c>
      <c r="E44" s="3"/>
      <c r="F44" s="8">
        <f t="shared" si="12"/>
        <v>1.4974458486809967E-2</v>
      </c>
      <c r="G44" s="3"/>
      <c r="H44" s="7">
        <v>146.394230769231</v>
      </c>
      <c r="I44" s="3"/>
      <c r="J44" s="8">
        <f t="shared" si="13"/>
        <v>2.9932573560405456E-3</v>
      </c>
      <c r="K44" s="3"/>
      <c r="L44" s="7">
        <f t="shared" si="14"/>
        <v>256.11576923076899</v>
      </c>
      <c r="M44" s="3"/>
      <c r="N44" s="8">
        <f t="shared" si="15"/>
        <v>1.7494935960591089</v>
      </c>
      <c r="O44" s="12"/>
      <c r="P44" s="7">
        <v>402.51</v>
      </c>
      <c r="Q44" s="3"/>
      <c r="R44" s="8">
        <f t="shared" si="16"/>
        <v>1.4974458486809967E-2</v>
      </c>
      <c r="S44" s="3"/>
      <c r="T44" s="7">
        <v>146.394230769231</v>
      </c>
      <c r="U44" s="3"/>
      <c r="V44" s="8">
        <f t="shared" si="17"/>
        <v>2.9932573560405456E-3</v>
      </c>
      <c r="W44" s="3"/>
      <c r="X44" s="7">
        <f t="shared" si="18"/>
        <v>256.11576923076899</v>
      </c>
      <c r="Y44" s="3"/>
      <c r="Z44" s="8">
        <f t="shared" si="19"/>
        <v>1.7494935960591089</v>
      </c>
    </row>
    <row r="45" spans="1:26" s="24" customFormat="1" hidden="1" outlineLevel="2" x14ac:dyDescent="0.25">
      <c r="A45" s="27"/>
      <c r="B45" s="12" t="str">
        <f>CONCATENATE("          ", "6119", " - ", "SICK LEAVE")</f>
        <v xml:space="preserve">          6119 - SICK LEAVE</v>
      </c>
      <c r="C45" s="12"/>
      <c r="D45" s="7">
        <v>223.35</v>
      </c>
      <c r="E45" s="3"/>
      <c r="F45" s="8">
        <f t="shared" si="12"/>
        <v>8.3092228839755679E-3</v>
      </c>
      <c r="G45" s="3"/>
      <c r="H45" s="7">
        <v>227.644230769231</v>
      </c>
      <c r="I45" s="3"/>
      <c r="J45" s="8">
        <f t="shared" si="13"/>
        <v>4.6545397638265932E-3</v>
      </c>
      <c r="K45" s="3"/>
      <c r="L45" s="7">
        <f t="shared" si="14"/>
        <v>-4.2942307692310067</v>
      </c>
      <c r="M45" s="3"/>
      <c r="N45" s="8">
        <f t="shared" si="15"/>
        <v>-1.8863780359029535E-2</v>
      </c>
      <c r="O45" s="12"/>
      <c r="P45" s="7">
        <v>223.35</v>
      </c>
      <c r="Q45" s="3"/>
      <c r="R45" s="8">
        <f t="shared" si="16"/>
        <v>8.3092228839755679E-3</v>
      </c>
      <c r="S45" s="3"/>
      <c r="T45" s="7">
        <v>227.644230769231</v>
      </c>
      <c r="U45" s="3"/>
      <c r="V45" s="8">
        <f t="shared" si="17"/>
        <v>4.6545397638265932E-3</v>
      </c>
      <c r="W45" s="3"/>
      <c r="X45" s="7">
        <f t="shared" si="18"/>
        <v>-4.2942307692310067</v>
      </c>
      <c r="Y45" s="3"/>
      <c r="Z45" s="8">
        <f t="shared" si="19"/>
        <v>-1.8863780359029535E-2</v>
      </c>
    </row>
    <row r="46" spans="1:26" s="24" customFormat="1" hidden="1" outlineLevel="2" x14ac:dyDescent="0.25">
      <c r="A46" s="27"/>
      <c r="B46" s="12" t="str">
        <f>CONCATENATE("          ", "6156", " - ", "EMPLOYEE MEALS")</f>
        <v xml:space="preserve">          6156 - EMPLOYEE MEALS</v>
      </c>
      <c r="C46" s="12"/>
      <c r="D46" s="7">
        <v>76.48</v>
      </c>
      <c r="E46" s="3"/>
      <c r="F46" s="8">
        <f t="shared" si="12"/>
        <v>2.8452624408616587E-3</v>
      </c>
      <c r="G46" s="3"/>
      <c r="H46" s="7">
        <v>175</v>
      </c>
      <c r="I46" s="3"/>
      <c r="J46" s="8">
        <f t="shared" si="13"/>
        <v>3.5781467244622557E-3</v>
      </c>
      <c r="K46" s="3"/>
      <c r="L46" s="7">
        <f t="shared" si="14"/>
        <v>-98.52</v>
      </c>
      <c r="M46" s="3"/>
      <c r="N46" s="8">
        <f t="shared" si="15"/>
        <v>-0.56297142857142857</v>
      </c>
      <c r="O46" s="12"/>
      <c r="P46" s="7">
        <v>76.48</v>
      </c>
      <c r="Q46" s="3"/>
      <c r="R46" s="8">
        <f t="shared" si="16"/>
        <v>2.8452624408616587E-3</v>
      </c>
      <c r="S46" s="3"/>
      <c r="T46" s="7">
        <v>175</v>
      </c>
      <c r="U46" s="3"/>
      <c r="V46" s="8">
        <f t="shared" si="17"/>
        <v>3.5781467244622557E-3</v>
      </c>
      <c r="W46" s="3"/>
      <c r="X46" s="7">
        <f t="shared" si="18"/>
        <v>-98.52</v>
      </c>
      <c r="Y46" s="3"/>
      <c r="Z46" s="8">
        <f t="shared" si="19"/>
        <v>-0.56297142857142857</v>
      </c>
    </row>
    <row r="47" spans="1:26" s="29" customFormat="1" outlineLevel="1" collapsed="1" x14ac:dyDescent="0.25">
      <c r="A47" s="28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11018.7</v>
      </c>
      <c r="E47" s="1"/>
      <c r="F47" s="5">
        <f t="shared" ref="F47:F57" si="20">IF(D$12=0,0,D47/D$12)</f>
        <v>0.40992538254605598</v>
      </c>
      <c r="G47" s="1"/>
      <c r="H47" s="1">
        <f>SUM(OSRRefH22_1x_0)</f>
        <v>10760.096153846149</v>
      </c>
      <c r="I47" s="1"/>
      <c r="J47" s="5">
        <f t="shared" ref="J47:J57" si="21">IF(H$12=0,0,H47/H$12)</f>
        <v>0.22000687318733436</v>
      </c>
      <c r="K47" s="1"/>
      <c r="L47" s="1">
        <f t="shared" ref="L47:L57" si="22">+D47-H47</f>
        <v>258.60384615385192</v>
      </c>
      <c r="M47" s="1"/>
      <c r="N47" s="5">
        <f t="shared" ref="N47:N57" si="23">IF(H47=0,0,L47/H47)</f>
        <v>2.4033599928511337E-2</v>
      </c>
      <c r="O47" s="14"/>
      <c r="P47" s="1">
        <f>SUM(OSRRefP22_1x_0)</f>
        <v>11018.7</v>
      </c>
      <c r="Q47" s="1"/>
      <c r="R47" s="5">
        <f t="shared" ref="R47:R57" si="24">IF(P$12=0,0,P47/P$12)</f>
        <v>0.40992538254605598</v>
      </c>
      <c r="S47" s="1"/>
      <c r="T47" s="1">
        <f>SUM(OSRRefT22_1x_0)</f>
        <v>10760.096153846149</v>
      </c>
      <c r="U47" s="1"/>
      <c r="V47" s="5">
        <f t="shared" ref="V47:V57" si="25">IF(T$12=0,0,T47/T$12)</f>
        <v>0.22000687318733436</v>
      </c>
      <c r="W47" s="1"/>
      <c r="X47" s="1">
        <f t="shared" ref="X47:X57" si="26">+P47-T47</f>
        <v>258.60384615385192</v>
      </c>
      <c r="Y47" s="1"/>
      <c r="Z47" s="5">
        <f t="shared" ref="Z47:Z57" si="27">IF(T47=0,0,X47/T47)</f>
        <v>2.4033599928511337E-2</v>
      </c>
    </row>
    <row r="48" spans="1:26" s="24" customFormat="1" hidden="1" outlineLevel="2" x14ac:dyDescent="0.25">
      <c r="A48" s="27"/>
      <c r="B48" s="12" t="str">
        <f>CONCATENATE("          ", "6001", " - ", "ADMINISTRATIVE SALARIES")</f>
        <v xml:space="preserve">          6001 - ADMINISTRATIVE SALARIES</v>
      </c>
      <c r="C48" s="12"/>
      <c r="D48" s="7"/>
      <c r="E48" s="3"/>
      <c r="F48" s="8">
        <f t="shared" si="20"/>
        <v>0</v>
      </c>
      <c r="G48" s="3"/>
      <c r="H48" s="7">
        <v>0</v>
      </c>
      <c r="I48" s="3"/>
      <c r="J48" s="8">
        <f t="shared" si="21"/>
        <v>0</v>
      </c>
      <c r="K48" s="3"/>
      <c r="L48" s="7">
        <f t="shared" si="22"/>
        <v>0</v>
      </c>
      <c r="M48" s="3"/>
      <c r="N48" s="8">
        <f t="shared" si="23"/>
        <v>0</v>
      </c>
      <c r="O48" s="12"/>
      <c r="P48" s="7"/>
      <c r="Q48" s="3"/>
      <c r="R48" s="8">
        <f t="shared" si="24"/>
        <v>0</v>
      </c>
      <c r="S48" s="3"/>
      <c r="T48" s="7">
        <v>0</v>
      </c>
      <c r="U48" s="3"/>
      <c r="V48" s="8">
        <f t="shared" si="25"/>
        <v>0</v>
      </c>
      <c r="W48" s="3"/>
      <c r="X48" s="7">
        <f t="shared" si="26"/>
        <v>0</v>
      </c>
      <c r="Y48" s="3"/>
      <c r="Z48" s="8">
        <f t="shared" si="27"/>
        <v>0</v>
      </c>
    </row>
    <row r="49" spans="1:26" s="24" customFormat="1" hidden="1" outlineLevel="2" x14ac:dyDescent="0.25">
      <c r="A49" s="27"/>
      <c r="B49" s="12" t="str">
        <f>CONCATENATE("          ", "6002", " - ", "STAFF SALARIES")</f>
        <v xml:space="preserve">          6002 - STAFF SALARIES</v>
      </c>
      <c r="C49" s="12"/>
      <c r="D49" s="7">
        <v>5855.62</v>
      </c>
      <c r="E49" s="3"/>
      <c r="F49" s="8">
        <f t="shared" si="20"/>
        <v>0.21784486995238422</v>
      </c>
      <c r="G49" s="3"/>
      <c r="H49" s="7">
        <v>2635.0961538461497</v>
      </c>
      <c r="I49" s="3"/>
      <c r="J49" s="8">
        <f t="shared" si="21"/>
        <v>5.387863240872965E-2</v>
      </c>
      <c r="K49" s="3"/>
      <c r="L49" s="7">
        <f t="shared" si="22"/>
        <v>3220.5238461538502</v>
      </c>
      <c r="M49" s="3"/>
      <c r="N49" s="8">
        <f t="shared" si="23"/>
        <v>1.222165590220766</v>
      </c>
      <c r="O49" s="12"/>
      <c r="P49" s="7">
        <v>5855.62</v>
      </c>
      <c r="Q49" s="3"/>
      <c r="R49" s="8">
        <f t="shared" si="24"/>
        <v>0.21784486995238422</v>
      </c>
      <c r="S49" s="3"/>
      <c r="T49" s="7">
        <v>2635.0961538461497</v>
      </c>
      <c r="U49" s="3"/>
      <c r="V49" s="8">
        <f t="shared" si="25"/>
        <v>5.387863240872965E-2</v>
      </c>
      <c r="W49" s="3"/>
      <c r="X49" s="7">
        <f t="shared" si="26"/>
        <v>3220.5238461538502</v>
      </c>
      <c r="Y49" s="3"/>
      <c r="Z49" s="8">
        <f t="shared" si="27"/>
        <v>1.222165590220766</v>
      </c>
    </row>
    <row r="50" spans="1:26" s="24" customFormat="1" hidden="1" outlineLevel="2" x14ac:dyDescent="0.25">
      <c r="A50" s="27"/>
      <c r="B50" s="12" t="str">
        <f>CONCATENATE("          ", "6003", " - ", "STAFF HOURLY-9 MONTH")</f>
        <v xml:space="preserve">          6003 - STAFF HOURLY-9 MONTH</v>
      </c>
      <c r="C50" s="12"/>
      <c r="D50" s="7"/>
      <c r="E50" s="3"/>
      <c r="F50" s="8">
        <f t="shared" si="20"/>
        <v>0</v>
      </c>
      <c r="G50" s="3"/>
      <c r="H50" s="7">
        <v>0</v>
      </c>
      <c r="I50" s="3"/>
      <c r="J50" s="8">
        <f t="shared" si="21"/>
        <v>0</v>
      </c>
      <c r="K50" s="3"/>
      <c r="L50" s="7">
        <f t="shared" si="22"/>
        <v>0</v>
      </c>
      <c r="M50" s="3"/>
      <c r="N50" s="8">
        <f t="shared" si="23"/>
        <v>0</v>
      </c>
      <c r="O50" s="12"/>
      <c r="P50" s="7"/>
      <c r="Q50" s="3"/>
      <c r="R50" s="8">
        <f t="shared" si="24"/>
        <v>0</v>
      </c>
      <c r="S50" s="3"/>
      <c r="T50" s="7">
        <v>0</v>
      </c>
      <c r="U50" s="3"/>
      <c r="V50" s="8">
        <f t="shared" si="25"/>
        <v>0</v>
      </c>
      <c r="W50" s="3"/>
      <c r="X50" s="7">
        <f t="shared" si="26"/>
        <v>0</v>
      </c>
      <c r="Y50" s="3"/>
      <c r="Z50" s="8">
        <f t="shared" si="27"/>
        <v>0</v>
      </c>
    </row>
    <row r="51" spans="1:26" s="24" customFormat="1" hidden="1" outlineLevel="2" x14ac:dyDescent="0.25">
      <c r="A51" s="27"/>
      <c r="B51" s="12" t="str">
        <f>CONCATENATE("          ", "6004", " - ", "STAFF HOURLY")</f>
        <v xml:space="preserve">          6004 - STAFF HOURLY</v>
      </c>
      <c r="C51" s="12"/>
      <c r="D51" s="7">
        <v>2750.47</v>
      </c>
      <c r="E51" s="3"/>
      <c r="F51" s="8">
        <f t="shared" si="20"/>
        <v>0.10232490828604558</v>
      </c>
      <c r="G51" s="3"/>
      <c r="H51" s="7">
        <v>1650</v>
      </c>
      <c r="I51" s="3"/>
      <c r="J51" s="8">
        <f t="shared" si="21"/>
        <v>3.3736811973501271E-2</v>
      </c>
      <c r="K51" s="3"/>
      <c r="L51" s="7">
        <f t="shared" si="22"/>
        <v>1100.4699999999998</v>
      </c>
      <c r="M51" s="3"/>
      <c r="N51" s="8">
        <f t="shared" si="23"/>
        <v>0.66695151515151507</v>
      </c>
      <c r="O51" s="12"/>
      <c r="P51" s="7">
        <v>2750.47</v>
      </c>
      <c r="Q51" s="3"/>
      <c r="R51" s="8">
        <f t="shared" si="24"/>
        <v>0.10232490828604558</v>
      </c>
      <c r="S51" s="3"/>
      <c r="T51" s="7">
        <v>1650</v>
      </c>
      <c r="U51" s="3"/>
      <c r="V51" s="8">
        <f t="shared" si="25"/>
        <v>3.3736811973501271E-2</v>
      </c>
      <c r="W51" s="3"/>
      <c r="X51" s="7">
        <f t="shared" si="26"/>
        <v>1100.4699999999998</v>
      </c>
      <c r="Y51" s="3"/>
      <c r="Z51" s="8">
        <f t="shared" si="27"/>
        <v>0.66695151515151507</v>
      </c>
    </row>
    <row r="52" spans="1:26" s="24" customFormat="1" hidden="1" outlineLevel="2" x14ac:dyDescent="0.25">
      <c r="A52" s="27"/>
      <c r="B52" s="12" t="str">
        <f>CONCATENATE("          ", "6005", " - ", "TEMPORARY WAGES-HOURLY")</f>
        <v xml:space="preserve">          6005 - TEMPORARY WAGES-HOURLY</v>
      </c>
      <c r="C52" s="12"/>
      <c r="D52" s="7">
        <v>1210.6099999999999</v>
      </c>
      <c r="E52" s="3"/>
      <c r="F52" s="8">
        <f t="shared" si="20"/>
        <v>4.5037959774209366E-2</v>
      </c>
      <c r="G52" s="3"/>
      <c r="H52" s="7">
        <v>0</v>
      </c>
      <c r="I52" s="3"/>
      <c r="J52" s="8">
        <f t="shared" si="21"/>
        <v>0</v>
      </c>
      <c r="K52" s="3"/>
      <c r="L52" s="7">
        <f t="shared" si="22"/>
        <v>1210.6099999999999</v>
      </c>
      <c r="M52" s="3"/>
      <c r="N52" s="8">
        <f t="shared" si="23"/>
        <v>0</v>
      </c>
      <c r="O52" s="12"/>
      <c r="P52" s="7">
        <v>1210.6099999999999</v>
      </c>
      <c r="Q52" s="3"/>
      <c r="R52" s="8">
        <f t="shared" si="24"/>
        <v>4.5037959774209366E-2</v>
      </c>
      <c r="S52" s="3"/>
      <c r="T52" s="7">
        <v>0</v>
      </c>
      <c r="U52" s="3"/>
      <c r="V52" s="8">
        <f t="shared" si="25"/>
        <v>0</v>
      </c>
      <c r="W52" s="3"/>
      <c r="X52" s="7">
        <f t="shared" si="26"/>
        <v>1210.6099999999999</v>
      </c>
      <c r="Y52" s="3"/>
      <c r="Z52" s="8">
        <f t="shared" si="27"/>
        <v>0</v>
      </c>
    </row>
    <row r="53" spans="1:26" s="24" customFormat="1" hidden="1" outlineLevel="2" x14ac:dyDescent="0.25">
      <c r="A53" s="27"/>
      <c r="B53" s="12" t="str">
        <f>CONCATENATE("          ", "6006", " - ", "TEMPORARY PART TIME")</f>
        <v xml:space="preserve">          6006 - TEMPORARY PART TIME</v>
      </c>
      <c r="C53" s="12"/>
      <c r="D53" s="7"/>
      <c r="E53" s="3"/>
      <c r="F53" s="8">
        <f t="shared" si="20"/>
        <v>0</v>
      </c>
      <c r="G53" s="3"/>
      <c r="H53" s="7">
        <v>0</v>
      </c>
      <c r="I53" s="3"/>
      <c r="J53" s="8">
        <f t="shared" si="21"/>
        <v>0</v>
      </c>
      <c r="K53" s="3"/>
      <c r="L53" s="7">
        <f t="shared" si="22"/>
        <v>0</v>
      </c>
      <c r="M53" s="3"/>
      <c r="N53" s="8">
        <f t="shared" si="23"/>
        <v>0</v>
      </c>
      <c r="O53" s="12"/>
      <c r="P53" s="7"/>
      <c r="Q53" s="3"/>
      <c r="R53" s="8">
        <f t="shared" si="24"/>
        <v>0</v>
      </c>
      <c r="S53" s="3"/>
      <c r="T53" s="7">
        <v>0</v>
      </c>
      <c r="U53" s="3"/>
      <c r="V53" s="8">
        <f t="shared" si="25"/>
        <v>0</v>
      </c>
      <c r="W53" s="3"/>
      <c r="X53" s="7">
        <f t="shared" si="26"/>
        <v>0</v>
      </c>
      <c r="Y53" s="3"/>
      <c r="Z53" s="8">
        <f t="shared" si="27"/>
        <v>0</v>
      </c>
    </row>
    <row r="54" spans="1:26" s="24" customFormat="1" hidden="1" outlineLevel="2" x14ac:dyDescent="0.25">
      <c r="A54" s="27"/>
      <c r="B54" s="12" t="str">
        <f>CONCATENATE("          ", "6007", " - ", "STUDENT HOURLY")</f>
        <v xml:space="preserve">          6007 - STUDENT HOURLY</v>
      </c>
      <c r="C54" s="12"/>
      <c r="D54" s="7">
        <v>1202</v>
      </c>
      <c r="E54" s="3"/>
      <c r="F54" s="8">
        <f t="shared" si="20"/>
        <v>4.4717644533416763E-2</v>
      </c>
      <c r="G54" s="3"/>
      <c r="H54" s="7">
        <v>6475</v>
      </c>
      <c r="I54" s="3"/>
      <c r="J54" s="8">
        <f t="shared" si="21"/>
        <v>0.13239142880510346</v>
      </c>
      <c r="K54" s="3"/>
      <c r="L54" s="7">
        <f t="shared" si="22"/>
        <v>-5273</v>
      </c>
      <c r="M54" s="3"/>
      <c r="N54" s="8">
        <f t="shared" si="23"/>
        <v>-0.81436293436293439</v>
      </c>
      <c r="O54" s="12"/>
      <c r="P54" s="7">
        <v>1202</v>
      </c>
      <c r="Q54" s="3"/>
      <c r="R54" s="8">
        <f t="shared" si="24"/>
        <v>4.4717644533416763E-2</v>
      </c>
      <c r="S54" s="3"/>
      <c r="T54" s="7">
        <v>6475</v>
      </c>
      <c r="U54" s="3"/>
      <c r="V54" s="8">
        <f t="shared" si="25"/>
        <v>0.13239142880510346</v>
      </c>
      <c r="W54" s="3"/>
      <c r="X54" s="7">
        <f t="shared" si="26"/>
        <v>-5273</v>
      </c>
      <c r="Y54" s="3"/>
      <c r="Z54" s="8">
        <f t="shared" si="27"/>
        <v>-0.81436293436293439</v>
      </c>
    </row>
    <row r="55" spans="1:26" s="24" customFormat="1" hidden="1" outlineLevel="2" x14ac:dyDescent="0.25">
      <c r="A55" s="27"/>
      <c r="B55" s="12" t="str">
        <f>CONCATENATE("          ", "6008", " - ", "STUDENT HOURLY-FICA EXEMPT")</f>
        <v xml:space="preserve">          6008 - STUDENT HOURLY-FICA EXEMPT</v>
      </c>
      <c r="C55" s="12"/>
      <c r="D55" s="7"/>
      <c r="E55" s="3"/>
      <c r="F55" s="8">
        <f t="shared" si="20"/>
        <v>0</v>
      </c>
      <c r="G55" s="3"/>
      <c r="H55" s="7">
        <v>0</v>
      </c>
      <c r="I55" s="3"/>
      <c r="J55" s="8">
        <f t="shared" si="21"/>
        <v>0</v>
      </c>
      <c r="K55" s="3"/>
      <c r="L55" s="7">
        <f t="shared" si="22"/>
        <v>0</v>
      </c>
      <c r="M55" s="3"/>
      <c r="N55" s="8">
        <f t="shared" si="23"/>
        <v>0</v>
      </c>
      <c r="O55" s="12"/>
      <c r="P55" s="7"/>
      <c r="Q55" s="3"/>
      <c r="R55" s="8">
        <f t="shared" si="24"/>
        <v>0</v>
      </c>
      <c r="S55" s="3"/>
      <c r="T55" s="7">
        <v>0</v>
      </c>
      <c r="U55" s="3"/>
      <c r="V55" s="8">
        <f t="shared" si="25"/>
        <v>0</v>
      </c>
      <c r="W55" s="3"/>
      <c r="X55" s="7">
        <f t="shared" si="26"/>
        <v>0</v>
      </c>
      <c r="Y55" s="3"/>
      <c r="Z55" s="8">
        <f t="shared" si="27"/>
        <v>0</v>
      </c>
    </row>
    <row r="56" spans="1:26" s="24" customFormat="1" hidden="1" outlineLevel="2" x14ac:dyDescent="0.25">
      <c r="A56" s="27"/>
      <c r="B56" s="12" t="str">
        <f>CONCATENATE("          ", "6009", " - ", "TEMPORARY-SEASONAL")</f>
        <v xml:space="preserve">          6009 - TEMPORARY-SEASONAL</v>
      </c>
      <c r="C56" s="12"/>
      <c r="D56" s="7"/>
      <c r="E56" s="3"/>
      <c r="F56" s="8">
        <f t="shared" si="20"/>
        <v>0</v>
      </c>
      <c r="G56" s="3"/>
      <c r="H56" s="7">
        <v>0</v>
      </c>
      <c r="I56" s="3"/>
      <c r="J56" s="8">
        <f t="shared" si="21"/>
        <v>0</v>
      </c>
      <c r="K56" s="3"/>
      <c r="L56" s="7">
        <f t="shared" si="22"/>
        <v>0</v>
      </c>
      <c r="M56" s="3"/>
      <c r="N56" s="8">
        <f t="shared" si="23"/>
        <v>0</v>
      </c>
      <c r="O56" s="12"/>
      <c r="P56" s="7"/>
      <c r="Q56" s="3"/>
      <c r="R56" s="8">
        <f t="shared" si="24"/>
        <v>0</v>
      </c>
      <c r="S56" s="3"/>
      <c r="T56" s="7">
        <v>0</v>
      </c>
      <c r="U56" s="3"/>
      <c r="V56" s="8">
        <f t="shared" si="25"/>
        <v>0</v>
      </c>
      <c r="W56" s="3"/>
      <c r="X56" s="7">
        <f t="shared" si="26"/>
        <v>0</v>
      </c>
      <c r="Y56" s="3"/>
      <c r="Z56" s="8">
        <f t="shared" si="27"/>
        <v>0</v>
      </c>
    </row>
    <row r="57" spans="1:26" s="24" customFormat="1" hidden="1" outlineLevel="2" x14ac:dyDescent="0.25">
      <c r="A57" s="27"/>
      <c r="B57" s="12" t="str">
        <f>CONCATENATE("          ", "6010", " - ", "GRATUITY")</f>
        <v xml:space="preserve">          6010 - GRATUITY</v>
      </c>
      <c r="C57" s="12"/>
      <c r="D57" s="7"/>
      <c r="E57" s="3"/>
      <c r="F57" s="8">
        <f t="shared" si="20"/>
        <v>0</v>
      </c>
      <c r="G57" s="3"/>
      <c r="H57" s="7">
        <v>0</v>
      </c>
      <c r="I57" s="3"/>
      <c r="J57" s="8">
        <f t="shared" si="21"/>
        <v>0</v>
      </c>
      <c r="K57" s="3"/>
      <c r="L57" s="7">
        <f t="shared" si="22"/>
        <v>0</v>
      </c>
      <c r="M57" s="3"/>
      <c r="N57" s="8">
        <f t="shared" si="23"/>
        <v>0</v>
      </c>
      <c r="O57" s="12"/>
      <c r="P57" s="7"/>
      <c r="Q57" s="3"/>
      <c r="R57" s="8">
        <f t="shared" si="24"/>
        <v>0</v>
      </c>
      <c r="S57" s="3"/>
      <c r="T57" s="7">
        <v>0</v>
      </c>
      <c r="U57" s="3"/>
      <c r="V57" s="8">
        <f t="shared" si="25"/>
        <v>0</v>
      </c>
      <c r="W57" s="3"/>
      <c r="X57" s="7">
        <f t="shared" si="26"/>
        <v>0</v>
      </c>
      <c r="Y57" s="3"/>
      <c r="Z57" s="8">
        <f t="shared" si="27"/>
        <v>0</v>
      </c>
    </row>
    <row r="58" spans="1:26" s="29" customFormat="1" outlineLevel="1" collapsed="1" x14ac:dyDescent="0.25">
      <c r="A58" s="28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0</v>
      </c>
      <c r="E58" s="1"/>
      <c r="F58" s="5">
        <f t="shared" ref="F58:F72" si="28">IF(D$12=0,0,D58/D$12)</f>
        <v>0</v>
      </c>
      <c r="G58" s="1"/>
      <c r="H58" s="1">
        <f>SUM(OSRRefH22_2x_0)</f>
        <v>50</v>
      </c>
      <c r="I58" s="1"/>
      <c r="J58" s="5">
        <f t="shared" ref="J58:J72" si="29">IF(H$12=0,0,H58/H$12)</f>
        <v>1.0223276355606444E-3</v>
      </c>
      <c r="K58" s="1"/>
      <c r="L58" s="1">
        <f t="shared" ref="L58:L72" si="30">+D58-H58</f>
        <v>-50</v>
      </c>
      <c r="M58" s="1"/>
      <c r="N58" s="5">
        <f t="shared" ref="N58:N72" si="31">IF(H58=0,0,L58/H58)</f>
        <v>-1</v>
      </c>
      <c r="O58" s="14"/>
      <c r="P58" s="1">
        <f>SUM(OSRRefP22_2x_0)</f>
        <v>0</v>
      </c>
      <c r="Q58" s="1"/>
      <c r="R58" s="5">
        <f t="shared" ref="R58:R72" si="32">IF(P$12=0,0,P58/P$12)</f>
        <v>0</v>
      </c>
      <c r="S58" s="1"/>
      <c r="T58" s="1">
        <f>SUM(OSRRefT22_2x_0)</f>
        <v>50</v>
      </c>
      <c r="U58" s="1"/>
      <c r="V58" s="5">
        <f t="shared" ref="V58:V72" si="33">IF(T$12=0,0,T58/T$12)</f>
        <v>1.0223276355606444E-3</v>
      </c>
      <c r="W58" s="1"/>
      <c r="X58" s="1">
        <f t="shared" ref="X58:X72" si="34">+P58-T58</f>
        <v>-50</v>
      </c>
      <c r="Y58" s="1"/>
      <c r="Z58" s="5">
        <f t="shared" ref="Z58:Z72" si="35">IF(T58=0,0,X58/T58)</f>
        <v>-1</v>
      </c>
    </row>
    <row r="59" spans="1:26" s="24" customFormat="1" hidden="1" outlineLevel="2" x14ac:dyDescent="0.25">
      <c r="A59" s="27"/>
      <c r="B59" s="12" t="str">
        <f>CONCATENATE("          ", "6362", " - ", "ADVERTISING EXPENSE")</f>
        <v xml:space="preserve">          6362 - ADVERTISING EXPENSE</v>
      </c>
      <c r="C59" s="12"/>
      <c r="D59" s="7"/>
      <c r="E59" s="3"/>
      <c r="F59" s="8">
        <f t="shared" si="28"/>
        <v>0</v>
      </c>
      <c r="G59" s="3"/>
      <c r="H59" s="7">
        <v>50</v>
      </c>
      <c r="I59" s="3"/>
      <c r="J59" s="8">
        <f t="shared" si="29"/>
        <v>1.0223276355606444E-3</v>
      </c>
      <c r="K59" s="3"/>
      <c r="L59" s="7">
        <f t="shared" si="30"/>
        <v>-50</v>
      </c>
      <c r="M59" s="3"/>
      <c r="N59" s="8">
        <f t="shared" si="31"/>
        <v>-1</v>
      </c>
      <c r="O59" s="12"/>
      <c r="P59" s="7"/>
      <c r="Q59" s="3"/>
      <c r="R59" s="8">
        <f t="shared" si="32"/>
        <v>0</v>
      </c>
      <c r="S59" s="3"/>
      <c r="T59" s="7">
        <v>50</v>
      </c>
      <c r="U59" s="3"/>
      <c r="V59" s="8">
        <f t="shared" si="33"/>
        <v>1.0223276355606444E-3</v>
      </c>
      <c r="W59" s="3"/>
      <c r="X59" s="7">
        <f t="shared" si="34"/>
        <v>-50</v>
      </c>
      <c r="Y59" s="3"/>
      <c r="Z59" s="8">
        <f t="shared" si="35"/>
        <v>-1</v>
      </c>
    </row>
    <row r="60" spans="1:26" s="29" customFormat="1" outlineLevel="1" collapsed="1" x14ac:dyDescent="0.25">
      <c r="A60" s="28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-0.9</v>
      </c>
      <c r="E60" s="1"/>
      <c r="F60" s="5">
        <f t="shared" si="28"/>
        <v>-3.3482429351143996E-5</v>
      </c>
      <c r="G60" s="1"/>
      <c r="H60" s="1">
        <f>SUM(OSRRefH22_3x_0)</f>
        <v>10</v>
      </c>
      <c r="I60" s="1"/>
      <c r="J60" s="5">
        <f t="shared" si="29"/>
        <v>2.044655271121289E-4</v>
      </c>
      <c r="K60" s="1"/>
      <c r="L60" s="1">
        <f t="shared" si="30"/>
        <v>-10.9</v>
      </c>
      <c r="M60" s="1"/>
      <c r="N60" s="5">
        <f t="shared" si="31"/>
        <v>-1.0900000000000001</v>
      </c>
      <c r="O60" s="14"/>
      <c r="P60" s="1">
        <f>SUM(OSRRefP22_3x_0)</f>
        <v>-0.9</v>
      </c>
      <c r="Q60" s="1"/>
      <c r="R60" s="5">
        <f t="shared" si="32"/>
        <v>-3.3482429351143996E-5</v>
      </c>
      <c r="S60" s="1"/>
      <c r="T60" s="1">
        <f>SUM(OSRRefT22_3x_0)</f>
        <v>10</v>
      </c>
      <c r="U60" s="1"/>
      <c r="V60" s="5">
        <f t="shared" si="33"/>
        <v>2.044655271121289E-4</v>
      </c>
      <c r="W60" s="1"/>
      <c r="X60" s="1">
        <f t="shared" si="34"/>
        <v>-10.9</v>
      </c>
      <c r="Y60" s="1"/>
      <c r="Z60" s="5">
        <f t="shared" si="35"/>
        <v>-1.0900000000000001</v>
      </c>
    </row>
    <row r="61" spans="1:26" s="24" customFormat="1" hidden="1" outlineLevel="2" x14ac:dyDescent="0.25">
      <c r="A61" s="27"/>
      <c r="B61" s="12" t="str">
        <f>CONCATENATE("          ", "6272", " - ", "CASH (OVER/SHORT)")</f>
        <v xml:space="preserve">          6272 - CASH (OVER/SHORT)</v>
      </c>
      <c r="C61" s="12"/>
      <c r="D61" s="7">
        <v>-0.9</v>
      </c>
      <c r="E61" s="3"/>
      <c r="F61" s="8">
        <f t="shared" si="28"/>
        <v>-3.3482429351143996E-5</v>
      </c>
      <c r="G61" s="3"/>
      <c r="H61" s="7">
        <v>10</v>
      </c>
      <c r="I61" s="3"/>
      <c r="J61" s="8">
        <f t="shared" si="29"/>
        <v>2.044655271121289E-4</v>
      </c>
      <c r="K61" s="3"/>
      <c r="L61" s="7">
        <f t="shared" si="30"/>
        <v>-10.9</v>
      </c>
      <c r="M61" s="3"/>
      <c r="N61" s="8">
        <f t="shared" si="31"/>
        <v>-1.0900000000000001</v>
      </c>
      <c r="O61" s="12"/>
      <c r="P61" s="7">
        <v>-0.9</v>
      </c>
      <c r="Q61" s="3"/>
      <c r="R61" s="8">
        <f t="shared" si="32"/>
        <v>-3.3482429351143996E-5</v>
      </c>
      <c r="S61" s="3"/>
      <c r="T61" s="7">
        <v>10</v>
      </c>
      <c r="U61" s="3"/>
      <c r="V61" s="8">
        <f t="shared" si="33"/>
        <v>2.044655271121289E-4</v>
      </c>
      <c r="W61" s="3"/>
      <c r="X61" s="7">
        <f t="shared" si="34"/>
        <v>-10.9</v>
      </c>
      <c r="Y61" s="3"/>
      <c r="Z61" s="8">
        <f t="shared" si="35"/>
        <v>-1.0900000000000001</v>
      </c>
    </row>
    <row r="62" spans="1:26" s="29" customFormat="1" outlineLevel="1" collapsed="1" x14ac:dyDescent="0.25">
      <c r="A62" s="28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306.89</v>
      </c>
      <c r="E62" s="1"/>
      <c r="F62" s="5">
        <f t="shared" si="28"/>
        <v>1.1417136381747312E-2</v>
      </c>
      <c r="G62" s="1"/>
      <c r="H62" s="1">
        <f>SUM(OSRRefH22_4x_0)</f>
        <v>600</v>
      </c>
      <c r="I62" s="1"/>
      <c r="J62" s="5">
        <f t="shared" si="29"/>
        <v>1.2267931626727733E-2</v>
      </c>
      <c r="K62" s="1"/>
      <c r="L62" s="1">
        <f t="shared" si="30"/>
        <v>-293.11</v>
      </c>
      <c r="M62" s="1"/>
      <c r="N62" s="5">
        <f t="shared" si="31"/>
        <v>-0.48851666666666671</v>
      </c>
      <c r="O62" s="14"/>
      <c r="P62" s="1">
        <f>SUM(OSRRefP22_4x_0)</f>
        <v>306.89</v>
      </c>
      <c r="Q62" s="1"/>
      <c r="R62" s="5">
        <f t="shared" si="32"/>
        <v>1.1417136381747312E-2</v>
      </c>
      <c r="S62" s="1"/>
      <c r="T62" s="1">
        <f>SUM(OSRRefT22_4x_0)</f>
        <v>600</v>
      </c>
      <c r="U62" s="1"/>
      <c r="V62" s="5">
        <f t="shared" si="33"/>
        <v>1.2267931626727733E-2</v>
      </c>
      <c r="W62" s="1"/>
      <c r="X62" s="1">
        <f t="shared" si="34"/>
        <v>-293.11</v>
      </c>
      <c r="Y62" s="1"/>
      <c r="Z62" s="5">
        <f t="shared" si="35"/>
        <v>-0.48851666666666671</v>
      </c>
    </row>
    <row r="63" spans="1:26" s="24" customFormat="1" hidden="1" outlineLevel="2" x14ac:dyDescent="0.25">
      <c r="A63" s="27"/>
      <c r="B63" s="12" t="str">
        <f>CONCATENATE("          ", "6381", " - ", "BANK/CREDIT CARD FEES")</f>
        <v xml:space="preserve">          6381 - BANK/CREDIT CARD FEES</v>
      </c>
      <c r="C63" s="12"/>
      <c r="D63" s="7">
        <v>306.89</v>
      </c>
      <c r="E63" s="3"/>
      <c r="F63" s="8">
        <f t="shared" si="28"/>
        <v>1.1417136381747312E-2</v>
      </c>
      <c r="G63" s="3"/>
      <c r="H63" s="7">
        <v>600</v>
      </c>
      <c r="I63" s="3"/>
      <c r="J63" s="8">
        <f t="shared" si="29"/>
        <v>1.2267931626727733E-2</v>
      </c>
      <c r="K63" s="3"/>
      <c r="L63" s="7">
        <f t="shared" si="30"/>
        <v>-293.11</v>
      </c>
      <c r="M63" s="3"/>
      <c r="N63" s="8">
        <f t="shared" si="31"/>
        <v>-0.48851666666666671</v>
      </c>
      <c r="O63" s="12"/>
      <c r="P63" s="7">
        <v>306.89</v>
      </c>
      <c r="Q63" s="3"/>
      <c r="R63" s="8">
        <f t="shared" si="32"/>
        <v>1.1417136381747312E-2</v>
      </c>
      <c r="S63" s="3"/>
      <c r="T63" s="7">
        <v>600</v>
      </c>
      <c r="U63" s="3"/>
      <c r="V63" s="8">
        <f t="shared" si="33"/>
        <v>1.2267931626727733E-2</v>
      </c>
      <c r="W63" s="3"/>
      <c r="X63" s="7">
        <f t="shared" si="34"/>
        <v>-293.11</v>
      </c>
      <c r="Y63" s="3"/>
      <c r="Z63" s="8">
        <f t="shared" si="35"/>
        <v>-0.48851666666666671</v>
      </c>
    </row>
    <row r="64" spans="1:26" s="29" customFormat="1" outlineLevel="1" collapsed="1" x14ac:dyDescent="0.25">
      <c r="A64" s="28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0</v>
      </c>
      <c r="E64" s="1"/>
      <c r="F64" s="5">
        <f t="shared" si="28"/>
        <v>0</v>
      </c>
      <c r="G64" s="1"/>
      <c r="H64" s="1">
        <f>SUM(OSRRefH22_5x_0)</f>
        <v>4891</v>
      </c>
      <c r="I64" s="1"/>
      <c r="J64" s="5">
        <f t="shared" si="29"/>
        <v>0.10000408931054225</v>
      </c>
      <c r="K64" s="1"/>
      <c r="L64" s="1">
        <f t="shared" si="30"/>
        <v>-4891</v>
      </c>
      <c r="M64" s="1"/>
      <c r="N64" s="5">
        <f t="shared" si="31"/>
        <v>-1</v>
      </c>
      <c r="O64" s="14"/>
      <c r="P64" s="1">
        <f>SUM(OSRRefP22_5x_0)</f>
        <v>0</v>
      </c>
      <c r="Q64" s="1"/>
      <c r="R64" s="5">
        <f t="shared" si="32"/>
        <v>0</v>
      </c>
      <c r="S64" s="1"/>
      <c r="T64" s="1">
        <f>SUM(OSRRefT22_5x_0)</f>
        <v>4891</v>
      </c>
      <c r="U64" s="1"/>
      <c r="V64" s="5">
        <f t="shared" si="33"/>
        <v>0.10000408931054225</v>
      </c>
      <c r="W64" s="1"/>
      <c r="X64" s="1">
        <f t="shared" si="34"/>
        <v>-4891</v>
      </c>
      <c r="Y64" s="1"/>
      <c r="Z64" s="5">
        <f t="shared" si="35"/>
        <v>-1</v>
      </c>
    </row>
    <row r="65" spans="1:26" s="24" customFormat="1" hidden="1" outlineLevel="2" x14ac:dyDescent="0.25">
      <c r="A65" s="27"/>
      <c r="B65" s="12" t="str">
        <f>CONCATENATE("          ", "6382", " - ", "DISCOUNTS/MARK DOWNS")</f>
        <v xml:space="preserve">          6382 - DISCOUNTS/MARK DOWNS</v>
      </c>
      <c r="C65" s="12"/>
      <c r="D65" s="7"/>
      <c r="E65" s="3"/>
      <c r="F65" s="8">
        <f t="shared" si="28"/>
        <v>0</v>
      </c>
      <c r="G65" s="3"/>
      <c r="H65" s="7">
        <v>4891</v>
      </c>
      <c r="I65" s="3"/>
      <c r="J65" s="8">
        <f t="shared" si="29"/>
        <v>0.10000408931054225</v>
      </c>
      <c r="K65" s="3"/>
      <c r="L65" s="7">
        <f t="shared" si="30"/>
        <v>-4891</v>
      </c>
      <c r="M65" s="3"/>
      <c r="N65" s="8">
        <f t="shared" si="31"/>
        <v>-1</v>
      </c>
      <c r="O65" s="12"/>
      <c r="P65" s="7"/>
      <c r="Q65" s="3"/>
      <c r="R65" s="8">
        <f t="shared" si="32"/>
        <v>0</v>
      </c>
      <c r="S65" s="3"/>
      <c r="T65" s="7">
        <v>4891</v>
      </c>
      <c r="U65" s="3"/>
      <c r="V65" s="8">
        <f t="shared" si="33"/>
        <v>0.10000408931054225</v>
      </c>
      <c r="W65" s="3"/>
      <c r="X65" s="7">
        <f t="shared" si="34"/>
        <v>-4891</v>
      </c>
      <c r="Y65" s="3"/>
      <c r="Z65" s="8">
        <f t="shared" si="35"/>
        <v>-1</v>
      </c>
    </row>
    <row r="66" spans="1:26" s="29" customFormat="1" outlineLevel="1" collapsed="1" x14ac:dyDescent="0.25">
      <c r="A66" s="28"/>
      <c r="B66" s="14" t="str">
        <f>CONCATENATE("     ","Donations                                         ")</f>
        <v xml:space="preserve">     Donations                                         </v>
      </c>
      <c r="C66" s="14"/>
      <c r="D66" s="1">
        <f>SUM(OSRRefD22_6x_0)</f>
        <v>0</v>
      </c>
      <c r="E66" s="1"/>
      <c r="F66" s="5">
        <f t="shared" si="28"/>
        <v>0</v>
      </c>
      <c r="G66" s="1"/>
      <c r="H66" s="1">
        <f>SUM(OSRRefH22_6x_0)</f>
        <v>0</v>
      </c>
      <c r="I66" s="1"/>
      <c r="J66" s="5">
        <f t="shared" si="29"/>
        <v>0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SUM(OSRRefP22_6x_0)</f>
        <v>0</v>
      </c>
      <c r="Q66" s="1"/>
      <c r="R66" s="5">
        <f t="shared" si="32"/>
        <v>0</v>
      </c>
      <c r="S66" s="1"/>
      <c r="T66" s="1">
        <f>SUM(OSRRefT22_6x_0)</f>
        <v>0</v>
      </c>
      <c r="U66" s="1"/>
      <c r="V66" s="5">
        <f t="shared" si="33"/>
        <v>0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25">
      <c r="A67" s="27"/>
      <c r="B67" s="12" t="str">
        <f>CONCATENATE("          ", "6395", " - ", "DONATION-OFF CAMPUS")</f>
        <v xml:space="preserve">          6395 - DONATION-OFF CAMPUS</v>
      </c>
      <c r="C67" s="12"/>
      <c r="D67" s="7"/>
      <c r="E67" s="3"/>
      <c r="F67" s="8">
        <f t="shared" si="28"/>
        <v>0</v>
      </c>
      <c r="G67" s="3"/>
      <c r="H67" s="7">
        <v>0</v>
      </c>
      <c r="I67" s="3"/>
      <c r="J67" s="8">
        <f t="shared" si="29"/>
        <v>0</v>
      </c>
      <c r="K67" s="3"/>
      <c r="L67" s="7">
        <f t="shared" si="30"/>
        <v>0</v>
      </c>
      <c r="M67" s="3"/>
      <c r="N67" s="8">
        <f t="shared" si="31"/>
        <v>0</v>
      </c>
      <c r="O67" s="12"/>
      <c r="P67" s="7"/>
      <c r="Q67" s="3"/>
      <c r="R67" s="8">
        <f t="shared" si="32"/>
        <v>0</v>
      </c>
      <c r="S67" s="3"/>
      <c r="T67" s="7">
        <v>0</v>
      </c>
      <c r="U67" s="3"/>
      <c r="V67" s="8">
        <f t="shared" si="33"/>
        <v>0</v>
      </c>
      <c r="W67" s="3"/>
      <c r="X67" s="7">
        <f t="shared" si="34"/>
        <v>0</v>
      </c>
      <c r="Y67" s="3"/>
      <c r="Z67" s="8">
        <f t="shared" si="35"/>
        <v>0</v>
      </c>
    </row>
    <row r="68" spans="1:26" s="29" customFormat="1" outlineLevel="1" collapsed="1" x14ac:dyDescent="0.25">
      <c r="A68" s="28"/>
      <c r="B68" s="14" t="str">
        <f>CONCATENATE("     ","Employees' Appreciation                           ")</f>
        <v xml:space="preserve">     Employees' Appreciation                           </v>
      </c>
      <c r="C68" s="14"/>
      <c r="D68" s="1">
        <f>SUM(OSRRefD22_7x_0)</f>
        <v>0</v>
      </c>
      <c r="E68" s="1"/>
      <c r="F68" s="5">
        <f t="shared" si="28"/>
        <v>0</v>
      </c>
      <c r="G68" s="1"/>
      <c r="H68" s="1">
        <f>SUM(OSRRefH22_7x_0)</f>
        <v>50</v>
      </c>
      <c r="I68" s="1"/>
      <c r="J68" s="5">
        <f t="shared" si="29"/>
        <v>1.0223276355606444E-3</v>
      </c>
      <c r="K68" s="1"/>
      <c r="L68" s="1">
        <f t="shared" si="30"/>
        <v>-50</v>
      </c>
      <c r="M68" s="1"/>
      <c r="N68" s="5">
        <f t="shared" si="31"/>
        <v>-1</v>
      </c>
      <c r="O68" s="14"/>
      <c r="P68" s="1">
        <f>SUM(OSRRefP22_7x_0)</f>
        <v>0</v>
      </c>
      <c r="Q68" s="1"/>
      <c r="R68" s="5">
        <f t="shared" si="32"/>
        <v>0</v>
      </c>
      <c r="S68" s="1"/>
      <c r="T68" s="1">
        <f>SUM(OSRRefT22_7x_0)</f>
        <v>50</v>
      </c>
      <c r="U68" s="1"/>
      <c r="V68" s="5">
        <f t="shared" si="33"/>
        <v>1.0223276355606444E-3</v>
      </c>
      <c r="W68" s="1"/>
      <c r="X68" s="1">
        <f t="shared" si="34"/>
        <v>-50</v>
      </c>
      <c r="Y68" s="1"/>
      <c r="Z68" s="5">
        <f t="shared" si="35"/>
        <v>-1</v>
      </c>
    </row>
    <row r="69" spans="1:26" s="24" customFormat="1" hidden="1" outlineLevel="2" x14ac:dyDescent="0.25">
      <c r="A69" s="27"/>
      <c r="B69" s="12" t="str">
        <f>CONCATENATE("          ", "6277", " - ", "EMPLOYEE APPRECIATION")</f>
        <v xml:space="preserve">          6277 - EMPLOYEE APPRECIATION</v>
      </c>
      <c r="C69" s="12"/>
      <c r="D69" s="7"/>
      <c r="E69" s="3"/>
      <c r="F69" s="8">
        <f t="shared" si="28"/>
        <v>0</v>
      </c>
      <c r="G69" s="3"/>
      <c r="H69" s="7">
        <v>50</v>
      </c>
      <c r="I69" s="3"/>
      <c r="J69" s="8">
        <f t="shared" si="29"/>
        <v>1.0223276355606444E-3</v>
      </c>
      <c r="K69" s="3"/>
      <c r="L69" s="7">
        <f t="shared" si="30"/>
        <v>-50</v>
      </c>
      <c r="M69" s="3"/>
      <c r="N69" s="8">
        <f t="shared" si="31"/>
        <v>-1</v>
      </c>
      <c r="O69" s="12"/>
      <c r="P69" s="7"/>
      <c r="Q69" s="3"/>
      <c r="R69" s="8">
        <f t="shared" si="32"/>
        <v>0</v>
      </c>
      <c r="S69" s="3"/>
      <c r="T69" s="7">
        <v>50</v>
      </c>
      <c r="U69" s="3"/>
      <c r="V69" s="8">
        <f t="shared" si="33"/>
        <v>1.0223276355606444E-3</v>
      </c>
      <c r="W69" s="3"/>
      <c r="X69" s="7">
        <f t="shared" si="34"/>
        <v>-50</v>
      </c>
      <c r="Y69" s="3"/>
      <c r="Z69" s="8">
        <f t="shared" si="35"/>
        <v>-1</v>
      </c>
    </row>
    <row r="70" spans="1:26" s="29" customFormat="1" outlineLevel="1" collapsed="1" x14ac:dyDescent="0.25">
      <c r="A70" s="28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SUM(OSRRefD22_8x_0)</f>
        <v>0</v>
      </c>
      <c r="E70" s="1"/>
      <c r="F70" s="5">
        <f t="shared" si="28"/>
        <v>0</v>
      </c>
      <c r="G70" s="1"/>
      <c r="H70" s="1">
        <f>SUM(OSRRefH22_8x_0)</f>
        <v>150</v>
      </c>
      <c r="I70" s="1"/>
      <c r="J70" s="5">
        <f t="shared" si="29"/>
        <v>3.0669829066819333E-3</v>
      </c>
      <c r="K70" s="1"/>
      <c r="L70" s="1">
        <f t="shared" si="30"/>
        <v>-150</v>
      </c>
      <c r="M70" s="1"/>
      <c r="N70" s="5">
        <f t="shared" si="31"/>
        <v>-1</v>
      </c>
      <c r="O70" s="14"/>
      <c r="P70" s="1">
        <f>SUM(OSRRefP22_8x_0)</f>
        <v>0</v>
      </c>
      <c r="Q70" s="1"/>
      <c r="R70" s="5">
        <f t="shared" si="32"/>
        <v>0</v>
      </c>
      <c r="S70" s="1"/>
      <c r="T70" s="1">
        <f>SUM(OSRRefT22_8x_0)</f>
        <v>150</v>
      </c>
      <c r="U70" s="1"/>
      <c r="V70" s="5">
        <f t="shared" si="33"/>
        <v>3.0669829066819333E-3</v>
      </c>
      <c r="W70" s="1"/>
      <c r="X70" s="1">
        <f t="shared" si="34"/>
        <v>-150</v>
      </c>
      <c r="Y70" s="1"/>
      <c r="Z70" s="5">
        <f t="shared" si="35"/>
        <v>-1</v>
      </c>
    </row>
    <row r="71" spans="1:26" s="24" customFormat="1" hidden="1" outlineLevel="2" x14ac:dyDescent="0.25">
      <c r="A71" s="27"/>
      <c r="B71" s="12" t="str">
        <f>CONCATENATE("          ", "6276", " - ", "PROPERTY TAX")</f>
        <v xml:space="preserve">          6276 - PROPERTY TAX</v>
      </c>
      <c r="C71" s="12"/>
      <c r="D71" s="7"/>
      <c r="E71" s="3"/>
      <c r="F71" s="8">
        <f t="shared" si="28"/>
        <v>0</v>
      </c>
      <c r="G71" s="3"/>
      <c r="H71" s="7">
        <v>150</v>
      </c>
      <c r="I71" s="3"/>
      <c r="J71" s="8">
        <f t="shared" si="29"/>
        <v>3.0669829066819333E-3</v>
      </c>
      <c r="K71" s="3"/>
      <c r="L71" s="7">
        <f t="shared" si="30"/>
        <v>-150</v>
      </c>
      <c r="M71" s="3"/>
      <c r="N71" s="8">
        <f t="shared" si="31"/>
        <v>-1</v>
      </c>
      <c r="O71" s="12"/>
      <c r="P71" s="7"/>
      <c r="Q71" s="3"/>
      <c r="R71" s="8">
        <f t="shared" si="32"/>
        <v>0</v>
      </c>
      <c r="S71" s="3"/>
      <c r="T71" s="7">
        <v>150</v>
      </c>
      <c r="U71" s="3"/>
      <c r="V71" s="8">
        <f t="shared" si="33"/>
        <v>3.0669829066819333E-3</v>
      </c>
      <c r="W71" s="3"/>
      <c r="X71" s="7">
        <f t="shared" si="34"/>
        <v>-150</v>
      </c>
      <c r="Y71" s="3"/>
      <c r="Z71" s="8">
        <f t="shared" si="35"/>
        <v>-1</v>
      </c>
    </row>
    <row r="72" spans="1:26" s="24" customFormat="1" hidden="1" outlineLevel="2" x14ac:dyDescent="0.25">
      <c r="A72" s="27"/>
      <c r="B72" s="12" t="str">
        <f>CONCATENATE("          ", "6279", " - ", "GENERAL EXPENSE")</f>
        <v xml:space="preserve">          6279 - GENERAL EXPENSE</v>
      </c>
      <c r="C72" s="12"/>
      <c r="D72" s="7"/>
      <c r="E72" s="3"/>
      <c r="F72" s="8">
        <f t="shared" si="28"/>
        <v>0</v>
      </c>
      <c r="G72" s="3"/>
      <c r="H72" s="7">
        <v>0</v>
      </c>
      <c r="I72" s="3"/>
      <c r="J72" s="8">
        <f t="shared" si="29"/>
        <v>0</v>
      </c>
      <c r="K72" s="3"/>
      <c r="L72" s="7">
        <f t="shared" si="30"/>
        <v>0</v>
      </c>
      <c r="M72" s="3"/>
      <c r="N72" s="8">
        <f t="shared" si="31"/>
        <v>0</v>
      </c>
      <c r="O72" s="12"/>
      <c r="P72" s="7"/>
      <c r="Q72" s="3"/>
      <c r="R72" s="8">
        <f t="shared" si="32"/>
        <v>0</v>
      </c>
      <c r="S72" s="3"/>
      <c r="T72" s="7">
        <v>0</v>
      </c>
      <c r="U72" s="3"/>
      <c r="V72" s="8">
        <f t="shared" si="33"/>
        <v>0</v>
      </c>
      <c r="W72" s="3"/>
      <c r="X72" s="7">
        <f t="shared" si="34"/>
        <v>0</v>
      </c>
      <c r="Y72" s="3"/>
      <c r="Z72" s="8">
        <f t="shared" si="35"/>
        <v>0</v>
      </c>
    </row>
    <row r="73" spans="1:26" s="29" customFormat="1" outlineLevel="1" collapsed="1" x14ac:dyDescent="0.25">
      <c r="A73" s="28"/>
      <c r="B73" s="14" t="str">
        <f>CONCATENATE("     ","Insurance                                         ")</f>
        <v xml:space="preserve">     Insurance                                         </v>
      </c>
      <c r="C73" s="14"/>
      <c r="D73" s="1">
        <f>SUM(OSRRefD22_9x_0)</f>
        <v>161.18</v>
      </c>
      <c r="E73" s="1"/>
      <c r="F73" s="5">
        <f t="shared" ref="F73:F86" si="36">IF(D$12=0,0,D73/D$12)</f>
        <v>5.9963310697970992E-3</v>
      </c>
      <c r="G73" s="1"/>
      <c r="H73" s="1">
        <f>SUM(OSRRefH22_9x_0)</f>
        <v>176</v>
      </c>
      <c r="I73" s="1"/>
      <c r="J73" s="5">
        <f t="shared" ref="J73:J86" si="37">IF(H$12=0,0,H73/H$12)</f>
        <v>3.5985932771734684E-3</v>
      </c>
      <c r="K73" s="1"/>
      <c r="L73" s="1">
        <f t="shared" ref="L73:L86" si="38">+D73-H73</f>
        <v>-14.819999999999993</v>
      </c>
      <c r="M73" s="1"/>
      <c r="N73" s="5">
        <f t="shared" ref="N73:N86" si="39">IF(H73=0,0,L73/H73)</f>
        <v>-8.4204545454545421E-2</v>
      </c>
      <c r="O73" s="14"/>
      <c r="P73" s="1">
        <f>SUM(OSRRefP22_9x_0)</f>
        <v>161.18</v>
      </c>
      <c r="Q73" s="1"/>
      <c r="R73" s="5">
        <f t="shared" ref="R73:R86" si="40">IF(P$12=0,0,P73/P$12)</f>
        <v>5.9963310697970992E-3</v>
      </c>
      <c r="S73" s="1"/>
      <c r="T73" s="1">
        <f>SUM(OSRRefT22_9x_0)</f>
        <v>176</v>
      </c>
      <c r="U73" s="1"/>
      <c r="V73" s="5">
        <f t="shared" ref="V73:V86" si="41">IF(T$12=0,0,T73/T$12)</f>
        <v>3.5985932771734684E-3</v>
      </c>
      <c r="W73" s="1"/>
      <c r="X73" s="1">
        <f t="shared" ref="X73:X86" si="42">+P73-T73</f>
        <v>-14.819999999999993</v>
      </c>
      <c r="Y73" s="1"/>
      <c r="Z73" s="5">
        <f t="shared" ref="Z73:Z86" si="43">IF(T73=0,0,X73/T73)</f>
        <v>-8.4204545454545421E-2</v>
      </c>
    </row>
    <row r="74" spans="1:26" s="24" customFormat="1" hidden="1" outlineLevel="2" x14ac:dyDescent="0.25">
      <c r="A74" s="27"/>
      <c r="B74" s="12" t="str">
        <f>CONCATENATE("          ", "6314", " - ", "LIABILITY INSURANCE")</f>
        <v xml:space="preserve">          6314 - LIABILITY INSURANCE</v>
      </c>
      <c r="C74" s="12"/>
      <c r="D74" s="7">
        <v>161.18</v>
      </c>
      <c r="E74" s="3"/>
      <c r="F74" s="8">
        <f t="shared" si="36"/>
        <v>5.9963310697970992E-3</v>
      </c>
      <c r="G74" s="3"/>
      <c r="H74" s="7">
        <v>176</v>
      </c>
      <c r="I74" s="3"/>
      <c r="J74" s="8">
        <f t="shared" si="37"/>
        <v>3.5985932771734684E-3</v>
      </c>
      <c r="K74" s="3"/>
      <c r="L74" s="7">
        <f t="shared" si="38"/>
        <v>-14.819999999999993</v>
      </c>
      <c r="M74" s="3"/>
      <c r="N74" s="8">
        <f t="shared" si="39"/>
        <v>-8.4204545454545421E-2</v>
      </c>
      <c r="O74" s="12"/>
      <c r="P74" s="7">
        <v>161.18</v>
      </c>
      <c r="Q74" s="3"/>
      <c r="R74" s="8">
        <f t="shared" si="40"/>
        <v>5.9963310697970992E-3</v>
      </c>
      <c r="S74" s="3"/>
      <c r="T74" s="7">
        <v>176</v>
      </c>
      <c r="U74" s="3"/>
      <c r="V74" s="8">
        <f t="shared" si="41"/>
        <v>3.5985932771734684E-3</v>
      </c>
      <c r="W74" s="3"/>
      <c r="X74" s="7">
        <f t="shared" si="42"/>
        <v>-14.819999999999993</v>
      </c>
      <c r="Y74" s="3"/>
      <c r="Z74" s="8">
        <f t="shared" si="43"/>
        <v>-8.4204545454545421E-2</v>
      </c>
    </row>
    <row r="75" spans="1:26" s="29" customFormat="1" outlineLevel="1" collapsed="1" x14ac:dyDescent="0.25">
      <c r="A75" s="28"/>
      <c r="B75" s="14" t="str">
        <f>CONCATENATE("     ","Inventory Adjustment                              ")</f>
        <v xml:space="preserve">     Inventory Adjustment                              </v>
      </c>
      <c r="C75" s="14"/>
      <c r="D75" s="1">
        <f>SUM(OSRRefD22_10x_0)</f>
        <v>100</v>
      </c>
      <c r="E75" s="1"/>
      <c r="F75" s="5">
        <f t="shared" si="36"/>
        <v>3.7202699279048883E-3</v>
      </c>
      <c r="G75" s="1"/>
      <c r="H75" s="1">
        <f>SUM(OSRRefH22_10x_0)</f>
        <v>100</v>
      </c>
      <c r="I75" s="1"/>
      <c r="J75" s="5">
        <f t="shared" si="37"/>
        <v>2.0446552711212889E-3</v>
      </c>
      <c r="K75" s="1"/>
      <c r="L75" s="1">
        <f t="shared" si="38"/>
        <v>0</v>
      </c>
      <c r="M75" s="1"/>
      <c r="N75" s="5">
        <f t="shared" si="39"/>
        <v>0</v>
      </c>
      <c r="O75" s="14"/>
      <c r="P75" s="1">
        <f>SUM(OSRRefP22_10x_0)</f>
        <v>100</v>
      </c>
      <c r="Q75" s="1"/>
      <c r="R75" s="5">
        <f t="shared" si="40"/>
        <v>3.7202699279048883E-3</v>
      </c>
      <c r="S75" s="1"/>
      <c r="T75" s="1">
        <f>SUM(OSRRefT22_10x_0)</f>
        <v>100</v>
      </c>
      <c r="U75" s="1"/>
      <c r="V75" s="5">
        <f t="shared" si="41"/>
        <v>2.0446552711212889E-3</v>
      </c>
      <c r="W75" s="1"/>
      <c r="X75" s="1">
        <f t="shared" si="42"/>
        <v>0</v>
      </c>
      <c r="Y75" s="1"/>
      <c r="Z75" s="5">
        <f t="shared" si="43"/>
        <v>0</v>
      </c>
    </row>
    <row r="76" spans="1:26" s="24" customFormat="1" hidden="1" outlineLevel="2" x14ac:dyDescent="0.25">
      <c r="A76" s="27"/>
      <c r="B76" s="12" t="str">
        <f>CONCATENATE("          ", "6408", " - ", "INVENTORY ADJUSTMENT")</f>
        <v xml:space="preserve">          6408 - INVENTORY ADJUSTMENT</v>
      </c>
      <c r="C76" s="12"/>
      <c r="D76" s="7">
        <v>100</v>
      </c>
      <c r="E76" s="3"/>
      <c r="F76" s="8">
        <f t="shared" si="36"/>
        <v>3.7202699279048883E-3</v>
      </c>
      <c r="G76" s="3"/>
      <c r="H76" s="7">
        <v>100</v>
      </c>
      <c r="I76" s="3"/>
      <c r="J76" s="8">
        <f t="shared" si="37"/>
        <v>2.0446552711212889E-3</v>
      </c>
      <c r="K76" s="3"/>
      <c r="L76" s="7">
        <f t="shared" si="38"/>
        <v>0</v>
      </c>
      <c r="M76" s="3"/>
      <c r="N76" s="8">
        <f t="shared" si="39"/>
        <v>0</v>
      </c>
      <c r="O76" s="12"/>
      <c r="P76" s="7">
        <v>100</v>
      </c>
      <c r="Q76" s="3"/>
      <c r="R76" s="8">
        <f t="shared" si="40"/>
        <v>3.7202699279048883E-3</v>
      </c>
      <c r="S76" s="3"/>
      <c r="T76" s="7">
        <v>100</v>
      </c>
      <c r="U76" s="3"/>
      <c r="V76" s="8">
        <f t="shared" si="41"/>
        <v>2.0446552711212889E-3</v>
      </c>
      <c r="W76" s="3"/>
      <c r="X76" s="7">
        <f t="shared" si="42"/>
        <v>0</v>
      </c>
      <c r="Y76" s="3"/>
      <c r="Z76" s="8">
        <f t="shared" si="43"/>
        <v>0</v>
      </c>
    </row>
    <row r="77" spans="1:26" s="29" customFormat="1" outlineLevel="1" collapsed="1" x14ac:dyDescent="0.25">
      <c r="A77" s="28"/>
      <c r="B77" s="14" t="str">
        <f>CONCATENATE("     ","Professional Services                             ")</f>
        <v xml:space="preserve">     Professional Services                             </v>
      </c>
      <c r="C77" s="14"/>
      <c r="D77" s="1">
        <f>SUM(OSRRefD22_11x_0)</f>
        <v>0</v>
      </c>
      <c r="E77" s="1"/>
      <c r="F77" s="5">
        <f t="shared" si="36"/>
        <v>0</v>
      </c>
      <c r="G77" s="1"/>
      <c r="H77" s="1">
        <f>SUM(OSRRefH22_11x_0)</f>
        <v>750</v>
      </c>
      <c r="I77" s="1"/>
      <c r="J77" s="5">
        <f t="shared" si="37"/>
        <v>1.5334914533409667E-2</v>
      </c>
      <c r="K77" s="1"/>
      <c r="L77" s="1">
        <f t="shared" si="38"/>
        <v>-750</v>
      </c>
      <c r="M77" s="1"/>
      <c r="N77" s="5">
        <f t="shared" si="39"/>
        <v>-1</v>
      </c>
      <c r="O77" s="14"/>
      <c r="P77" s="1">
        <f>SUM(OSRRefP22_11x_0)</f>
        <v>0</v>
      </c>
      <c r="Q77" s="1"/>
      <c r="R77" s="5">
        <f t="shared" si="40"/>
        <v>0</v>
      </c>
      <c r="S77" s="1"/>
      <c r="T77" s="1">
        <f>SUM(OSRRefT22_11x_0)</f>
        <v>750</v>
      </c>
      <c r="U77" s="1"/>
      <c r="V77" s="5">
        <f t="shared" si="41"/>
        <v>1.5334914533409667E-2</v>
      </c>
      <c r="W77" s="1"/>
      <c r="X77" s="1">
        <f t="shared" si="42"/>
        <v>-750</v>
      </c>
      <c r="Y77" s="1"/>
      <c r="Z77" s="5">
        <f t="shared" si="43"/>
        <v>-1</v>
      </c>
    </row>
    <row r="78" spans="1:26" s="24" customFormat="1" hidden="1" outlineLevel="2" x14ac:dyDescent="0.25">
      <c r="A78" s="27"/>
      <c r="B78" s="12" t="str">
        <f>CONCATENATE("          ", "6336", " - ", "PROFESSIONAL SERVICES")</f>
        <v xml:space="preserve">          6336 - PROFESSIONAL SERVICES</v>
      </c>
      <c r="C78" s="12"/>
      <c r="D78" s="7"/>
      <c r="E78" s="3"/>
      <c r="F78" s="8">
        <f t="shared" si="36"/>
        <v>0</v>
      </c>
      <c r="G78" s="3"/>
      <c r="H78" s="7">
        <v>750</v>
      </c>
      <c r="I78" s="3"/>
      <c r="J78" s="8">
        <f t="shared" si="37"/>
        <v>1.5334914533409667E-2</v>
      </c>
      <c r="K78" s="3"/>
      <c r="L78" s="7">
        <f t="shared" si="38"/>
        <v>-750</v>
      </c>
      <c r="M78" s="3"/>
      <c r="N78" s="8">
        <f t="shared" si="39"/>
        <v>-1</v>
      </c>
      <c r="O78" s="12"/>
      <c r="P78" s="7"/>
      <c r="Q78" s="3"/>
      <c r="R78" s="8">
        <f t="shared" si="40"/>
        <v>0</v>
      </c>
      <c r="S78" s="3"/>
      <c r="T78" s="7">
        <v>750</v>
      </c>
      <c r="U78" s="3"/>
      <c r="V78" s="8">
        <f t="shared" si="41"/>
        <v>1.5334914533409667E-2</v>
      </c>
      <c r="W78" s="3"/>
      <c r="X78" s="7">
        <f t="shared" si="42"/>
        <v>-750</v>
      </c>
      <c r="Y78" s="3"/>
      <c r="Z78" s="8">
        <f t="shared" si="43"/>
        <v>-1</v>
      </c>
    </row>
    <row r="79" spans="1:26" s="29" customFormat="1" outlineLevel="1" collapsed="1" x14ac:dyDescent="0.25">
      <c r="A79" s="28"/>
      <c r="B79" s="14" t="str">
        <f>CONCATENATE("     ","Rent                                              ")</f>
        <v xml:space="preserve">     Rent                                              </v>
      </c>
      <c r="C79" s="14"/>
      <c r="D79" s="1">
        <f>SUM(OSRRefD22_12x_0)</f>
        <v>6900</v>
      </c>
      <c r="E79" s="1"/>
      <c r="F79" s="5">
        <f t="shared" si="36"/>
        <v>0.25669862502543733</v>
      </c>
      <c r="G79" s="1"/>
      <c r="H79" s="1">
        <f>SUM(OSRRefH22_12x_0)</f>
        <v>6900</v>
      </c>
      <c r="I79" s="1"/>
      <c r="J79" s="5">
        <f t="shared" si="37"/>
        <v>0.14108121370736892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SUM(OSRRefP22_12x_0)</f>
        <v>6900</v>
      </c>
      <c r="Q79" s="1"/>
      <c r="R79" s="5">
        <f t="shared" si="40"/>
        <v>0.25669862502543733</v>
      </c>
      <c r="S79" s="1"/>
      <c r="T79" s="1">
        <f>SUM(OSRRefT22_12x_0)</f>
        <v>6900</v>
      </c>
      <c r="U79" s="1"/>
      <c r="V79" s="5">
        <f t="shared" si="41"/>
        <v>0.14108121370736892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25">
      <c r="A80" s="27"/>
      <c r="B80" s="12" t="str">
        <f>CONCATENATE("          ", "6273", " - ", "RENT")</f>
        <v xml:space="preserve">          6273 - RENT</v>
      </c>
      <c r="C80" s="12"/>
      <c r="D80" s="7">
        <v>6900</v>
      </c>
      <c r="E80" s="3"/>
      <c r="F80" s="8">
        <f t="shared" si="36"/>
        <v>0.25669862502543733</v>
      </c>
      <c r="G80" s="3"/>
      <c r="H80" s="7">
        <v>6900</v>
      </c>
      <c r="I80" s="3"/>
      <c r="J80" s="8">
        <f t="shared" si="37"/>
        <v>0.14108121370736892</v>
      </c>
      <c r="K80" s="3"/>
      <c r="L80" s="7">
        <f t="shared" si="38"/>
        <v>0</v>
      </c>
      <c r="M80" s="3"/>
      <c r="N80" s="8">
        <f t="shared" si="39"/>
        <v>0</v>
      </c>
      <c r="O80" s="12"/>
      <c r="P80" s="7">
        <v>6900</v>
      </c>
      <c r="Q80" s="3"/>
      <c r="R80" s="8">
        <f t="shared" si="40"/>
        <v>0.25669862502543733</v>
      </c>
      <c r="S80" s="3"/>
      <c r="T80" s="7">
        <v>6900</v>
      </c>
      <c r="U80" s="3"/>
      <c r="V80" s="8">
        <f t="shared" si="41"/>
        <v>0.14108121370736892</v>
      </c>
      <c r="W80" s="3"/>
      <c r="X80" s="7">
        <f t="shared" si="42"/>
        <v>0</v>
      </c>
      <c r="Y80" s="3"/>
      <c r="Z80" s="8">
        <f t="shared" si="43"/>
        <v>0</v>
      </c>
    </row>
    <row r="81" spans="1:26" s="29" customFormat="1" outlineLevel="1" collapsed="1" x14ac:dyDescent="0.25">
      <c r="A81" s="28"/>
      <c r="B81" s="14" t="str">
        <f>CONCATENATE("     ","Repair and Maintenance                            ")</f>
        <v xml:space="preserve">     Repair and Maintenance                            </v>
      </c>
      <c r="C81" s="14"/>
      <c r="D81" s="1">
        <f>SUM(OSRRefD22_13x_0)</f>
        <v>0</v>
      </c>
      <c r="E81" s="1"/>
      <c r="F81" s="5">
        <f t="shared" si="36"/>
        <v>0</v>
      </c>
      <c r="G81" s="1"/>
      <c r="H81" s="1">
        <f>SUM(OSRRefH22_13x_0)</f>
        <v>100</v>
      </c>
      <c r="I81" s="1"/>
      <c r="J81" s="5">
        <f t="shared" si="37"/>
        <v>2.0446552711212889E-3</v>
      </c>
      <c r="K81" s="1"/>
      <c r="L81" s="1">
        <f t="shared" si="38"/>
        <v>-100</v>
      </c>
      <c r="M81" s="1"/>
      <c r="N81" s="5">
        <f t="shared" si="39"/>
        <v>-1</v>
      </c>
      <c r="O81" s="14"/>
      <c r="P81" s="1">
        <f>SUM(OSRRefP22_13x_0)</f>
        <v>0</v>
      </c>
      <c r="Q81" s="1"/>
      <c r="R81" s="5">
        <f t="shared" si="40"/>
        <v>0</v>
      </c>
      <c r="S81" s="1"/>
      <c r="T81" s="1">
        <f>SUM(OSRRefT22_13x_0)</f>
        <v>100</v>
      </c>
      <c r="U81" s="1"/>
      <c r="V81" s="5">
        <f t="shared" si="41"/>
        <v>2.0446552711212889E-3</v>
      </c>
      <c r="W81" s="1"/>
      <c r="X81" s="1">
        <f t="shared" si="42"/>
        <v>-100</v>
      </c>
      <c r="Y81" s="1"/>
      <c r="Z81" s="5">
        <f t="shared" si="43"/>
        <v>-1</v>
      </c>
    </row>
    <row r="82" spans="1:26" s="24" customFormat="1" hidden="1" outlineLevel="2" x14ac:dyDescent="0.25">
      <c r="A82" s="27"/>
      <c r="B82" s="12" t="str">
        <f>CONCATENATE("          ", "6375", " - ", "OUTSIDE REPAIRS &amp; MAINTENANCE")</f>
        <v xml:space="preserve">          6375 - OUTSIDE REPAIRS &amp; MAINTENANCE</v>
      </c>
      <c r="C82" s="12"/>
      <c r="D82" s="7"/>
      <c r="E82" s="3"/>
      <c r="F82" s="8">
        <f t="shared" si="36"/>
        <v>0</v>
      </c>
      <c r="G82" s="3"/>
      <c r="H82" s="7">
        <v>100</v>
      </c>
      <c r="I82" s="3"/>
      <c r="J82" s="8">
        <f t="shared" si="37"/>
        <v>2.0446552711212889E-3</v>
      </c>
      <c r="K82" s="3"/>
      <c r="L82" s="7">
        <f t="shared" si="38"/>
        <v>-100</v>
      </c>
      <c r="M82" s="3"/>
      <c r="N82" s="8">
        <f t="shared" si="39"/>
        <v>-1</v>
      </c>
      <c r="O82" s="12"/>
      <c r="P82" s="7"/>
      <c r="Q82" s="3"/>
      <c r="R82" s="8">
        <f t="shared" si="40"/>
        <v>0</v>
      </c>
      <c r="S82" s="3"/>
      <c r="T82" s="7">
        <v>100</v>
      </c>
      <c r="U82" s="3"/>
      <c r="V82" s="8">
        <f t="shared" si="41"/>
        <v>2.0446552711212889E-3</v>
      </c>
      <c r="W82" s="3"/>
      <c r="X82" s="7">
        <f t="shared" si="42"/>
        <v>-100</v>
      </c>
      <c r="Y82" s="3"/>
      <c r="Z82" s="8">
        <f t="shared" si="43"/>
        <v>-1</v>
      </c>
    </row>
    <row r="83" spans="1:26" s="29" customFormat="1" outlineLevel="1" collapsed="1" x14ac:dyDescent="0.25">
      <c r="A83" s="28"/>
      <c r="B83" s="14" t="str">
        <f>CONCATENATE("     ","Services                                          ")</f>
        <v xml:space="preserve">     Services                                          </v>
      </c>
      <c r="C83" s="14"/>
      <c r="D83" s="1">
        <f>SUM(OSRRefD22_14x_0)</f>
        <v>-333.44</v>
      </c>
      <c r="E83" s="1"/>
      <c r="F83" s="5">
        <f t="shared" si="36"/>
        <v>-1.2404868047606061E-2</v>
      </c>
      <c r="G83" s="1"/>
      <c r="H83" s="1">
        <f>SUM(OSRRefH22_14x_0)</f>
        <v>155</v>
      </c>
      <c r="I83" s="1"/>
      <c r="J83" s="5">
        <f t="shared" si="37"/>
        <v>3.1692156702379979E-3</v>
      </c>
      <c r="K83" s="1"/>
      <c r="L83" s="1">
        <f t="shared" si="38"/>
        <v>-488.44</v>
      </c>
      <c r="M83" s="1"/>
      <c r="N83" s="5">
        <f t="shared" si="39"/>
        <v>-3.1512258064516128</v>
      </c>
      <c r="O83" s="14"/>
      <c r="P83" s="1">
        <f>SUM(OSRRefP22_14x_0)</f>
        <v>-333.44</v>
      </c>
      <c r="Q83" s="1"/>
      <c r="R83" s="5">
        <f t="shared" si="40"/>
        <v>-1.2404868047606061E-2</v>
      </c>
      <c r="S83" s="1"/>
      <c r="T83" s="1">
        <f>SUM(OSRRefT22_14x_0)</f>
        <v>155</v>
      </c>
      <c r="U83" s="1"/>
      <c r="V83" s="5">
        <f t="shared" si="41"/>
        <v>3.1692156702379979E-3</v>
      </c>
      <c r="W83" s="1"/>
      <c r="X83" s="1">
        <f t="shared" si="42"/>
        <v>-488.44</v>
      </c>
      <c r="Y83" s="1"/>
      <c r="Z83" s="5">
        <f t="shared" si="43"/>
        <v>-3.1512258064516128</v>
      </c>
    </row>
    <row r="84" spans="1:26" s="24" customFormat="1" hidden="1" outlineLevel="2" x14ac:dyDescent="0.25">
      <c r="A84" s="27"/>
      <c r="B84" s="12" t="str">
        <f>CONCATENATE("          ", "6283", " - ", "PLANT SERVICE")</f>
        <v xml:space="preserve">          6283 - PLANT SERVICE</v>
      </c>
      <c r="C84" s="12"/>
      <c r="D84" s="7"/>
      <c r="E84" s="3"/>
      <c r="F84" s="8">
        <f t="shared" si="36"/>
        <v>0</v>
      </c>
      <c r="G84" s="3"/>
      <c r="H84" s="7">
        <v>0</v>
      </c>
      <c r="I84" s="3"/>
      <c r="J84" s="8">
        <f t="shared" si="37"/>
        <v>0</v>
      </c>
      <c r="K84" s="3"/>
      <c r="L84" s="7">
        <f t="shared" si="38"/>
        <v>0</v>
      </c>
      <c r="M84" s="3"/>
      <c r="N84" s="8">
        <f t="shared" si="39"/>
        <v>0</v>
      </c>
      <c r="O84" s="12"/>
      <c r="P84" s="7"/>
      <c r="Q84" s="3"/>
      <c r="R84" s="8">
        <f t="shared" si="40"/>
        <v>0</v>
      </c>
      <c r="S84" s="3"/>
      <c r="T84" s="7">
        <v>0</v>
      </c>
      <c r="U84" s="3"/>
      <c r="V84" s="8">
        <f t="shared" si="41"/>
        <v>0</v>
      </c>
      <c r="W84" s="3"/>
      <c r="X84" s="7">
        <f t="shared" si="42"/>
        <v>0</v>
      </c>
      <c r="Y84" s="3"/>
      <c r="Z84" s="8">
        <f t="shared" si="43"/>
        <v>0</v>
      </c>
    </row>
    <row r="85" spans="1:26" s="24" customFormat="1" hidden="1" outlineLevel="2" x14ac:dyDescent="0.25">
      <c r="A85" s="27"/>
      <c r="B85" s="12" t="str">
        <f>CONCATENATE("          ", "6284", " - ", "TRASH REMOVAL EXPENSE")</f>
        <v xml:space="preserve">          6284 - TRASH REMOVAL EXPENSE</v>
      </c>
      <c r="C85" s="12"/>
      <c r="D85" s="7">
        <v>142.57</v>
      </c>
      <c r="E85" s="3"/>
      <c r="F85" s="8">
        <f t="shared" si="36"/>
        <v>5.303988836213999E-3</v>
      </c>
      <c r="G85" s="3"/>
      <c r="H85" s="7">
        <v>55</v>
      </c>
      <c r="I85" s="3"/>
      <c r="J85" s="8">
        <f t="shared" si="37"/>
        <v>1.124560399116709E-3</v>
      </c>
      <c r="K85" s="3"/>
      <c r="L85" s="7">
        <f t="shared" si="38"/>
        <v>87.57</v>
      </c>
      <c r="M85" s="3"/>
      <c r="N85" s="8">
        <f t="shared" si="39"/>
        <v>1.5921818181818181</v>
      </c>
      <c r="O85" s="12"/>
      <c r="P85" s="7">
        <v>142.57</v>
      </c>
      <c r="Q85" s="3"/>
      <c r="R85" s="8">
        <f t="shared" si="40"/>
        <v>5.303988836213999E-3</v>
      </c>
      <c r="S85" s="3"/>
      <c r="T85" s="7">
        <v>55</v>
      </c>
      <c r="U85" s="3"/>
      <c r="V85" s="8">
        <f t="shared" si="41"/>
        <v>1.124560399116709E-3</v>
      </c>
      <c r="W85" s="3"/>
      <c r="X85" s="7">
        <f t="shared" si="42"/>
        <v>87.57</v>
      </c>
      <c r="Y85" s="3"/>
      <c r="Z85" s="8">
        <f t="shared" si="43"/>
        <v>1.5921818181818181</v>
      </c>
    </row>
    <row r="86" spans="1:26" s="24" customFormat="1" hidden="1" outlineLevel="2" x14ac:dyDescent="0.25">
      <c r="A86" s="27"/>
      <c r="B86" s="12" t="str">
        <f>CONCATENATE("          ", "6285", " - ", "JANITORIAL SERVICES")</f>
        <v xml:space="preserve">          6285 - JANITORIAL SERVICES</v>
      </c>
      <c r="C86" s="12"/>
      <c r="D86" s="7">
        <v>-476.01</v>
      </c>
      <c r="E86" s="3"/>
      <c r="F86" s="8">
        <f t="shared" si="36"/>
        <v>-1.7708856883820061E-2</v>
      </c>
      <c r="G86" s="3"/>
      <c r="H86" s="7">
        <v>100</v>
      </c>
      <c r="I86" s="3"/>
      <c r="J86" s="8">
        <f t="shared" si="37"/>
        <v>2.0446552711212889E-3</v>
      </c>
      <c r="K86" s="3"/>
      <c r="L86" s="7">
        <f t="shared" si="38"/>
        <v>-576.01</v>
      </c>
      <c r="M86" s="3"/>
      <c r="N86" s="8">
        <f t="shared" si="39"/>
        <v>-5.7600999999999996</v>
      </c>
      <c r="O86" s="12"/>
      <c r="P86" s="7">
        <v>-476.01</v>
      </c>
      <c r="Q86" s="3"/>
      <c r="R86" s="8">
        <f t="shared" si="40"/>
        <v>-1.7708856883820061E-2</v>
      </c>
      <c r="S86" s="3"/>
      <c r="T86" s="7">
        <v>100</v>
      </c>
      <c r="U86" s="3"/>
      <c r="V86" s="8">
        <f t="shared" si="41"/>
        <v>2.0446552711212889E-3</v>
      </c>
      <c r="W86" s="3"/>
      <c r="X86" s="7">
        <f t="shared" si="42"/>
        <v>-576.01</v>
      </c>
      <c r="Y86" s="3"/>
      <c r="Z86" s="8">
        <f t="shared" si="43"/>
        <v>-5.7600999999999996</v>
      </c>
    </row>
    <row r="87" spans="1:26" s="29" customFormat="1" outlineLevel="1" collapsed="1" x14ac:dyDescent="0.25">
      <c r="A87" s="28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SUM(OSRRefD22_15x_0)</f>
        <v>75</v>
      </c>
      <c r="E87" s="1"/>
      <c r="F87" s="5">
        <f t="shared" ref="F87:F89" si="44">IF(D$12=0,0,D87/D$12)</f>
        <v>2.7902024459286663E-3</v>
      </c>
      <c r="G87" s="1"/>
      <c r="H87" s="1">
        <f>SUM(OSRRefH22_15x_0)</f>
        <v>395</v>
      </c>
      <c r="I87" s="1"/>
      <c r="J87" s="5">
        <f t="shared" ref="J87:J89" si="45">IF(H$12=0,0,H87/H$12)</f>
        <v>8.0763883209290909E-3</v>
      </c>
      <c r="K87" s="1"/>
      <c r="L87" s="1">
        <f t="shared" ref="L87:L89" si="46">+D87-H87</f>
        <v>-320</v>
      </c>
      <c r="M87" s="1"/>
      <c r="N87" s="5">
        <f t="shared" ref="N87:N89" si="47">IF(H87=0,0,L87/H87)</f>
        <v>-0.810126582278481</v>
      </c>
      <c r="O87" s="14"/>
      <c r="P87" s="1">
        <f>SUM(OSRRefP22_15x_0)</f>
        <v>75</v>
      </c>
      <c r="Q87" s="1"/>
      <c r="R87" s="5">
        <f t="shared" ref="R87:R89" si="48">IF(P$12=0,0,P87/P$12)</f>
        <v>2.7902024459286663E-3</v>
      </c>
      <c r="S87" s="1"/>
      <c r="T87" s="1">
        <f>SUM(OSRRefT22_15x_0)</f>
        <v>395</v>
      </c>
      <c r="U87" s="1"/>
      <c r="V87" s="5">
        <f t="shared" ref="V87:V89" si="49">IF(T$12=0,0,T87/T$12)</f>
        <v>8.0763883209290909E-3</v>
      </c>
      <c r="W87" s="1"/>
      <c r="X87" s="1">
        <f t="shared" ref="X87:X89" si="50">+P87-T87</f>
        <v>-320</v>
      </c>
      <c r="Y87" s="1"/>
      <c r="Z87" s="5">
        <f t="shared" ref="Z87:Z89" si="51">IF(T87=0,0,X87/T87)</f>
        <v>-0.810126582278481</v>
      </c>
    </row>
    <row r="88" spans="1:26" s="24" customFormat="1" hidden="1" outlineLevel="2" x14ac:dyDescent="0.25">
      <c r="A88" s="27"/>
      <c r="B88" s="12" t="str">
        <f>CONCATENATE("          ", "6258", " - ", "MEMBERSHIP DUES")</f>
        <v xml:space="preserve">          6258 - MEMBERSHIP DUES</v>
      </c>
      <c r="C88" s="12"/>
      <c r="D88" s="7"/>
      <c r="E88" s="3"/>
      <c r="F88" s="8">
        <f t="shared" si="44"/>
        <v>0</v>
      </c>
      <c r="G88" s="3"/>
      <c r="H88" s="7">
        <v>395</v>
      </c>
      <c r="I88" s="3"/>
      <c r="J88" s="8">
        <f t="shared" si="45"/>
        <v>8.0763883209290909E-3</v>
      </c>
      <c r="K88" s="3"/>
      <c r="L88" s="7">
        <f t="shared" si="46"/>
        <v>-395</v>
      </c>
      <c r="M88" s="3"/>
      <c r="N88" s="8">
        <f t="shared" si="47"/>
        <v>-1</v>
      </c>
      <c r="O88" s="12"/>
      <c r="P88" s="7"/>
      <c r="Q88" s="3"/>
      <c r="R88" s="8">
        <f t="shared" si="48"/>
        <v>0</v>
      </c>
      <c r="S88" s="3"/>
      <c r="T88" s="7">
        <v>395</v>
      </c>
      <c r="U88" s="3"/>
      <c r="V88" s="8">
        <f t="shared" si="49"/>
        <v>8.0763883209290909E-3</v>
      </c>
      <c r="W88" s="3"/>
      <c r="X88" s="7">
        <f t="shared" si="50"/>
        <v>-395</v>
      </c>
      <c r="Y88" s="3"/>
      <c r="Z88" s="8">
        <f t="shared" si="51"/>
        <v>-1</v>
      </c>
    </row>
    <row r="89" spans="1:26" s="24" customFormat="1" hidden="1" outlineLevel="2" x14ac:dyDescent="0.25">
      <c r="A89" s="27"/>
      <c r="B89" s="12" t="str">
        <f>CONCATENATE("          ", "6275", " - ", "SUBSCRIPTIONS")</f>
        <v xml:space="preserve">          6275 - SUBSCRIPTIONS</v>
      </c>
      <c r="C89" s="12"/>
      <c r="D89" s="7">
        <v>75</v>
      </c>
      <c r="E89" s="3"/>
      <c r="F89" s="8">
        <f t="shared" si="44"/>
        <v>2.7902024459286663E-3</v>
      </c>
      <c r="G89" s="3"/>
      <c r="H89" s="7">
        <v>0</v>
      </c>
      <c r="I89" s="3"/>
      <c r="J89" s="8">
        <f t="shared" si="45"/>
        <v>0</v>
      </c>
      <c r="K89" s="3"/>
      <c r="L89" s="7">
        <f t="shared" si="46"/>
        <v>75</v>
      </c>
      <c r="M89" s="3"/>
      <c r="N89" s="8">
        <f t="shared" si="47"/>
        <v>0</v>
      </c>
      <c r="O89" s="12"/>
      <c r="P89" s="7">
        <v>75</v>
      </c>
      <c r="Q89" s="3"/>
      <c r="R89" s="8">
        <f t="shared" si="48"/>
        <v>2.7902024459286663E-3</v>
      </c>
      <c r="S89" s="3"/>
      <c r="T89" s="7">
        <v>0</v>
      </c>
      <c r="U89" s="3"/>
      <c r="V89" s="8">
        <f t="shared" si="49"/>
        <v>0</v>
      </c>
      <c r="W89" s="3"/>
      <c r="X89" s="7">
        <f t="shared" si="50"/>
        <v>75</v>
      </c>
      <c r="Y89" s="3"/>
      <c r="Z89" s="8">
        <f t="shared" si="51"/>
        <v>0</v>
      </c>
    </row>
    <row r="90" spans="1:26" s="29" customFormat="1" outlineLevel="1" collapsed="1" x14ac:dyDescent="0.25">
      <c r="A90" s="28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SUM(OSRRefD22_16x_0)</f>
        <v>139.31</v>
      </c>
      <c r="E90" s="1"/>
      <c r="F90" s="5">
        <f t="shared" ref="F90:F96" si="52">IF(D$12=0,0,D90/D$12)</f>
        <v>5.1827080365643005E-3</v>
      </c>
      <c r="G90" s="1"/>
      <c r="H90" s="1">
        <f>SUM(OSRRefH22_16x_0)</f>
        <v>185</v>
      </c>
      <c r="I90" s="1"/>
      <c r="J90" s="5">
        <f t="shared" ref="J90:J96" si="53">IF(H$12=0,0,H90/H$12)</f>
        <v>3.7826122515743845E-3</v>
      </c>
      <c r="K90" s="1"/>
      <c r="L90" s="1">
        <f t="shared" ref="L90:L96" si="54">+D90-H90</f>
        <v>-45.69</v>
      </c>
      <c r="M90" s="1"/>
      <c r="N90" s="5">
        <f t="shared" ref="N90:N96" si="55">IF(H90=0,0,L90/H90)</f>
        <v>-0.24697297297297297</v>
      </c>
      <c r="O90" s="14"/>
      <c r="P90" s="1">
        <f>SUM(OSRRefP22_16x_0)</f>
        <v>139.31</v>
      </c>
      <c r="Q90" s="1"/>
      <c r="R90" s="5">
        <f t="shared" ref="R90:R96" si="56">IF(P$12=0,0,P90/P$12)</f>
        <v>5.1827080365643005E-3</v>
      </c>
      <c r="S90" s="1"/>
      <c r="T90" s="1">
        <f>SUM(OSRRefT22_16x_0)</f>
        <v>185</v>
      </c>
      <c r="U90" s="1"/>
      <c r="V90" s="5">
        <f t="shared" ref="V90:V96" si="57">IF(T$12=0,0,T90/T$12)</f>
        <v>3.7826122515743845E-3</v>
      </c>
      <c r="W90" s="1"/>
      <c r="X90" s="1">
        <f t="shared" ref="X90:X96" si="58">+P90-T90</f>
        <v>-45.69</v>
      </c>
      <c r="Y90" s="1"/>
      <c r="Z90" s="5">
        <f t="shared" ref="Z90:Z96" si="59">IF(T90=0,0,X90/T90)</f>
        <v>-0.24697297297297297</v>
      </c>
    </row>
    <row r="91" spans="1:26" s="24" customFormat="1" hidden="1" outlineLevel="2" x14ac:dyDescent="0.25">
      <c r="A91" s="27"/>
      <c r="B91" s="12" t="str">
        <f>CONCATENATE("          ", "6234", " - ", "EXPENDABLE SUPPLIES &amp; EQUIPMEN")</f>
        <v xml:space="preserve">          6234 - EXPENDABLE SUPPLIES &amp; EQUIPMEN</v>
      </c>
      <c r="C91" s="12"/>
      <c r="D91" s="7"/>
      <c r="E91" s="3"/>
      <c r="F91" s="8">
        <f t="shared" si="52"/>
        <v>0</v>
      </c>
      <c r="G91" s="3"/>
      <c r="H91" s="7">
        <v>0</v>
      </c>
      <c r="I91" s="3"/>
      <c r="J91" s="8">
        <f t="shared" si="53"/>
        <v>0</v>
      </c>
      <c r="K91" s="3"/>
      <c r="L91" s="7">
        <f t="shared" si="54"/>
        <v>0</v>
      </c>
      <c r="M91" s="3"/>
      <c r="N91" s="8">
        <f t="shared" si="55"/>
        <v>0</v>
      </c>
      <c r="O91" s="12"/>
      <c r="P91" s="7"/>
      <c r="Q91" s="3"/>
      <c r="R91" s="8">
        <f t="shared" si="56"/>
        <v>0</v>
      </c>
      <c r="S91" s="3"/>
      <c r="T91" s="7">
        <v>0</v>
      </c>
      <c r="U91" s="3"/>
      <c r="V91" s="8">
        <f t="shared" si="57"/>
        <v>0</v>
      </c>
      <c r="W91" s="3"/>
      <c r="X91" s="7">
        <f t="shared" si="58"/>
        <v>0</v>
      </c>
      <c r="Y91" s="3"/>
      <c r="Z91" s="8">
        <f t="shared" si="59"/>
        <v>0</v>
      </c>
    </row>
    <row r="92" spans="1:26" s="24" customFormat="1" hidden="1" outlineLevel="2" x14ac:dyDescent="0.25">
      <c r="A92" s="27"/>
      <c r="B92" s="12" t="str">
        <f>CONCATENATE("          ", "6235", " - ", "COVID-19 EXPENSES")</f>
        <v xml:space="preserve">          6235 - COVID-19 EXPENSES</v>
      </c>
      <c r="C92" s="12"/>
      <c r="D92" s="7"/>
      <c r="E92" s="3"/>
      <c r="F92" s="8">
        <f t="shared" si="52"/>
        <v>0</v>
      </c>
      <c r="G92" s="3"/>
      <c r="H92" s="7">
        <v>100</v>
      </c>
      <c r="I92" s="3"/>
      <c r="J92" s="8">
        <f t="shared" si="53"/>
        <v>2.0446552711212889E-3</v>
      </c>
      <c r="K92" s="3"/>
      <c r="L92" s="7">
        <f t="shared" si="54"/>
        <v>-100</v>
      </c>
      <c r="M92" s="3"/>
      <c r="N92" s="8">
        <f t="shared" si="55"/>
        <v>-1</v>
      </c>
      <c r="O92" s="12"/>
      <c r="P92" s="7"/>
      <c r="Q92" s="3"/>
      <c r="R92" s="8">
        <f t="shared" si="56"/>
        <v>0</v>
      </c>
      <c r="S92" s="3"/>
      <c r="T92" s="7">
        <v>100</v>
      </c>
      <c r="U92" s="3"/>
      <c r="V92" s="8">
        <f t="shared" si="57"/>
        <v>2.0446552711212889E-3</v>
      </c>
      <c r="W92" s="3"/>
      <c r="X92" s="7">
        <f t="shared" si="58"/>
        <v>-100</v>
      </c>
      <c r="Y92" s="3"/>
      <c r="Z92" s="8">
        <f t="shared" si="59"/>
        <v>-1</v>
      </c>
    </row>
    <row r="93" spans="1:26" s="24" customFormat="1" hidden="1" outlineLevel="2" x14ac:dyDescent="0.25">
      <c r="A93" s="27"/>
      <c r="B93" s="12" t="str">
        <f>CONCATENATE("          ", "6237", " - ", "JANITORIAL SUPPLIES")</f>
        <v xml:space="preserve">          6237 - JANITORIAL SUPPLIES</v>
      </c>
      <c r="C93" s="12"/>
      <c r="D93" s="7">
        <v>139.31</v>
      </c>
      <c r="E93" s="3"/>
      <c r="F93" s="8">
        <f t="shared" si="52"/>
        <v>5.1827080365643005E-3</v>
      </c>
      <c r="G93" s="3"/>
      <c r="H93" s="7">
        <v>10</v>
      </c>
      <c r="I93" s="3"/>
      <c r="J93" s="8">
        <f t="shared" si="53"/>
        <v>2.044655271121289E-4</v>
      </c>
      <c r="K93" s="3"/>
      <c r="L93" s="7">
        <f t="shared" si="54"/>
        <v>129.31</v>
      </c>
      <c r="M93" s="3"/>
      <c r="N93" s="8">
        <f t="shared" si="55"/>
        <v>12.931000000000001</v>
      </c>
      <c r="O93" s="12"/>
      <c r="P93" s="7">
        <v>139.31</v>
      </c>
      <c r="Q93" s="3"/>
      <c r="R93" s="8">
        <f t="shared" si="56"/>
        <v>5.1827080365643005E-3</v>
      </c>
      <c r="S93" s="3"/>
      <c r="T93" s="7">
        <v>10</v>
      </c>
      <c r="U93" s="3"/>
      <c r="V93" s="8">
        <f t="shared" si="57"/>
        <v>2.044655271121289E-4</v>
      </c>
      <c r="W93" s="3"/>
      <c r="X93" s="7">
        <f t="shared" si="58"/>
        <v>129.31</v>
      </c>
      <c r="Y93" s="3"/>
      <c r="Z93" s="8">
        <f t="shared" si="59"/>
        <v>12.931000000000001</v>
      </c>
    </row>
    <row r="94" spans="1:26" s="24" customFormat="1" hidden="1" outlineLevel="2" x14ac:dyDescent="0.25">
      <c r="A94" s="27"/>
      <c r="B94" s="12" t="str">
        <f>CONCATENATE("          ", "6241", " - ", "OFFICE EXPENSE")</f>
        <v xml:space="preserve">          6241 - OFFICE EXPENSE</v>
      </c>
      <c r="C94" s="12"/>
      <c r="D94" s="7"/>
      <c r="E94" s="3"/>
      <c r="F94" s="8">
        <f t="shared" si="52"/>
        <v>0</v>
      </c>
      <c r="G94" s="3"/>
      <c r="H94" s="7">
        <v>25</v>
      </c>
      <c r="I94" s="3"/>
      <c r="J94" s="8">
        <f t="shared" si="53"/>
        <v>5.1116381778032222E-4</v>
      </c>
      <c r="K94" s="3"/>
      <c r="L94" s="7">
        <f t="shared" si="54"/>
        <v>-25</v>
      </c>
      <c r="M94" s="3"/>
      <c r="N94" s="8">
        <f t="shared" si="55"/>
        <v>-1</v>
      </c>
      <c r="O94" s="12"/>
      <c r="P94" s="7"/>
      <c r="Q94" s="3"/>
      <c r="R94" s="8">
        <f t="shared" si="56"/>
        <v>0</v>
      </c>
      <c r="S94" s="3"/>
      <c r="T94" s="7">
        <v>25</v>
      </c>
      <c r="U94" s="3"/>
      <c r="V94" s="8">
        <f t="shared" si="57"/>
        <v>5.1116381778032222E-4</v>
      </c>
      <c r="W94" s="3"/>
      <c r="X94" s="7">
        <f t="shared" si="58"/>
        <v>-25</v>
      </c>
      <c r="Y94" s="3"/>
      <c r="Z94" s="8">
        <f t="shared" si="59"/>
        <v>-1</v>
      </c>
    </row>
    <row r="95" spans="1:26" s="24" customFormat="1" hidden="1" outlineLevel="2" x14ac:dyDescent="0.25">
      <c r="A95" s="27"/>
      <c r="B95" s="12" t="str">
        <f>CONCATENATE("          ", "6244", " - ", "SAFETY SUPPLY EXPENSE")</f>
        <v xml:space="preserve">          6244 - SAFETY SUPPLY EXPENSE</v>
      </c>
      <c r="C95" s="12"/>
      <c r="D95" s="7"/>
      <c r="E95" s="3"/>
      <c r="F95" s="8">
        <f t="shared" si="52"/>
        <v>0</v>
      </c>
      <c r="G95" s="3"/>
      <c r="H95" s="7">
        <v>25</v>
      </c>
      <c r="I95" s="3"/>
      <c r="J95" s="8">
        <f t="shared" si="53"/>
        <v>5.1116381778032222E-4</v>
      </c>
      <c r="K95" s="3"/>
      <c r="L95" s="7">
        <f t="shared" si="54"/>
        <v>-25</v>
      </c>
      <c r="M95" s="3"/>
      <c r="N95" s="8">
        <f t="shared" si="55"/>
        <v>-1</v>
      </c>
      <c r="O95" s="12"/>
      <c r="P95" s="7"/>
      <c r="Q95" s="3"/>
      <c r="R95" s="8">
        <f t="shared" si="56"/>
        <v>0</v>
      </c>
      <c r="S95" s="3"/>
      <c r="T95" s="7">
        <v>25</v>
      </c>
      <c r="U95" s="3"/>
      <c r="V95" s="8">
        <f t="shared" si="57"/>
        <v>5.1116381778032222E-4</v>
      </c>
      <c r="W95" s="3"/>
      <c r="X95" s="7">
        <f t="shared" si="58"/>
        <v>-25</v>
      </c>
      <c r="Y95" s="3"/>
      <c r="Z95" s="8">
        <f t="shared" si="59"/>
        <v>-1</v>
      </c>
    </row>
    <row r="96" spans="1:26" s="24" customFormat="1" hidden="1" outlineLevel="2" x14ac:dyDescent="0.25">
      <c r="A96" s="27"/>
      <c r="B96" s="12" t="str">
        <f>CONCATENATE("          ", "6247", " - ", "STORE SUPPLIES")</f>
        <v xml:space="preserve">          6247 - STORE SUPPLIES</v>
      </c>
      <c r="C96" s="12"/>
      <c r="D96" s="7"/>
      <c r="E96" s="3"/>
      <c r="F96" s="8">
        <f t="shared" si="52"/>
        <v>0</v>
      </c>
      <c r="G96" s="3"/>
      <c r="H96" s="7">
        <v>25</v>
      </c>
      <c r="I96" s="3"/>
      <c r="J96" s="8">
        <f t="shared" si="53"/>
        <v>5.1116381778032222E-4</v>
      </c>
      <c r="K96" s="3"/>
      <c r="L96" s="7">
        <f t="shared" si="54"/>
        <v>-25</v>
      </c>
      <c r="M96" s="3"/>
      <c r="N96" s="8">
        <f t="shared" si="55"/>
        <v>-1</v>
      </c>
      <c r="O96" s="12"/>
      <c r="P96" s="7"/>
      <c r="Q96" s="3"/>
      <c r="R96" s="8">
        <f t="shared" si="56"/>
        <v>0</v>
      </c>
      <c r="S96" s="3"/>
      <c r="T96" s="7">
        <v>25</v>
      </c>
      <c r="U96" s="3"/>
      <c r="V96" s="8">
        <f t="shared" si="57"/>
        <v>5.1116381778032222E-4</v>
      </c>
      <c r="W96" s="3"/>
      <c r="X96" s="7">
        <f t="shared" si="58"/>
        <v>-25</v>
      </c>
      <c r="Y96" s="3"/>
      <c r="Z96" s="8">
        <f t="shared" si="59"/>
        <v>-1</v>
      </c>
    </row>
    <row r="97" spans="1:26" s="29" customFormat="1" outlineLevel="1" collapsed="1" x14ac:dyDescent="0.25">
      <c r="A97" s="28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SUM(OSRRefD22_17x_0)</f>
        <v>278.32</v>
      </c>
      <c r="E97" s="1"/>
      <c r="F97" s="5">
        <f t="shared" ref="F97:F99" si="60">IF(D$12=0,0,D97/D$12)</f>
        <v>1.0354255263344886E-2</v>
      </c>
      <c r="G97" s="1"/>
      <c r="H97" s="1">
        <f>SUM(OSRRefH22_17x_0)</f>
        <v>230</v>
      </c>
      <c r="I97" s="1"/>
      <c r="J97" s="5">
        <f t="shared" ref="J97:J99" si="61">IF(H$12=0,0,H97/H$12)</f>
        <v>4.7027071235789643E-3</v>
      </c>
      <c r="K97" s="1"/>
      <c r="L97" s="1">
        <f t="shared" ref="L97:L99" si="62">+D97-H97</f>
        <v>48.319999999999993</v>
      </c>
      <c r="M97" s="1"/>
      <c r="N97" s="5">
        <f t="shared" ref="N97:N99" si="63">IF(H97=0,0,L97/H97)</f>
        <v>0.21008695652173909</v>
      </c>
      <c r="O97" s="14"/>
      <c r="P97" s="1">
        <f>SUM(OSRRefP22_17x_0)</f>
        <v>278.32</v>
      </c>
      <c r="Q97" s="1"/>
      <c r="R97" s="5">
        <f t="shared" ref="R97:R99" si="64">IF(P$12=0,0,P97/P$12)</f>
        <v>1.0354255263344886E-2</v>
      </c>
      <c r="S97" s="1"/>
      <c r="T97" s="1">
        <f>SUM(OSRRefT22_17x_0)</f>
        <v>230</v>
      </c>
      <c r="U97" s="1"/>
      <c r="V97" s="5">
        <f t="shared" ref="V97:V99" si="65">IF(T$12=0,0,T97/T$12)</f>
        <v>4.7027071235789643E-3</v>
      </c>
      <c r="W97" s="1"/>
      <c r="X97" s="1">
        <f t="shared" ref="X97:X99" si="66">+P97-T97</f>
        <v>48.319999999999993</v>
      </c>
      <c r="Y97" s="1"/>
      <c r="Z97" s="5">
        <f t="shared" ref="Z97:Z99" si="67">IF(T97=0,0,X97/T97)</f>
        <v>0.21008695652173909</v>
      </c>
    </row>
    <row r="98" spans="1:26" s="24" customFormat="1" hidden="1" outlineLevel="2" x14ac:dyDescent="0.25">
      <c r="A98" s="27"/>
      <c r="B98" s="12" t="str">
        <f>CONCATENATE("          ", "6303", " - ", "DATA PHONE LINES")</f>
        <v xml:space="preserve">          6303 - DATA PHONE LINES</v>
      </c>
      <c r="C98" s="12"/>
      <c r="D98" s="7"/>
      <c r="E98" s="3"/>
      <c r="F98" s="8">
        <f t="shared" si="60"/>
        <v>0</v>
      </c>
      <c r="G98" s="3"/>
      <c r="H98" s="7">
        <v>230</v>
      </c>
      <c r="I98" s="3"/>
      <c r="J98" s="8">
        <f t="shared" si="61"/>
        <v>4.7027071235789643E-3</v>
      </c>
      <c r="K98" s="3"/>
      <c r="L98" s="7">
        <f t="shared" si="62"/>
        <v>-230</v>
      </c>
      <c r="M98" s="3"/>
      <c r="N98" s="8">
        <f t="shared" si="63"/>
        <v>-1</v>
      </c>
      <c r="O98" s="12"/>
      <c r="P98" s="7"/>
      <c r="Q98" s="3"/>
      <c r="R98" s="8">
        <f t="shared" si="64"/>
        <v>0</v>
      </c>
      <c r="S98" s="3"/>
      <c r="T98" s="7">
        <v>230</v>
      </c>
      <c r="U98" s="3"/>
      <c r="V98" s="8">
        <f t="shared" si="65"/>
        <v>4.7027071235789643E-3</v>
      </c>
      <c r="W98" s="3"/>
      <c r="X98" s="7">
        <f t="shared" si="66"/>
        <v>-230</v>
      </c>
      <c r="Y98" s="3"/>
      <c r="Z98" s="8">
        <f t="shared" si="67"/>
        <v>-1</v>
      </c>
    </row>
    <row r="99" spans="1:26" s="24" customFormat="1" hidden="1" outlineLevel="2" x14ac:dyDescent="0.25">
      <c r="A99" s="27"/>
      <c r="B99" s="12" t="str">
        <f>CONCATENATE("          ", "6309", " - ", "TELEPHONE")</f>
        <v xml:space="preserve">          6309 - TELEPHONE</v>
      </c>
      <c r="C99" s="12"/>
      <c r="D99" s="7">
        <v>278.32</v>
      </c>
      <c r="E99" s="3"/>
      <c r="F99" s="8">
        <f t="shared" si="60"/>
        <v>1.0354255263344886E-2</v>
      </c>
      <c r="G99" s="3"/>
      <c r="H99" s="7"/>
      <c r="I99" s="3"/>
      <c r="J99" s="8">
        <f t="shared" si="61"/>
        <v>0</v>
      </c>
      <c r="K99" s="3"/>
      <c r="L99" s="7">
        <f t="shared" si="62"/>
        <v>278.32</v>
      </c>
      <c r="M99" s="3"/>
      <c r="N99" s="8">
        <f t="shared" si="63"/>
        <v>0</v>
      </c>
      <c r="O99" s="12"/>
      <c r="P99" s="7">
        <v>278.32</v>
      </c>
      <c r="Q99" s="3"/>
      <c r="R99" s="8">
        <f t="shared" si="64"/>
        <v>1.0354255263344886E-2</v>
      </c>
      <c r="S99" s="3"/>
      <c r="T99" s="7"/>
      <c r="U99" s="3"/>
      <c r="V99" s="8">
        <f t="shared" si="65"/>
        <v>0</v>
      </c>
      <c r="W99" s="3"/>
      <c r="X99" s="7">
        <f t="shared" si="66"/>
        <v>278.32</v>
      </c>
      <c r="Y99" s="3"/>
      <c r="Z99" s="8">
        <f t="shared" si="67"/>
        <v>0</v>
      </c>
    </row>
    <row r="100" spans="1:26" s="29" customFormat="1" outlineLevel="1" collapsed="1" x14ac:dyDescent="0.25">
      <c r="A100" s="28"/>
      <c r="B100" s="14" t="str">
        <f>CONCATENATE("     ","Training                                          ")</f>
        <v xml:space="preserve">     Training                                          </v>
      </c>
      <c r="C100" s="14"/>
      <c r="D100" s="1">
        <f>SUM(OSRRefD22_18x_0)</f>
        <v>0</v>
      </c>
      <c r="E100" s="1"/>
      <c r="F100" s="5">
        <f t="shared" ref="F100:F104" si="68">IF(D$12=0,0,D100/D$12)</f>
        <v>0</v>
      </c>
      <c r="G100" s="1"/>
      <c r="H100" s="1">
        <f>SUM(OSRRefH22_18x_0)</f>
        <v>0</v>
      </c>
      <c r="I100" s="1"/>
      <c r="J100" s="5">
        <f t="shared" ref="J100:J104" si="69">IF(H$12=0,0,H100/H$12)</f>
        <v>0</v>
      </c>
      <c r="K100" s="1"/>
      <c r="L100" s="1">
        <f t="shared" ref="L100:L104" si="70">+D100-H100</f>
        <v>0</v>
      </c>
      <c r="M100" s="1"/>
      <c r="N100" s="5">
        <f t="shared" ref="N100:N104" si="71">IF(H100=0,0,L100/H100)</f>
        <v>0</v>
      </c>
      <c r="O100" s="14"/>
      <c r="P100" s="1">
        <f>SUM(OSRRefP22_18x_0)</f>
        <v>0</v>
      </c>
      <c r="Q100" s="1"/>
      <c r="R100" s="5">
        <f t="shared" ref="R100:R104" si="72">IF(P$12=0,0,P100/P$12)</f>
        <v>0</v>
      </c>
      <c r="S100" s="1"/>
      <c r="T100" s="1">
        <f>SUM(OSRRefT22_18x_0)</f>
        <v>0</v>
      </c>
      <c r="U100" s="1"/>
      <c r="V100" s="5">
        <f t="shared" ref="V100:V104" si="73">IF(T$12=0,0,T100/T$12)</f>
        <v>0</v>
      </c>
      <c r="W100" s="1"/>
      <c r="X100" s="1">
        <f t="shared" ref="X100:X104" si="74">+P100-T100</f>
        <v>0</v>
      </c>
      <c r="Y100" s="1"/>
      <c r="Z100" s="5">
        <f t="shared" ref="Z100:Z104" si="75">IF(T100=0,0,X100/T100)</f>
        <v>0</v>
      </c>
    </row>
    <row r="101" spans="1:26" s="24" customFormat="1" hidden="1" outlineLevel="2" x14ac:dyDescent="0.25">
      <c r="A101" s="27"/>
      <c r="B101" s="12" t="str">
        <f>CONCATENATE("          ", "6376", " - ", "TRAINING")</f>
        <v xml:space="preserve">          6376 - TRAINING</v>
      </c>
      <c r="C101" s="12"/>
      <c r="D101" s="7"/>
      <c r="E101" s="3"/>
      <c r="F101" s="8">
        <f t="shared" si="68"/>
        <v>0</v>
      </c>
      <c r="G101" s="3"/>
      <c r="H101" s="7">
        <v>0</v>
      </c>
      <c r="I101" s="3"/>
      <c r="J101" s="8">
        <f t="shared" si="69"/>
        <v>0</v>
      </c>
      <c r="K101" s="3"/>
      <c r="L101" s="7">
        <f t="shared" si="70"/>
        <v>0</v>
      </c>
      <c r="M101" s="3"/>
      <c r="N101" s="8">
        <f t="shared" si="71"/>
        <v>0</v>
      </c>
      <c r="O101" s="12"/>
      <c r="P101" s="7"/>
      <c r="Q101" s="3"/>
      <c r="R101" s="8">
        <f t="shared" si="72"/>
        <v>0</v>
      </c>
      <c r="S101" s="3"/>
      <c r="T101" s="7">
        <v>0</v>
      </c>
      <c r="U101" s="3"/>
      <c r="V101" s="8">
        <f t="shared" si="73"/>
        <v>0</v>
      </c>
      <c r="W101" s="3"/>
      <c r="X101" s="7">
        <f t="shared" si="74"/>
        <v>0</v>
      </c>
      <c r="Y101" s="3"/>
      <c r="Z101" s="8">
        <f t="shared" si="75"/>
        <v>0</v>
      </c>
    </row>
    <row r="102" spans="1:26" s="29" customFormat="1" outlineLevel="1" collapsed="1" x14ac:dyDescent="0.25">
      <c r="A102" s="28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SUM(OSRRefD22_19x_0)</f>
        <v>215.16</v>
      </c>
      <c r="E102" s="1"/>
      <c r="F102" s="5">
        <f t="shared" si="68"/>
        <v>8.0045327768801574E-3</v>
      </c>
      <c r="G102" s="1"/>
      <c r="H102" s="1">
        <f>SUM(OSRRefH22_19x_0)</f>
        <v>25</v>
      </c>
      <c r="I102" s="1"/>
      <c r="J102" s="5">
        <f t="shared" si="69"/>
        <v>5.1116381778032222E-4</v>
      </c>
      <c r="K102" s="1"/>
      <c r="L102" s="1">
        <f t="shared" si="70"/>
        <v>190.16</v>
      </c>
      <c r="M102" s="1"/>
      <c r="N102" s="5">
        <f t="shared" si="71"/>
        <v>7.6063999999999998</v>
      </c>
      <c r="O102" s="14"/>
      <c r="P102" s="1">
        <f>SUM(OSRRefP22_19x_0)</f>
        <v>215.16</v>
      </c>
      <c r="Q102" s="1"/>
      <c r="R102" s="5">
        <f t="shared" si="72"/>
        <v>8.0045327768801574E-3</v>
      </c>
      <c r="S102" s="1"/>
      <c r="T102" s="1">
        <f>SUM(OSRRefT22_19x_0)</f>
        <v>25</v>
      </c>
      <c r="U102" s="1"/>
      <c r="V102" s="5">
        <f t="shared" si="73"/>
        <v>5.1116381778032222E-4</v>
      </c>
      <c r="W102" s="1"/>
      <c r="X102" s="1">
        <f t="shared" si="74"/>
        <v>190.16</v>
      </c>
      <c r="Y102" s="1"/>
      <c r="Z102" s="5">
        <f t="shared" si="75"/>
        <v>7.6063999999999998</v>
      </c>
    </row>
    <row r="103" spans="1:26" s="24" customFormat="1" hidden="1" outlineLevel="2" x14ac:dyDescent="0.25">
      <c r="A103" s="27"/>
      <c r="B103" s="12" t="str">
        <f>CONCATENATE("          ", "6294", " - ", "TRAVEL OPERATIONAL")</f>
        <v xml:space="preserve">          6294 - TRAVEL OPERATIONAL</v>
      </c>
      <c r="C103" s="12"/>
      <c r="D103" s="7">
        <v>215.16</v>
      </c>
      <c r="E103" s="3"/>
      <c r="F103" s="8">
        <f t="shared" si="68"/>
        <v>8.0045327768801574E-3</v>
      </c>
      <c r="G103" s="3"/>
      <c r="H103" s="7"/>
      <c r="I103" s="3"/>
      <c r="J103" s="8">
        <f t="shared" si="69"/>
        <v>0</v>
      </c>
      <c r="K103" s="3"/>
      <c r="L103" s="7">
        <f t="shared" si="70"/>
        <v>215.16</v>
      </c>
      <c r="M103" s="3"/>
      <c r="N103" s="8">
        <f t="shared" si="71"/>
        <v>0</v>
      </c>
      <c r="O103" s="12"/>
      <c r="P103" s="7">
        <v>215.16</v>
      </c>
      <c r="Q103" s="3"/>
      <c r="R103" s="8">
        <f t="shared" si="72"/>
        <v>8.0045327768801574E-3</v>
      </c>
      <c r="S103" s="3"/>
      <c r="T103" s="7"/>
      <c r="U103" s="3"/>
      <c r="V103" s="8">
        <f t="shared" si="73"/>
        <v>0</v>
      </c>
      <c r="W103" s="3"/>
      <c r="X103" s="7">
        <f t="shared" si="74"/>
        <v>215.16</v>
      </c>
      <c r="Y103" s="3"/>
      <c r="Z103" s="8">
        <f t="shared" si="75"/>
        <v>0</v>
      </c>
    </row>
    <row r="104" spans="1:26" s="24" customFormat="1" hidden="1" outlineLevel="2" x14ac:dyDescent="0.25">
      <c r="A104" s="27"/>
      <c r="B104" s="12" t="str">
        <f>CONCATENATE("          ", "6298", " - ", "VEHICLE MILEAGE")</f>
        <v xml:space="preserve">          6298 - VEHICLE MILEAGE</v>
      </c>
      <c r="C104" s="12"/>
      <c r="D104" s="7"/>
      <c r="E104" s="3"/>
      <c r="F104" s="8">
        <f t="shared" si="68"/>
        <v>0</v>
      </c>
      <c r="G104" s="3"/>
      <c r="H104" s="7">
        <v>25</v>
      </c>
      <c r="I104" s="3"/>
      <c r="J104" s="8">
        <f t="shared" si="69"/>
        <v>5.1116381778032222E-4</v>
      </c>
      <c r="K104" s="3"/>
      <c r="L104" s="7">
        <f t="shared" si="70"/>
        <v>-25</v>
      </c>
      <c r="M104" s="3"/>
      <c r="N104" s="8">
        <f t="shared" si="71"/>
        <v>-1</v>
      </c>
      <c r="O104" s="12"/>
      <c r="P104" s="7"/>
      <c r="Q104" s="3"/>
      <c r="R104" s="8">
        <f t="shared" si="72"/>
        <v>0</v>
      </c>
      <c r="S104" s="3"/>
      <c r="T104" s="7">
        <v>25</v>
      </c>
      <c r="U104" s="3"/>
      <c r="V104" s="8">
        <f t="shared" si="73"/>
        <v>5.1116381778032222E-4</v>
      </c>
      <c r="W104" s="3"/>
      <c r="X104" s="7">
        <f t="shared" si="74"/>
        <v>-25</v>
      </c>
      <c r="Y104" s="3"/>
      <c r="Z104" s="8">
        <f t="shared" si="75"/>
        <v>-1</v>
      </c>
    </row>
    <row r="105" spans="1:26" s="29" customFormat="1" outlineLevel="1" collapsed="1" x14ac:dyDescent="0.25">
      <c r="A105" s="28"/>
      <c r="B105" s="14" t="str">
        <f>CONCATENATE("     ","Utilities                                         ")</f>
        <v xml:space="preserve">     Utilities                                         </v>
      </c>
      <c r="C105" s="14"/>
      <c r="D105" s="1">
        <f>SUM(OSRRefD22_20x_0)</f>
        <v>28.46</v>
      </c>
      <c r="E105" s="1"/>
      <c r="F105" s="5">
        <f t="shared" ref="F105:F106" si="76">IF(D$12=0,0,D105/D$12)</f>
        <v>1.0587888214817313E-3</v>
      </c>
      <c r="G105" s="1"/>
      <c r="H105" s="1">
        <f>SUM(OSRRefH22_20x_0)</f>
        <v>105</v>
      </c>
      <c r="I105" s="1"/>
      <c r="J105" s="5">
        <f t="shared" ref="J105:J106" si="77">IF(H$12=0,0,H105/H$12)</f>
        <v>2.1468880346773534E-3</v>
      </c>
      <c r="K105" s="1"/>
      <c r="L105" s="1">
        <f t="shared" ref="L105:L106" si="78">+D105-H105</f>
        <v>-76.539999999999992</v>
      </c>
      <c r="M105" s="1"/>
      <c r="N105" s="5">
        <f t="shared" ref="N105:N106" si="79">IF(H105=0,0,L105/H105)</f>
        <v>-0.72895238095238091</v>
      </c>
      <c r="O105" s="14"/>
      <c r="P105" s="1">
        <f>SUM(OSRRefP22_20x_0)</f>
        <v>28.46</v>
      </c>
      <c r="Q105" s="1"/>
      <c r="R105" s="5">
        <f t="shared" ref="R105:R106" si="80">IF(P$12=0,0,P105/P$12)</f>
        <v>1.0587888214817313E-3</v>
      </c>
      <c r="S105" s="1"/>
      <c r="T105" s="1">
        <f>SUM(OSRRefT22_20x_0)</f>
        <v>105</v>
      </c>
      <c r="U105" s="1"/>
      <c r="V105" s="5">
        <f t="shared" ref="V105:V106" si="81">IF(T$12=0,0,T105/T$12)</f>
        <v>2.1468880346773534E-3</v>
      </c>
      <c r="W105" s="1"/>
      <c r="X105" s="1">
        <f t="shared" ref="X105:X106" si="82">+P105-T105</f>
        <v>-76.539999999999992</v>
      </c>
      <c r="Y105" s="1"/>
      <c r="Z105" s="5">
        <f t="shared" ref="Z105:Z106" si="83">IF(T105=0,0,X105/T105)</f>
        <v>-0.72895238095238091</v>
      </c>
    </row>
    <row r="106" spans="1:26" s="24" customFormat="1" hidden="1" outlineLevel="2" x14ac:dyDescent="0.25">
      <c r="A106" s="27"/>
      <c r="B106" s="12" t="str">
        <f>CONCATENATE("          ", "6274", " - ", "UTILITIES")</f>
        <v xml:space="preserve">          6274 - UTILITIES</v>
      </c>
      <c r="C106" s="12"/>
      <c r="D106" s="7">
        <v>28.46</v>
      </c>
      <c r="E106" s="3"/>
      <c r="F106" s="8">
        <f t="shared" si="76"/>
        <v>1.0587888214817313E-3</v>
      </c>
      <c r="G106" s="3"/>
      <c r="H106" s="7">
        <v>105</v>
      </c>
      <c r="I106" s="3"/>
      <c r="J106" s="8">
        <f t="shared" si="77"/>
        <v>2.1468880346773534E-3</v>
      </c>
      <c r="K106" s="3"/>
      <c r="L106" s="7">
        <f t="shared" si="78"/>
        <v>-76.539999999999992</v>
      </c>
      <c r="M106" s="3"/>
      <c r="N106" s="8">
        <f t="shared" si="79"/>
        <v>-0.72895238095238091</v>
      </c>
      <c r="O106" s="12"/>
      <c r="P106" s="7">
        <v>28.46</v>
      </c>
      <c r="Q106" s="3"/>
      <c r="R106" s="8">
        <f t="shared" si="80"/>
        <v>1.0587888214817313E-3</v>
      </c>
      <c r="S106" s="3"/>
      <c r="T106" s="7">
        <v>105</v>
      </c>
      <c r="U106" s="3"/>
      <c r="V106" s="8">
        <f t="shared" si="81"/>
        <v>2.1468880346773534E-3</v>
      </c>
      <c r="W106" s="3"/>
      <c r="X106" s="7">
        <f t="shared" si="82"/>
        <v>-76.539999999999992</v>
      </c>
      <c r="Y106" s="3"/>
      <c r="Z106" s="8">
        <f t="shared" si="83"/>
        <v>-0.72895238095238091</v>
      </c>
    </row>
    <row r="107" spans="1:26" s="54" customFormat="1" x14ac:dyDescent="0.25">
      <c r="A107" s="36"/>
      <c r="B107" s="36"/>
      <c r="C107" s="36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6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2" customFormat="1" x14ac:dyDescent="0.25">
      <c r="A108" s="10"/>
      <c r="B108" s="26" t="s">
        <v>0</v>
      </c>
      <c r="C108" s="10"/>
      <c r="D108" s="4">
        <f>SUM(0)</f>
        <v>0</v>
      </c>
      <c r="E108" s="4"/>
      <c r="F108" s="11">
        <f>IF(D$12=0,0,D108/D$12)</f>
        <v>0</v>
      </c>
      <c r="G108" s="4"/>
      <c r="H108" s="4">
        <f>SUM(0)</f>
        <v>0</v>
      </c>
      <c r="I108" s="4"/>
      <c r="J108" s="11">
        <f>IF(H$12=0,0,H108/H$12)</f>
        <v>0</v>
      </c>
      <c r="K108" s="4"/>
      <c r="L108" s="4">
        <f>+D108-H108</f>
        <v>0</v>
      </c>
      <c r="M108" s="4"/>
      <c r="N108" s="11">
        <f>IF(H108=0,0,L108/H108)</f>
        <v>0</v>
      </c>
      <c r="O108" s="10"/>
      <c r="P108" s="4">
        <f>SUM(0)</f>
        <v>0</v>
      </c>
      <c r="Q108" s="4"/>
      <c r="R108" s="11">
        <f>IF(P$12=0,0,P108/P$12)</f>
        <v>0</v>
      </c>
      <c r="S108" s="4"/>
      <c r="T108" s="4">
        <f>SUM(0)</f>
        <v>0</v>
      </c>
      <c r="U108" s="4"/>
      <c r="V108" s="11">
        <f>IF(T$12=0,0,T108/T$12)</f>
        <v>0</v>
      </c>
      <c r="W108" s="4"/>
      <c r="X108" s="4">
        <f>+P108-T108</f>
        <v>0</v>
      </c>
      <c r="Y108" s="4"/>
      <c r="Z108" s="11">
        <f>IF(T108=0,0,X108/T108)</f>
        <v>0</v>
      </c>
    </row>
    <row r="109" spans="1:26" x14ac:dyDescent="0.25">
      <c r="A109" s="9"/>
      <c r="B109" s="10"/>
      <c r="C109" s="10"/>
      <c r="D109" s="2"/>
      <c r="E109" s="2"/>
      <c r="F109" s="6"/>
      <c r="G109" s="2"/>
      <c r="H109" s="2"/>
      <c r="I109" s="2"/>
      <c r="J109" s="6"/>
      <c r="K109" s="2"/>
      <c r="L109" s="2"/>
      <c r="M109" s="2"/>
      <c r="N109" s="6"/>
      <c r="O109" s="10"/>
      <c r="P109" s="2"/>
      <c r="Q109" s="2"/>
      <c r="R109" s="6"/>
      <c r="S109" s="2"/>
      <c r="T109" s="2"/>
      <c r="U109" s="2"/>
      <c r="V109" s="6"/>
      <c r="W109" s="2"/>
      <c r="X109" s="2"/>
      <c r="Y109" s="2"/>
      <c r="Z109" s="6"/>
    </row>
    <row r="110" spans="1:26" s="22" customFormat="1" x14ac:dyDescent="0.25">
      <c r="A110" s="10"/>
      <c r="B110" s="25" t="s">
        <v>3</v>
      </c>
      <c r="C110" s="25"/>
      <c r="D110" s="21">
        <f>+D34-D36+D108</f>
        <v>-6561.6299999999974</v>
      </c>
      <c r="E110" s="13"/>
      <c r="F110" s="20">
        <f>IF(D$12=0,0,D110/D$12)</f>
        <v>-0.24411034767038545</v>
      </c>
      <c r="G110" s="13"/>
      <c r="H110" s="21">
        <f>+H34-H36+H108</f>
        <v>-624.02581730768725</v>
      </c>
      <c r="I110" s="13"/>
      <c r="J110" s="20">
        <f>IF(H$12=0,0,H110/H$12)</f>
        <v>-1.2759176766739332E-2</v>
      </c>
      <c r="K110" s="15"/>
      <c r="L110" s="21">
        <f>+D110-H110</f>
        <v>-5937.6041826923101</v>
      </c>
      <c r="M110" s="15"/>
      <c r="N110" s="20">
        <f>IF(H110=0,0,L110/H110)</f>
        <v>9.5149976459462202</v>
      </c>
      <c r="O110" s="26"/>
      <c r="P110" s="21">
        <f>+P34-P36+P108</f>
        <v>-6561.6299999999974</v>
      </c>
      <c r="Q110" s="13"/>
      <c r="R110" s="20">
        <f>IF(P$12=0,0,P110/P$12)</f>
        <v>-0.24411034767038545</v>
      </c>
      <c r="S110" s="13"/>
      <c r="T110" s="21">
        <f>+T34-T36+T108</f>
        <v>-624.02581730768725</v>
      </c>
      <c r="U110" s="13"/>
      <c r="V110" s="20">
        <f>IF(T$12=0,0,T110/T$12)</f>
        <v>-1.2759176766739332E-2</v>
      </c>
      <c r="W110" s="15"/>
      <c r="X110" s="21">
        <f>+P110-T110</f>
        <v>-5937.6041826923101</v>
      </c>
      <c r="Y110" s="15"/>
      <c r="Z110" s="20">
        <f>IF(T110=0,0,X110/T110)</f>
        <v>9.5149976459462202</v>
      </c>
    </row>
    <row r="111" spans="1:26" x14ac:dyDescent="0.25">
      <c r="A111" s="9"/>
      <c r="B111" s="10"/>
      <c r="C111" s="9"/>
      <c r="D111" s="2"/>
      <c r="E111" s="2"/>
      <c r="F111" s="6"/>
      <c r="G111" s="2"/>
      <c r="H111" s="2"/>
      <c r="I111" s="2"/>
      <c r="J111" s="6"/>
      <c r="K111" s="2"/>
      <c r="L111" s="2"/>
      <c r="M111" s="2"/>
      <c r="N111" s="6"/>
      <c r="P111" s="2"/>
      <c r="Q111" s="2"/>
      <c r="R111" s="6"/>
      <c r="S111" s="2"/>
      <c r="T111" s="2"/>
      <c r="U111" s="2"/>
      <c r="V111" s="6"/>
      <c r="W111" s="2"/>
      <c r="X111" s="2"/>
      <c r="Y111" s="2"/>
      <c r="Z111" s="6"/>
    </row>
    <row r="112" spans="1:26" s="22" customFormat="1" x14ac:dyDescent="0.25">
      <c r="A112" s="52"/>
      <c r="B112" s="10" t="s">
        <v>14</v>
      </c>
      <c r="C112" s="10"/>
      <c r="D112" s="4">
        <v>13096.23</v>
      </c>
      <c r="E112" s="4"/>
      <c r="F112" s="11">
        <f>IF(D$12=0,0,D112/D$12)</f>
        <v>0.48721510637925836</v>
      </c>
      <c r="G112" s="4"/>
      <c r="H112" s="4">
        <v>23757</v>
      </c>
      <c r="I112" s="4"/>
      <c r="J112" s="11">
        <f>IF(H$12=0,0,H112/H$12)</f>
        <v>0.48574875276028462</v>
      </c>
      <c r="K112" s="4"/>
      <c r="L112" s="4">
        <f>+D112-H112</f>
        <v>-10660.77</v>
      </c>
      <c r="M112" s="4"/>
      <c r="N112" s="11">
        <f>IF(H112=0,0,L112/H112)</f>
        <v>-0.44874226543755524</v>
      </c>
      <c r="O112" s="10"/>
      <c r="P112" s="4">
        <v>13096.23</v>
      </c>
      <c r="Q112" s="4"/>
      <c r="R112" s="11">
        <f>IF(P$12=0,0,P112/P$12)</f>
        <v>0.48721510637925836</v>
      </c>
      <c r="S112" s="4"/>
      <c r="T112" s="4">
        <v>23757</v>
      </c>
      <c r="U112" s="4"/>
      <c r="V112" s="11">
        <f>IF(T$12=0,0,T112/T$12)</f>
        <v>0.48574875276028462</v>
      </c>
      <c r="W112" s="4"/>
      <c r="X112" s="4">
        <f>+P112-T112</f>
        <v>-10660.77</v>
      </c>
      <c r="Y112" s="4"/>
      <c r="Z112" s="11">
        <f>IF(T112=0,0,X112/T112)</f>
        <v>-0.44874226543755524</v>
      </c>
    </row>
    <row r="113" spans="1:26" x14ac:dyDescent="0.25">
      <c r="A113" s="9"/>
      <c r="B113" s="10"/>
      <c r="C113" s="10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O113" s="10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22" customFormat="1" ht="15.75" thickBot="1" x14ac:dyDescent="0.3">
      <c r="A114" s="10"/>
      <c r="B114" s="25" t="s">
        <v>4</v>
      </c>
      <c r="C114" s="25"/>
      <c r="D114" s="34">
        <f>+D110-D112</f>
        <v>-19657.859999999997</v>
      </c>
      <c r="E114" s="13"/>
      <c r="F114" s="30">
        <f>IF(D$12=0,0,D114/D$12)</f>
        <v>-0.73132545404964378</v>
      </c>
      <c r="G114" s="13"/>
      <c r="H114" s="34">
        <f>+H110-H112</f>
        <v>-24381.025817307687</v>
      </c>
      <c r="I114" s="13"/>
      <c r="J114" s="30">
        <f>IF(H$12=0,0,H114/H$12)</f>
        <v>-0.49850792952702394</v>
      </c>
      <c r="K114" s="15"/>
      <c r="L114" s="34">
        <f>D114-H114</f>
        <v>4723.1658173076903</v>
      </c>
      <c r="M114" s="15"/>
      <c r="N114" s="30">
        <f>IF(H114=0,0,L114/H114)</f>
        <v>-0.19372301447442761</v>
      </c>
      <c r="O114" s="26"/>
      <c r="P114" s="34">
        <f>+P110-P112</f>
        <v>-19657.859999999997</v>
      </c>
      <c r="Q114" s="13"/>
      <c r="R114" s="30">
        <f>IF(P$12=0,0,P114/P$12)</f>
        <v>-0.73132545404964378</v>
      </c>
      <c r="S114" s="13"/>
      <c r="T114" s="34">
        <f>+T110-T112</f>
        <v>-24381.025817307687</v>
      </c>
      <c r="U114" s="13"/>
      <c r="V114" s="30">
        <f>IF(T$12=0,0,T114/T$12)</f>
        <v>-0.49850792952702394</v>
      </c>
      <c r="W114" s="15"/>
      <c r="X114" s="34">
        <f>P114-T114</f>
        <v>4723.1658173076903</v>
      </c>
      <c r="Y114" s="15"/>
      <c r="Z114" s="30">
        <f>IF(T114=0,0,X114/T114)</f>
        <v>-0.19372301447442761</v>
      </c>
    </row>
    <row r="115" spans="1:26" ht="15.75" thickTop="1" x14ac:dyDescent="0.25">
      <c r="A115" s="9"/>
      <c r="B115" s="9"/>
      <c r="C115" s="9"/>
      <c r="D115" s="2"/>
      <c r="E115" s="2"/>
      <c r="F115" s="6"/>
      <c r="G115" s="2"/>
      <c r="H115" s="2"/>
      <c r="I115" s="2"/>
      <c r="J115" s="6"/>
      <c r="K115" s="2"/>
      <c r="L115" s="2"/>
      <c r="M115" s="2"/>
      <c r="N115" s="6"/>
      <c r="P115" s="2"/>
      <c r="Q115" s="2"/>
      <c r="R115" s="6"/>
      <c r="S115" s="2"/>
      <c r="T115" s="2"/>
      <c r="U115" s="2"/>
      <c r="V115" s="6"/>
      <c r="W115" s="2"/>
      <c r="X115" s="2"/>
      <c r="Y115" s="2"/>
      <c r="Z115" s="6"/>
    </row>
    <row r="116" spans="1:26" x14ac:dyDescent="0.25">
      <c r="A116" s="9"/>
      <c r="B116" s="9"/>
      <c r="C116" s="9"/>
      <c r="D116" s="2"/>
      <c r="E116" s="2"/>
      <c r="F116" s="6"/>
      <c r="G116" s="2"/>
      <c r="H116" s="2"/>
      <c r="I116" s="2"/>
      <c r="J116" s="6"/>
      <c r="K116" s="2"/>
      <c r="L116" s="2"/>
      <c r="M116" s="2"/>
      <c r="N116" s="6"/>
      <c r="P116" s="2"/>
      <c r="Q116" s="2"/>
      <c r="R116" s="6"/>
      <c r="S116" s="2"/>
      <c r="T116" s="2"/>
      <c r="U116" s="2"/>
      <c r="V116" s="6"/>
      <c r="W116" s="2"/>
      <c r="X116" s="2"/>
      <c r="Y116" s="2"/>
      <c r="Z116" s="6"/>
    </row>
    <row r="117" spans="1:26" s="22" customFormat="1" ht="15.75" thickBot="1" x14ac:dyDescent="0.3">
      <c r="A117" s="10"/>
      <c r="B117" s="25" t="s">
        <v>5</v>
      </c>
      <c r="C117" s="25"/>
      <c r="D117" s="32">
        <f>SUM(D114:D116)</f>
        <v>-19657.859999999997</v>
      </c>
      <c r="E117" s="13"/>
      <c r="F117" s="33">
        <f>IF(D$12=0,0,D117/D$12)</f>
        <v>-0.73132545404964378</v>
      </c>
      <c r="G117" s="13"/>
      <c r="H117" s="32">
        <f>SUM(H114:H116)</f>
        <v>-24381.025817307687</v>
      </c>
      <c r="I117" s="13"/>
      <c r="J117" s="33">
        <f>IF(H$12=0,0,H117/H$12)</f>
        <v>-0.49850792952702394</v>
      </c>
      <c r="K117" s="15"/>
      <c r="L117" s="32">
        <f>+D117-H117</f>
        <v>4723.1658173076903</v>
      </c>
      <c r="M117" s="15"/>
      <c r="N117" s="33">
        <f>IF(H117=0,0,L117/H117)</f>
        <v>-0.19372301447442761</v>
      </c>
      <c r="O117" s="26"/>
      <c r="P117" s="32">
        <f>SUM(P114:P116)</f>
        <v>-19657.859999999997</v>
      </c>
      <c r="Q117" s="13"/>
      <c r="R117" s="33">
        <f>IF(P$12=0,0,P117/P$12)</f>
        <v>-0.73132545404964378</v>
      </c>
      <c r="S117" s="13"/>
      <c r="T117" s="32">
        <f>SUM(T114:T116)</f>
        <v>-24381.025817307687</v>
      </c>
      <c r="U117" s="13"/>
      <c r="V117" s="33">
        <f>IF(T$12=0,0,T117/T$12)</f>
        <v>-0.49850792952702394</v>
      </c>
      <c r="W117" s="15"/>
      <c r="X117" s="32">
        <f>+P117-T117</f>
        <v>4723.1658173076903</v>
      </c>
      <c r="Y117" s="15"/>
      <c r="Z117" s="33">
        <f>IF(T117=0,0,X117/T117)</f>
        <v>-0.19372301447442761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58">
        <v>44104.686166817133</v>
      </c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56" t="s">
        <v>314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62"/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299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8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4847.87</v>
      </c>
      <c r="E12" s="4"/>
      <c r="F12" s="11"/>
      <c r="G12" s="4"/>
      <c r="H12" s="4">
        <f>SUM(OSRRefH13x_0)</f>
        <v>3000</v>
      </c>
      <c r="I12" s="4"/>
      <c r="J12" s="11"/>
      <c r="K12" s="4"/>
      <c r="L12" s="4">
        <f t="shared" ref="L12:L18" si="0">+D12-H12</f>
        <v>1847.87</v>
      </c>
      <c r="M12" s="4"/>
      <c r="N12" s="11">
        <f t="shared" ref="N12:N18" si="1">IF(H12=0,0,L12/H12)</f>
        <v>0.6159566666666666</v>
      </c>
      <c r="O12" s="10"/>
      <c r="P12" s="4">
        <f>SUM(OSRRefP13x_0)</f>
        <v>4847.87</v>
      </c>
      <c r="Q12" s="4"/>
      <c r="R12" s="11"/>
      <c r="S12" s="4"/>
      <c r="T12" s="4">
        <f>SUM(OSRRefT13x_0)</f>
        <v>3000</v>
      </c>
      <c r="U12" s="4"/>
      <c r="V12" s="11"/>
      <c r="W12" s="4"/>
      <c r="X12" s="4">
        <f t="shared" ref="X12:X18" si="2">+P12-T12</f>
        <v>1847.87</v>
      </c>
      <c r="Y12" s="4"/>
      <c r="Z12" s="11">
        <f t="shared" ref="Z12:Z18" si="3">IF(T12=0,0,X12/T12)</f>
        <v>0.6159566666666666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0</f>
        <v>0</v>
      </c>
      <c r="E13" s="3"/>
      <c r="F13" s="23"/>
      <c r="G13" s="3"/>
      <c r="H13" s="3">
        <v>2500</v>
      </c>
      <c r="I13" s="3"/>
      <c r="J13" s="23"/>
      <c r="K13" s="3"/>
      <c r="L13" s="3">
        <f t="shared" si="0"/>
        <v>-2500</v>
      </c>
      <c r="M13" s="3"/>
      <c r="N13" s="23">
        <f t="shared" si="1"/>
        <v>-1</v>
      </c>
      <c r="O13" s="12"/>
      <c r="P13" s="3">
        <f>0</f>
        <v>0</v>
      </c>
      <c r="Q13" s="3"/>
      <c r="R13" s="23"/>
      <c r="S13" s="3"/>
      <c r="T13" s="3">
        <v>2500</v>
      </c>
      <c r="U13" s="3"/>
      <c r="V13" s="23"/>
      <c r="W13" s="3"/>
      <c r="X13" s="3">
        <f t="shared" si="2"/>
        <v>-2500</v>
      </c>
      <c r="Y13" s="3"/>
      <c r="Z13" s="23">
        <f t="shared" si="3"/>
        <v>-1</v>
      </c>
    </row>
    <row r="14" spans="1:26" s="24" customFormat="1" hidden="1" outlineLevel="1" x14ac:dyDescent="0.25">
      <c r="A14" s="51"/>
      <c r="B14" s="12" t="str">
        <f>CONCATENATE("          ", "4041", " - ", "TAXABLE SALES-LOGO GIFTS")</f>
        <v xml:space="preserve">          4041 - TAXABLE SALES-LOGO GIFTS</v>
      </c>
      <c r="C14" s="12"/>
      <c r="D14" s="3">
        <f>--1085.6</f>
        <v>1085.5999999999999</v>
      </c>
      <c r="E14" s="3"/>
      <c r="F14" s="23"/>
      <c r="G14" s="3"/>
      <c r="H14" s="3"/>
      <c r="I14" s="3"/>
      <c r="J14" s="23"/>
      <c r="K14" s="3"/>
      <c r="L14" s="3">
        <f t="shared" si="0"/>
        <v>1085.5999999999999</v>
      </c>
      <c r="M14" s="3"/>
      <c r="N14" s="23">
        <f t="shared" si="1"/>
        <v>0</v>
      </c>
      <c r="O14" s="12"/>
      <c r="P14" s="3">
        <f>--1085.6</f>
        <v>1085.5999999999999</v>
      </c>
      <c r="Q14" s="3"/>
      <c r="R14" s="23"/>
      <c r="S14" s="3"/>
      <c r="T14" s="3"/>
      <c r="U14" s="3"/>
      <c r="V14" s="23"/>
      <c r="W14" s="3"/>
      <c r="X14" s="3">
        <f t="shared" si="2"/>
        <v>1085.5999999999999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"4042", " - ", "TAXABLE SALES-EVERYDAY GIFTS")</f>
        <v xml:space="preserve">          4042 - TAXABLE SALES-EVERYDAY GIFTS</v>
      </c>
      <c r="C15" s="12"/>
      <c r="D15" s="3">
        <f>--3750.52</f>
        <v>3750.52</v>
      </c>
      <c r="E15" s="3"/>
      <c r="F15" s="23"/>
      <c r="G15" s="3"/>
      <c r="H15" s="3"/>
      <c r="I15" s="3"/>
      <c r="J15" s="23"/>
      <c r="K15" s="3"/>
      <c r="L15" s="3">
        <f t="shared" si="0"/>
        <v>3750.52</v>
      </c>
      <c r="M15" s="3"/>
      <c r="N15" s="23">
        <f t="shared" si="1"/>
        <v>0</v>
      </c>
      <c r="O15" s="12"/>
      <c r="P15" s="3">
        <f>--3750.52</f>
        <v>3750.52</v>
      </c>
      <c r="Q15" s="3"/>
      <c r="R15" s="23"/>
      <c r="S15" s="3"/>
      <c r="T15" s="3"/>
      <c r="U15" s="3"/>
      <c r="V15" s="23"/>
      <c r="W15" s="3"/>
      <c r="X15" s="3">
        <f t="shared" si="2"/>
        <v>3750.52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"4100", " - ", "NON-TAXABLE SALES")</f>
        <v xml:space="preserve">          4100 - NON-TAXABLE SALES</v>
      </c>
      <c r="C16" s="12"/>
      <c r="D16" s="3">
        <f>0</f>
        <v>0</v>
      </c>
      <c r="E16" s="3"/>
      <c r="F16" s="23"/>
      <c r="G16" s="3"/>
      <c r="H16" s="3">
        <v>500</v>
      </c>
      <c r="I16" s="3"/>
      <c r="J16" s="23"/>
      <c r="K16" s="3"/>
      <c r="L16" s="3">
        <f t="shared" si="0"/>
        <v>-500</v>
      </c>
      <c r="M16" s="3"/>
      <c r="N16" s="23">
        <f t="shared" si="1"/>
        <v>-1</v>
      </c>
      <c r="O16" s="12"/>
      <c r="P16" s="3">
        <f>0</f>
        <v>0</v>
      </c>
      <c r="Q16" s="3"/>
      <c r="R16" s="23"/>
      <c r="S16" s="3"/>
      <c r="T16" s="3">
        <v>500</v>
      </c>
      <c r="U16" s="3"/>
      <c r="V16" s="23"/>
      <c r="W16" s="3"/>
      <c r="X16" s="3">
        <f t="shared" si="2"/>
        <v>-500</v>
      </c>
      <c r="Y16" s="3"/>
      <c r="Z16" s="23">
        <f t="shared" si="3"/>
        <v>-1</v>
      </c>
    </row>
    <row r="17" spans="1:26" s="24" customFormat="1" hidden="1" outlineLevel="1" x14ac:dyDescent="0.25">
      <c r="A17" s="51"/>
      <c r="B17" s="12" t="str">
        <f>CONCATENATE("          ", "4141", " - ", "NON-TAXABLE SALES-LOGO GIFTS")</f>
        <v xml:space="preserve">          4141 - NON-TAXABLE SALES-LOGO GIFTS</v>
      </c>
      <c r="C17" s="12"/>
      <c r="D17" s="3">
        <f>--10.75</f>
        <v>10.75</v>
      </c>
      <c r="E17" s="3"/>
      <c r="F17" s="23"/>
      <c r="G17" s="3"/>
      <c r="H17" s="3"/>
      <c r="I17" s="3"/>
      <c r="J17" s="23"/>
      <c r="K17" s="3"/>
      <c r="L17" s="3">
        <f t="shared" si="0"/>
        <v>10.75</v>
      </c>
      <c r="M17" s="3"/>
      <c r="N17" s="23">
        <f t="shared" si="1"/>
        <v>0</v>
      </c>
      <c r="O17" s="12"/>
      <c r="P17" s="3">
        <f>--10.75</f>
        <v>10.75</v>
      </c>
      <c r="Q17" s="3"/>
      <c r="R17" s="23"/>
      <c r="S17" s="3"/>
      <c r="T17" s="3"/>
      <c r="U17" s="3"/>
      <c r="V17" s="23"/>
      <c r="W17" s="3"/>
      <c r="X17" s="3">
        <f t="shared" si="2"/>
        <v>10.75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"4147", " - ", "NON-TAXABLE SALES-MISC")</f>
        <v xml:space="preserve">          4147 - NON-TAXABLE SALES-MISC</v>
      </c>
      <c r="C18" s="12"/>
      <c r="D18" s="3">
        <f>--1</f>
        <v>1</v>
      </c>
      <c r="E18" s="3"/>
      <c r="F18" s="23"/>
      <c r="G18" s="3"/>
      <c r="H18" s="3"/>
      <c r="I18" s="3"/>
      <c r="J18" s="23"/>
      <c r="K18" s="3"/>
      <c r="L18" s="3">
        <f t="shared" si="0"/>
        <v>1</v>
      </c>
      <c r="M18" s="3"/>
      <c r="N18" s="23">
        <f t="shared" si="1"/>
        <v>0</v>
      </c>
      <c r="O18" s="12"/>
      <c r="P18" s="3">
        <f>--1</f>
        <v>1</v>
      </c>
      <c r="Q18" s="3"/>
      <c r="R18" s="23"/>
      <c r="S18" s="3"/>
      <c r="T18" s="3"/>
      <c r="U18" s="3"/>
      <c r="V18" s="23"/>
      <c r="W18" s="3"/>
      <c r="X18" s="3">
        <f t="shared" si="2"/>
        <v>1</v>
      </c>
      <c r="Y18" s="3"/>
      <c r="Z18" s="23">
        <f t="shared" si="3"/>
        <v>0</v>
      </c>
    </row>
    <row r="19" spans="1:26" x14ac:dyDescent="0.25">
      <c r="A19" s="9"/>
      <c r="B19" s="10"/>
      <c r="C19" s="9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2" customFormat="1" x14ac:dyDescent="0.25">
      <c r="A20" s="10"/>
      <c r="B20" s="26" t="s">
        <v>8</v>
      </c>
      <c r="C20" s="10"/>
      <c r="D20" s="4">
        <f>SUM(0)</f>
        <v>0</v>
      </c>
      <c r="E20" s="4"/>
      <c r="F20" s="11">
        <f>IF(D$12=0,0,D20/D$12)</f>
        <v>0</v>
      </c>
      <c r="G20" s="4"/>
      <c r="H20" s="4">
        <f>SUM(0)</f>
        <v>0</v>
      </c>
      <c r="I20" s="4"/>
      <c r="J20" s="11">
        <f>IF(H$12=0,0,H20/H$12)</f>
        <v>0</v>
      </c>
      <c r="K20" s="4"/>
      <c r="L20" s="4">
        <f>+D20-H20</f>
        <v>0</v>
      </c>
      <c r="M20" s="4"/>
      <c r="N20" s="11">
        <f>IF(H20=0,0,L20/H20)</f>
        <v>0</v>
      </c>
      <c r="O20" s="10"/>
      <c r="P20" s="4">
        <f>SUM(0)</f>
        <v>0</v>
      </c>
      <c r="Q20" s="4"/>
      <c r="R20" s="11">
        <f>IF(P$12=0,0,P20/P$12)</f>
        <v>0</v>
      </c>
      <c r="S20" s="4"/>
      <c r="T20" s="4">
        <f>SUM(0)</f>
        <v>0</v>
      </c>
      <c r="U20" s="4"/>
      <c r="V20" s="11">
        <f>IF(T$12=0,0,T20/T$12)</f>
        <v>0</v>
      </c>
      <c r="W20" s="4"/>
      <c r="X20" s="4">
        <f>+P20-T20</f>
        <v>0</v>
      </c>
      <c r="Y20" s="4"/>
      <c r="Z20" s="11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2" customFormat="1" x14ac:dyDescent="0.25">
      <c r="A22" s="10"/>
      <c r="B22" s="25" t="s">
        <v>6</v>
      </c>
      <c r="C22" s="25"/>
      <c r="D22" s="21">
        <f>D12-D20</f>
        <v>4847.87</v>
      </c>
      <c r="E22" s="13"/>
      <c r="F22" s="20">
        <f>IF(D$12=0,0,D22/D$12)</f>
        <v>1</v>
      </c>
      <c r="G22" s="13"/>
      <c r="H22" s="21">
        <f>H12-H20</f>
        <v>3000</v>
      </c>
      <c r="I22" s="13"/>
      <c r="J22" s="20">
        <f>IF(H$12=0,0,H22/H$12)</f>
        <v>1</v>
      </c>
      <c r="K22" s="15"/>
      <c r="L22" s="21">
        <f>+D22-H22</f>
        <v>1847.87</v>
      </c>
      <c r="M22" s="15"/>
      <c r="N22" s="20">
        <f>IF(H22=0,0,L22/H22)</f>
        <v>0.6159566666666666</v>
      </c>
      <c r="O22" s="26"/>
      <c r="P22" s="21">
        <f>P12-P20</f>
        <v>4847.87</v>
      </c>
      <c r="Q22" s="13"/>
      <c r="R22" s="20">
        <f>IF(P$12=0,0,P22/P$12)</f>
        <v>1</v>
      </c>
      <c r="S22" s="13"/>
      <c r="T22" s="21">
        <f>T12-T20</f>
        <v>3000</v>
      </c>
      <c r="U22" s="13"/>
      <c r="V22" s="20">
        <f>IF(T$12=0,0,T22/T$12)</f>
        <v>1</v>
      </c>
      <c r="W22" s="15"/>
      <c r="X22" s="21">
        <f>+P22-T22</f>
        <v>1847.87</v>
      </c>
      <c r="Y22" s="15"/>
      <c r="Z22" s="20">
        <f>IF(T22=0,0,X22/T22)</f>
        <v>0.6159566666666666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x14ac:dyDescent="0.25">
      <c r="A24" s="10"/>
      <c r="B24" s="26" t="s">
        <v>9</v>
      </c>
      <c r="C24" s="10"/>
      <c r="D24" s="19">
        <f>SUM(OSRRefD22x_0)</f>
        <v>49153.950000000004</v>
      </c>
      <c r="E24" s="19"/>
      <c r="F24" s="31">
        <f t="shared" ref="F24:F34" si="4">IF(D$12=0,0,D24/D$12)</f>
        <v>10.139287975956453</v>
      </c>
      <c r="G24" s="19"/>
      <c r="H24" s="19">
        <f>SUM(OSRRefH22x_0)</f>
        <v>29880.519276240404</v>
      </c>
      <c r="I24" s="19"/>
      <c r="J24" s="31">
        <f t="shared" ref="J24:J34" si="5">IF(H$12=0,0,H24/H$12)</f>
        <v>9.9601730920801348</v>
      </c>
      <c r="K24" s="4"/>
      <c r="L24" s="19">
        <f t="shared" ref="L24:L34" si="6">+D24-H24</f>
        <v>19273.4307237596</v>
      </c>
      <c r="M24" s="4"/>
      <c r="N24" s="31">
        <f t="shared" ref="N24:N34" si="7">IF(H24=0,0,L24/H24)</f>
        <v>0.64501659243535747</v>
      </c>
      <c r="O24" s="10"/>
      <c r="P24" s="19">
        <f>SUM(OSRRefP22x_0)</f>
        <v>49153.950000000004</v>
      </c>
      <c r="Q24" s="19"/>
      <c r="R24" s="31">
        <f t="shared" ref="R24:R34" si="8">IF(P$12=0,0,P24/P$12)</f>
        <v>10.139287975956453</v>
      </c>
      <c r="S24" s="19"/>
      <c r="T24" s="19">
        <f>SUM(OSRRefT22x_0)</f>
        <v>29880.519276240404</v>
      </c>
      <c r="U24" s="19"/>
      <c r="V24" s="31">
        <f t="shared" ref="V24:V34" si="9">IF(T$12=0,0,T24/T$12)</f>
        <v>9.9601730920801348</v>
      </c>
      <c r="W24" s="4"/>
      <c r="X24" s="19">
        <f t="shared" ref="X24:X34" si="10">+P24-T24</f>
        <v>19273.4307237596</v>
      </c>
      <c r="Y24" s="4"/>
      <c r="Z24" s="31">
        <f t="shared" ref="Z24:Z34" si="11">IF(T24=0,0,X24/T24)</f>
        <v>0.64501659243535747</v>
      </c>
    </row>
    <row r="25" spans="1:26" s="29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7930.28</v>
      </c>
      <c r="E25" s="1"/>
      <c r="F25" s="5">
        <f t="shared" si="4"/>
        <v>1.6358276933993692</v>
      </c>
      <c r="G25" s="1"/>
      <c r="H25" s="1">
        <f>SUM(OSRRefH22_0x_0)</f>
        <v>7392.6335743173022</v>
      </c>
      <c r="I25" s="1"/>
      <c r="J25" s="5">
        <f t="shared" si="5"/>
        <v>2.4642111914391007</v>
      </c>
      <c r="K25" s="1"/>
      <c r="L25" s="1">
        <f t="shared" si="6"/>
        <v>537.64642568269755</v>
      </c>
      <c r="M25" s="1"/>
      <c r="N25" s="5">
        <f t="shared" si="7"/>
        <v>7.2727319740360369E-2</v>
      </c>
      <c r="O25" s="14"/>
      <c r="P25" s="1">
        <f>SUM(OSRRefP22_0x_0)</f>
        <v>7930.28</v>
      </c>
      <c r="Q25" s="1"/>
      <c r="R25" s="5">
        <f t="shared" si="8"/>
        <v>1.6358276933993692</v>
      </c>
      <c r="S25" s="1"/>
      <c r="T25" s="1">
        <f>SUM(OSRRefT22_0x_0)</f>
        <v>7392.6335743173022</v>
      </c>
      <c r="U25" s="1"/>
      <c r="V25" s="5">
        <f t="shared" si="9"/>
        <v>2.4642111914391007</v>
      </c>
      <c r="W25" s="1"/>
      <c r="X25" s="1">
        <f t="shared" si="10"/>
        <v>537.64642568269755</v>
      </c>
      <c r="Y25" s="1"/>
      <c r="Z25" s="5">
        <f t="shared" si="11"/>
        <v>7.2727319740360369E-2</v>
      </c>
    </row>
    <row r="26" spans="1:26" s="24" customFormat="1" hidden="1" outlineLevel="2" x14ac:dyDescent="0.25">
      <c r="A26" s="27"/>
      <c r="B26" s="12" t="str">
        <f>CONCATENATE("          ", "6111", " - ", "F.I.C.A.")</f>
        <v xml:space="preserve">          6111 - F.I.C.A.</v>
      </c>
      <c r="C26" s="12"/>
      <c r="D26" s="7">
        <v>1043.3599999999999</v>
      </c>
      <c r="E26" s="3"/>
      <c r="F26" s="8">
        <f t="shared" si="4"/>
        <v>0.21522029262335829</v>
      </c>
      <c r="G26" s="3"/>
      <c r="H26" s="7">
        <v>1386.6119692211498</v>
      </c>
      <c r="I26" s="3"/>
      <c r="J26" s="8">
        <f t="shared" si="5"/>
        <v>0.46220398974038329</v>
      </c>
      <c r="K26" s="3"/>
      <c r="L26" s="7">
        <f t="shared" si="6"/>
        <v>-343.25196922114992</v>
      </c>
      <c r="M26" s="3"/>
      <c r="N26" s="8">
        <f t="shared" si="7"/>
        <v>-0.24754724237232145</v>
      </c>
      <c r="O26" s="12"/>
      <c r="P26" s="7">
        <v>1043.3599999999999</v>
      </c>
      <c r="Q26" s="3"/>
      <c r="R26" s="8">
        <f t="shared" si="8"/>
        <v>0.21522029262335829</v>
      </c>
      <c r="S26" s="3"/>
      <c r="T26" s="7">
        <v>1386.6119692211498</v>
      </c>
      <c r="U26" s="3"/>
      <c r="V26" s="8">
        <f t="shared" si="9"/>
        <v>0.46220398974038329</v>
      </c>
      <c r="W26" s="3"/>
      <c r="X26" s="7">
        <f t="shared" si="10"/>
        <v>-343.25196922114992</v>
      </c>
      <c r="Y26" s="3"/>
      <c r="Z26" s="8">
        <f t="shared" si="11"/>
        <v>-0.24754724237232145</v>
      </c>
    </row>
    <row r="27" spans="1:26" s="24" customFormat="1" hidden="1" outlineLevel="2" x14ac:dyDescent="0.25">
      <c r="A27" s="27"/>
      <c r="B27" s="12" t="str">
        <f>CONCATENATE("          ", "6112", " - ", "COMPENSATION INSURANCE")</f>
        <v xml:space="preserve">          6112 - COMPENSATION INSURANCE</v>
      </c>
      <c r="C27" s="12"/>
      <c r="D27" s="7">
        <v>293.61</v>
      </c>
      <c r="E27" s="3"/>
      <c r="F27" s="8">
        <f t="shared" si="4"/>
        <v>6.056474286645476E-2</v>
      </c>
      <c r="G27" s="3"/>
      <c r="H27" s="7">
        <v>335.19301490384601</v>
      </c>
      <c r="I27" s="3"/>
      <c r="J27" s="8">
        <f t="shared" si="5"/>
        <v>0.11173100496794867</v>
      </c>
      <c r="K27" s="3"/>
      <c r="L27" s="7">
        <f t="shared" si="6"/>
        <v>-41.583014903845992</v>
      </c>
      <c r="M27" s="3"/>
      <c r="N27" s="8">
        <f t="shared" si="7"/>
        <v>-0.12405692557696812</v>
      </c>
      <c r="O27" s="12"/>
      <c r="P27" s="7">
        <v>293.61</v>
      </c>
      <c r="Q27" s="3"/>
      <c r="R27" s="8">
        <f t="shared" si="8"/>
        <v>6.056474286645476E-2</v>
      </c>
      <c r="S27" s="3"/>
      <c r="T27" s="7">
        <v>335.19301490384601</v>
      </c>
      <c r="U27" s="3"/>
      <c r="V27" s="8">
        <f t="shared" si="9"/>
        <v>0.11173100496794867</v>
      </c>
      <c r="W27" s="3"/>
      <c r="X27" s="7">
        <f t="shared" si="10"/>
        <v>-41.583014903845992</v>
      </c>
      <c r="Y27" s="3"/>
      <c r="Z27" s="8">
        <f t="shared" si="11"/>
        <v>-0.12405692557696812</v>
      </c>
    </row>
    <row r="28" spans="1:26" s="24" customFormat="1" hidden="1" outlineLevel="2" x14ac:dyDescent="0.25">
      <c r="A28" s="27"/>
      <c r="B28" s="12" t="str">
        <f>CONCATENATE("          ", "6113", " - ", "GROUP INSURANCE")</f>
        <v xml:space="preserve">          6113 - GROUP INSURANCE</v>
      </c>
      <c r="C28" s="12"/>
      <c r="D28" s="7">
        <v>2724.48</v>
      </c>
      <c r="E28" s="3"/>
      <c r="F28" s="8">
        <f t="shared" si="4"/>
        <v>0.56199526802492639</v>
      </c>
      <c r="G28" s="3"/>
      <c r="H28" s="7">
        <v>2645</v>
      </c>
      <c r="I28" s="3"/>
      <c r="J28" s="8">
        <f t="shared" si="5"/>
        <v>0.88166666666666671</v>
      </c>
      <c r="K28" s="3"/>
      <c r="L28" s="7">
        <f t="shared" si="6"/>
        <v>79.480000000000018</v>
      </c>
      <c r="M28" s="3"/>
      <c r="N28" s="8">
        <f t="shared" si="7"/>
        <v>3.0049149338374298E-2</v>
      </c>
      <c r="O28" s="12"/>
      <c r="P28" s="7">
        <v>2724.48</v>
      </c>
      <c r="Q28" s="3"/>
      <c r="R28" s="8">
        <f t="shared" si="8"/>
        <v>0.56199526802492639</v>
      </c>
      <c r="S28" s="3"/>
      <c r="T28" s="7">
        <v>2645</v>
      </c>
      <c r="U28" s="3"/>
      <c r="V28" s="8">
        <f t="shared" si="9"/>
        <v>0.88166666666666671</v>
      </c>
      <c r="W28" s="3"/>
      <c r="X28" s="7">
        <f t="shared" si="10"/>
        <v>79.480000000000018</v>
      </c>
      <c r="Y28" s="3"/>
      <c r="Z28" s="8">
        <f t="shared" si="11"/>
        <v>3.0049149338374298E-2</v>
      </c>
    </row>
    <row r="29" spans="1:26" s="24" customFormat="1" hidden="1" outlineLevel="2" x14ac:dyDescent="0.25">
      <c r="A29" s="27"/>
      <c r="B29" s="12" t="str">
        <f>CONCATENATE("          ", "6114", " - ", "STATE UNEMPLOYMENT INSURANCE")</f>
        <v xml:space="preserve">          6114 - STATE UNEMPLOYMENT INSURANCE</v>
      </c>
      <c r="C29" s="12"/>
      <c r="D29" s="7">
        <v>41.26</v>
      </c>
      <c r="E29" s="3"/>
      <c r="F29" s="8">
        <f t="shared" si="4"/>
        <v>8.5109542953915839E-3</v>
      </c>
      <c r="G29" s="3"/>
      <c r="H29" s="7">
        <v>47.108207499999999</v>
      </c>
      <c r="I29" s="3"/>
      <c r="J29" s="8">
        <f t="shared" si="5"/>
        <v>1.5702735833333332E-2</v>
      </c>
      <c r="K29" s="3"/>
      <c r="L29" s="7">
        <f t="shared" si="6"/>
        <v>-5.8482075000000009</v>
      </c>
      <c r="M29" s="3"/>
      <c r="N29" s="8">
        <f t="shared" si="7"/>
        <v>-0.12414413135969993</v>
      </c>
      <c r="O29" s="12"/>
      <c r="P29" s="7">
        <v>41.26</v>
      </c>
      <c r="Q29" s="3"/>
      <c r="R29" s="8">
        <f t="shared" si="8"/>
        <v>8.5109542953915839E-3</v>
      </c>
      <c r="S29" s="3"/>
      <c r="T29" s="7">
        <v>47.108207499999999</v>
      </c>
      <c r="U29" s="3"/>
      <c r="V29" s="8">
        <f t="shared" si="9"/>
        <v>1.5702735833333332E-2</v>
      </c>
      <c r="W29" s="3"/>
      <c r="X29" s="7">
        <f t="shared" si="10"/>
        <v>-5.8482075000000009</v>
      </c>
      <c r="Y29" s="3"/>
      <c r="Z29" s="8">
        <f t="shared" si="11"/>
        <v>-0.12414413135969993</v>
      </c>
    </row>
    <row r="30" spans="1:26" s="24" customFormat="1" hidden="1" outlineLevel="2" x14ac:dyDescent="0.25">
      <c r="A30" s="27"/>
      <c r="B30" s="12" t="str">
        <f>CONCATENATE("          ", "6115", " - ", "P.E.R.S.")</f>
        <v xml:space="preserve">          6115 - P.E.R.S.</v>
      </c>
      <c r="C30" s="12"/>
      <c r="D30" s="7">
        <v>2066.46</v>
      </c>
      <c r="E30" s="3"/>
      <c r="F30" s="8">
        <f t="shared" si="4"/>
        <v>0.42626143027762708</v>
      </c>
      <c r="G30" s="3"/>
      <c r="H30" s="7">
        <v>1239.9085557692301</v>
      </c>
      <c r="I30" s="3"/>
      <c r="J30" s="8">
        <f t="shared" si="5"/>
        <v>0.4133028519230767</v>
      </c>
      <c r="K30" s="3"/>
      <c r="L30" s="7">
        <f t="shared" si="6"/>
        <v>826.5514442307699</v>
      </c>
      <c r="M30" s="3"/>
      <c r="N30" s="8">
        <f t="shared" si="7"/>
        <v>0.66662290568515636</v>
      </c>
      <c r="O30" s="12"/>
      <c r="P30" s="7">
        <v>2066.46</v>
      </c>
      <c r="Q30" s="3"/>
      <c r="R30" s="8">
        <f t="shared" si="8"/>
        <v>0.42626143027762708</v>
      </c>
      <c r="S30" s="3"/>
      <c r="T30" s="7">
        <v>1239.9085557692301</v>
      </c>
      <c r="U30" s="3"/>
      <c r="V30" s="8">
        <f t="shared" si="9"/>
        <v>0.4133028519230767</v>
      </c>
      <c r="W30" s="3"/>
      <c r="X30" s="7">
        <f t="shared" si="10"/>
        <v>826.5514442307699</v>
      </c>
      <c r="Y30" s="3"/>
      <c r="Z30" s="8">
        <f t="shared" si="11"/>
        <v>0.66662290568515636</v>
      </c>
    </row>
    <row r="31" spans="1:26" s="24" customFormat="1" hidden="1" outlineLevel="2" x14ac:dyDescent="0.25">
      <c r="A31" s="27"/>
      <c r="B31" s="12" t="str">
        <f>CONCATENATE("          ", "6116", " - ", "EDUCATIONAL BENEFITS")</f>
        <v xml:space="preserve">          6116 - EDUCATIONAL BENEFITS</v>
      </c>
      <c r="C31" s="12"/>
      <c r="D31" s="7"/>
      <c r="E31" s="3"/>
      <c r="F31" s="8">
        <f t="shared" si="4"/>
        <v>0</v>
      </c>
      <c r="G31" s="3"/>
      <c r="H31" s="7">
        <v>0</v>
      </c>
      <c r="I31" s="3"/>
      <c r="J31" s="8">
        <f t="shared" si="5"/>
        <v>0</v>
      </c>
      <c r="K31" s="3"/>
      <c r="L31" s="7">
        <f t="shared" si="6"/>
        <v>0</v>
      </c>
      <c r="M31" s="3"/>
      <c r="N31" s="8">
        <f t="shared" si="7"/>
        <v>0</v>
      </c>
      <c r="O31" s="12"/>
      <c r="P31" s="7"/>
      <c r="Q31" s="3"/>
      <c r="R31" s="8">
        <f t="shared" si="8"/>
        <v>0</v>
      </c>
      <c r="S31" s="3"/>
      <c r="T31" s="7">
        <v>0</v>
      </c>
      <c r="U31" s="3"/>
      <c r="V31" s="8">
        <f t="shared" si="9"/>
        <v>0</v>
      </c>
      <c r="W31" s="3"/>
      <c r="X31" s="7">
        <f t="shared" si="10"/>
        <v>0</v>
      </c>
      <c r="Y31" s="3"/>
      <c r="Z31" s="8">
        <f t="shared" si="11"/>
        <v>0</v>
      </c>
    </row>
    <row r="32" spans="1:26" s="24" customFormat="1" hidden="1" outlineLevel="2" x14ac:dyDescent="0.25">
      <c r="A32" s="27"/>
      <c r="B32" s="12" t="str">
        <f>CONCATENATE("          ", "6118", " - ", "VACATION")</f>
        <v xml:space="preserve">          6118 - VACATION</v>
      </c>
      <c r="C32" s="12"/>
      <c r="D32" s="7">
        <v>978.88</v>
      </c>
      <c r="E32" s="3"/>
      <c r="F32" s="8">
        <f t="shared" si="4"/>
        <v>0.201919605930027</v>
      </c>
      <c r="G32" s="3"/>
      <c r="H32" s="7">
        <v>1195.7663557692301</v>
      </c>
      <c r="I32" s="3"/>
      <c r="J32" s="8">
        <f t="shared" si="5"/>
        <v>0.39858878525641006</v>
      </c>
      <c r="K32" s="3"/>
      <c r="L32" s="7">
        <f t="shared" si="6"/>
        <v>-216.88635576923014</v>
      </c>
      <c r="M32" s="3"/>
      <c r="N32" s="8">
        <f t="shared" si="7"/>
        <v>-0.18137853998217596</v>
      </c>
      <c r="O32" s="12"/>
      <c r="P32" s="7">
        <v>978.88</v>
      </c>
      <c r="Q32" s="3"/>
      <c r="R32" s="8">
        <f t="shared" si="8"/>
        <v>0.201919605930027</v>
      </c>
      <c r="S32" s="3"/>
      <c r="T32" s="7">
        <v>1195.7663557692301</v>
      </c>
      <c r="U32" s="3"/>
      <c r="V32" s="8">
        <f t="shared" si="9"/>
        <v>0.39858878525641006</v>
      </c>
      <c r="W32" s="3"/>
      <c r="X32" s="7">
        <f t="shared" si="10"/>
        <v>-216.88635576923014</v>
      </c>
      <c r="Y32" s="3"/>
      <c r="Z32" s="8">
        <f t="shared" si="11"/>
        <v>-0.18137853998217596</v>
      </c>
    </row>
    <row r="33" spans="1:26" s="24" customFormat="1" hidden="1" outlineLevel="2" x14ac:dyDescent="0.25">
      <c r="A33" s="27"/>
      <c r="B33" s="12" t="str">
        <f>CONCATENATE("          ", "6119", " - ", "SICK LEAVE")</f>
        <v xml:space="preserve">          6119 - SICK LEAVE</v>
      </c>
      <c r="C33" s="12"/>
      <c r="D33" s="7">
        <v>632.52</v>
      </c>
      <c r="E33" s="3"/>
      <c r="F33" s="8">
        <f t="shared" si="4"/>
        <v>0.13047379570821824</v>
      </c>
      <c r="G33" s="3"/>
      <c r="H33" s="7">
        <v>543.04547115384594</v>
      </c>
      <c r="I33" s="3"/>
      <c r="J33" s="8">
        <f t="shared" si="5"/>
        <v>0.18101515705128199</v>
      </c>
      <c r="K33" s="3"/>
      <c r="L33" s="7">
        <f t="shared" si="6"/>
        <v>89.474528846154044</v>
      </c>
      <c r="M33" s="3"/>
      <c r="N33" s="8">
        <f t="shared" si="7"/>
        <v>0.16476434037105839</v>
      </c>
      <c r="O33" s="12"/>
      <c r="P33" s="7">
        <v>632.52</v>
      </c>
      <c r="Q33" s="3"/>
      <c r="R33" s="8">
        <f t="shared" si="8"/>
        <v>0.13047379570821824</v>
      </c>
      <c r="S33" s="3"/>
      <c r="T33" s="7">
        <v>543.04547115384594</v>
      </c>
      <c r="U33" s="3"/>
      <c r="V33" s="8">
        <f t="shared" si="9"/>
        <v>0.18101515705128199</v>
      </c>
      <c r="W33" s="3"/>
      <c r="X33" s="7">
        <f t="shared" si="10"/>
        <v>89.474528846154044</v>
      </c>
      <c r="Y33" s="3"/>
      <c r="Z33" s="8">
        <f t="shared" si="11"/>
        <v>0.16476434037105839</v>
      </c>
    </row>
    <row r="34" spans="1:26" s="24" customFormat="1" hidden="1" outlineLevel="2" x14ac:dyDescent="0.25">
      <c r="A34" s="27"/>
      <c r="B34" s="12" t="str">
        <f>CONCATENATE("          ", "6156", " - ", "EMPLOYEE MEALS")</f>
        <v xml:space="preserve">          6156 - EMPLOYEE MEALS</v>
      </c>
      <c r="C34" s="12"/>
      <c r="D34" s="7">
        <v>149.71</v>
      </c>
      <c r="E34" s="3"/>
      <c r="F34" s="8">
        <f t="shared" si="4"/>
        <v>3.0881603673365832E-2</v>
      </c>
      <c r="G34" s="3"/>
      <c r="H34" s="7"/>
      <c r="I34" s="3"/>
      <c r="J34" s="8">
        <f t="shared" si="5"/>
        <v>0</v>
      </c>
      <c r="K34" s="3"/>
      <c r="L34" s="7">
        <f t="shared" si="6"/>
        <v>149.71</v>
      </c>
      <c r="M34" s="3"/>
      <c r="N34" s="8">
        <f t="shared" si="7"/>
        <v>0</v>
      </c>
      <c r="O34" s="12"/>
      <c r="P34" s="7">
        <v>149.71</v>
      </c>
      <c r="Q34" s="3"/>
      <c r="R34" s="8">
        <f t="shared" si="8"/>
        <v>3.0881603673365832E-2</v>
      </c>
      <c r="S34" s="3"/>
      <c r="T34" s="7"/>
      <c r="U34" s="3"/>
      <c r="V34" s="8">
        <f t="shared" si="9"/>
        <v>0</v>
      </c>
      <c r="W34" s="3"/>
      <c r="X34" s="7">
        <f t="shared" si="10"/>
        <v>149.71</v>
      </c>
      <c r="Y34" s="3"/>
      <c r="Z34" s="8">
        <f t="shared" si="11"/>
        <v>0</v>
      </c>
    </row>
    <row r="35" spans="1:26" s="29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15059.94</v>
      </c>
      <c r="E35" s="1"/>
      <c r="F35" s="5">
        <f t="shared" ref="F35:F45" si="12">IF(D$12=0,0,D35/D$12)</f>
        <v>3.1065065688642641</v>
      </c>
      <c r="G35" s="1"/>
      <c r="H35" s="1">
        <f>SUM(OSRRefH22_1x_0)</f>
        <v>12746.8857019231</v>
      </c>
      <c r="I35" s="1"/>
      <c r="J35" s="5">
        <f t="shared" ref="J35:J45" si="13">IF(H$12=0,0,H35/H$12)</f>
        <v>4.2489619006410333</v>
      </c>
      <c r="K35" s="1"/>
      <c r="L35" s="1">
        <f t="shared" ref="L35:L45" si="14">+D35-H35</f>
        <v>2313.0542980769005</v>
      </c>
      <c r="M35" s="1"/>
      <c r="N35" s="5">
        <f t="shared" ref="N35:N45" si="15">IF(H35=0,0,L35/H35)</f>
        <v>0.18146034664199853</v>
      </c>
      <c r="O35" s="14"/>
      <c r="P35" s="1">
        <f>SUM(OSRRefP22_1x_0)</f>
        <v>15059.94</v>
      </c>
      <c r="Q35" s="1"/>
      <c r="R35" s="5">
        <f t="shared" ref="R35:R45" si="16">IF(P$12=0,0,P35/P$12)</f>
        <v>3.1065065688642641</v>
      </c>
      <c r="S35" s="1"/>
      <c r="T35" s="1">
        <f>SUM(OSRRefT22_1x_0)</f>
        <v>12746.8857019231</v>
      </c>
      <c r="U35" s="1"/>
      <c r="V35" s="5">
        <f t="shared" ref="V35:V45" si="17">IF(T$12=0,0,T35/T$12)</f>
        <v>4.2489619006410333</v>
      </c>
      <c r="W35" s="1"/>
      <c r="X35" s="1">
        <f t="shared" ref="X35:X45" si="18">+P35-T35</f>
        <v>2313.0542980769005</v>
      </c>
      <c r="Y35" s="1"/>
      <c r="Z35" s="5">
        <f t="shared" ref="Z35:Z45" si="19">IF(T35=0,0,X35/T35)</f>
        <v>0.18146034664199853</v>
      </c>
    </row>
    <row r="36" spans="1:26" s="24" customFormat="1" hidden="1" outlineLevel="2" x14ac:dyDescent="0.25">
      <c r="A36" s="27"/>
      <c r="B36" s="12" t="str">
        <f>CONCATENATE("          ", "6001", " - ", "ADMINISTRATIVE SALARIES")</f>
        <v xml:space="preserve">          6001 - ADMINISTRATIVE SALARIES</v>
      </c>
      <c r="C36" s="12"/>
      <c r="D36" s="7"/>
      <c r="E36" s="3"/>
      <c r="F36" s="8">
        <f t="shared" si="12"/>
        <v>0</v>
      </c>
      <c r="G36" s="3"/>
      <c r="H36" s="7">
        <v>0</v>
      </c>
      <c r="I36" s="3"/>
      <c r="J36" s="8">
        <f t="shared" si="13"/>
        <v>0</v>
      </c>
      <c r="K36" s="3"/>
      <c r="L36" s="7">
        <f t="shared" si="14"/>
        <v>0</v>
      </c>
      <c r="M36" s="3"/>
      <c r="N36" s="8">
        <f t="shared" si="15"/>
        <v>0</v>
      </c>
      <c r="O36" s="12"/>
      <c r="P36" s="7"/>
      <c r="Q36" s="3"/>
      <c r="R36" s="8">
        <f t="shared" si="16"/>
        <v>0</v>
      </c>
      <c r="S36" s="3"/>
      <c r="T36" s="7">
        <v>0</v>
      </c>
      <c r="U36" s="3"/>
      <c r="V36" s="8">
        <f t="shared" si="17"/>
        <v>0</v>
      </c>
      <c r="W36" s="3"/>
      <c r="X36" s="7">
        <f t="shared" si="18"/>
        <v>0</v>
      </c>
      <c r="Y36" s="3"/>
      <c r="Z36" s="8">
        <f t="shared" si="19"/>
        <v>0</v>
      </c>
    </row>
    <row r="37" spans="1:26" s="24" customFormat="1" hidden="1" outlineLevel="2" x14ac:dyDescent="0.25">
      <c r="A37" s="27"/>
      <c r="B37" s="12" t="str">
        <f>CONCATENATE("          ", "6002", " - ", "STAFF SALARIES")</f>
        <v xml:space="preserve">          6002 - STAFF SALARIES</v>
      </c>
      <c r="C37" s="12"/>
      <c r="D37" s="7">
        <v>15059.94</v>
      </c>
      <c r="E37" s="3"/>
      <c r="F37" s="8">
        <f t="shared" si="12"/>
        <v>3.1065065688642641</v>
      </c>
      <c r="G37" s="3"/>
      <c r="H37" s="7">
        <v>12746.8857019231</v>
      </c>
      <c r="I37" s="3"/>
      <c r="J37" s="8">
        <f t="shared" si="13"/>
        <v>4.2489619006410333</v>
      </c>
      <c r="K37" s="3"/>
      <c r="L37" s="7">
        <f t="shared" si="14"/>
        <v>2313.0542980769005</v>
      </c>
      <c r="M37" s="3"/>
      <c r="N37" s="8">
        <f t="shared" si="15"/>
        <v>0.18146034664199853</v>
      </c>
      <c r="O37" s="12"/>
      <c r="P37" s="7">
        <v>15059.94</v>
      </c>
      <c r="Q37" s="3"/>
      <c r="R37" s="8">
        <f t="shared" si="16"/>
        <v>3.1065065688642641</v>
      </c>
      <c r="S37" s="3"/>
      <c r="T37" s="7">
        <v>12746.8857019231</v>
      </c>
      <c r="U37" s="3"/>
      <c r="V37" s="8">
        <f t="shared" si="17"/>
        <v>4.2489619006410333</v>
      </c>
      <c r="W37" s="3"/>
      <c r="X37" s="7">
        <f t="shared" si="18"/>
        <v>2313.0542980769005</v>
      </c>
      <c r="Y37" s="3"/>
      <c r="Z37" s="8">
        <f t="shared" si="19"/>
        <v>0.18146034664199853</v>
      </c>
    </row>
    <row r="38" spans="1:26" s="24" customFormat="1" hidden="1" outlineLevel="2" x14ac:dyDescent="0.25">
      <c r="A38" s="27"/>
      <c r="B38" s="12" t="str">
        <f>CONCATENATE("          ", "6003", " - ", "STAFF HOURLY-9 MONTH")</f>
        <v xml:space="preserve">          6003 - STAFF HOURLY-9 MONTH</v>
      </c>
      <c r="C38" s="12"/>
      <c r="D38" s="7"/>
      <c r="E38" s="3"/>
      <c r="F38" s="8">
        <f t="shared" si="12"/>
        <v>0</v>
      </c>
      <c r="G38" s="3"/>
      <c r="H38" s="7">
        <v>0</v>
      </c>
      <c r="I38" s="3"/>
      <c r="J38" s="8">
        <f t="shared" si="13"/>
        <v>0</v>
      </c>
      <c r="K38" s="3"/>
      <c r="L38" s="7">
        <f t="shared" si="14"/>
        <v>0</v>
      </c>
      <c r="M38" s="3"/>
      <c r="N38" s="8">
        <f t="shared" si="15"/>
        <v>0</v>
      </c>
      <c r="O38" s="12"/>
      <c r="P38" s="7"/>
      <c r="Q38" s="3"/>
      <c r="R38" s="8">
        <f t="shared" si="16"/>
        <v>0</v>
      </c>
      <c r="S38" s="3"/>
      <c r="T38" s="7">
        <v>0</v>
      </c>
      <c r="U38" s="3"/>
      <c r="V38" s="8">
        <f t="shared" si="17"/>
        <v>0</v>
      </c>
      <c r="W38" s="3"/>
      <c r="X38" s="7">
        <f t="shared" si="18"/>
        <v>0</v>
      </c>
      <c r="Y38" s="3"/>
      <c r="Z38" s="8">
        <f t="shared" si="19"/>
        <v>0</v>
      </c>
    </row>
    <row r="39" spans="1:26" s="24" customFormat="1" hidden="1" outlineLevel="2" x14ac:dyDescent="0.25">
      <c r="A39" s="27"/>
      <c r="B39" s="12" t="str">
        <f>CONCATENATE("          ", "6004", " - ", "STAFF HOURLY")</f>
        <v xml:space="preserve">          6004 - STAFF HOURLY</v>
      </c>
      <c r="C39" s="12"/>
      <c r="D39" s="7"/>
      <c r="E39" s="3"/>
      <c r="F39" s="8">
        <f t="shared" si="12"/>
        <v>0</v>
      </c>
      <c r="G39" s="3"/>
      <c r="H39" s="7">
        <v>0</v>
      </c>
      <c r="I39" s="3"/>
      <c r="J39" s="8">
        <f t="shared" si="13"/>
        <v>0</v>
      </c>
      <c r="K39" s="3"/>
      <c r="L39" s="7">
        <f t="shared" si="14"/>
        <v>0</v>
      </c>
      <c r="M39" s="3"/>
      <c r="N39" s="8">
        <f t="shared" si="15"/>
        <v>0</v>
      </c>
      <c r="O39" s="12"/>
      <c r="P39" s="7"/>
      <c r="Q39" s="3"/>
      <c r="R39" s="8">
        <f t="shared" si="16"/>
        <v>0</v>
      </c>
      <c r="S39" s="3"/>
      <c r="T39" s="7">
        <v>0</v>
      </c>
      <c r="U39" s="3"/>
      <c r="V39" s="8">
        <f t="shared" si="17"/>
        <v>0</v>
      </c>
      <c r="W39" s="3"/>
      <c r="X39" s="7">
        <f t="shared" si="18"/>
        <v>0</v>
      </c>
      <c r="Y39" s="3"/>
      <c r="Z39" s="8">
        <f t="shared" si="19"/>
        <v>0</v>
      </c>
    </row>
    <row r="40" spans="1:26" s="24" customFormat="1" hidden="1" outlineLevel="2" x14ac:dyDescent="0.25">
      <c r="A40" s="27"/>
      <c r="B40" s="12" t="str">
        <f>CONCATENATE("          ", "6005", " - ", "TEMPORARY WAGES-HOURLY")</f>
        <v xml:space="preserve">          6005 - TEMPORARY WAGES-HOURLY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24" customFormat="1" hidden="1" outlineLevel="2" x14ac:dyDescent="0.25">
      <c r="A41" s="27"/>
      <c r="B41" s="12" t="str">
        <f>CONCATENATE("          ", "6006", " - ", "TEMPORARY PART TIME")</f>
        <v xml:space="preserve">          6006 - TEMPORARY PART TIME</v>
      </c>
      <c r="C41" s="12"/>
      <c r="D41" s="7"/>
      <c r="E41" s="3"/>
      <c r="F41" s="8">
        <f t="shared" si="12"/>
        <v>0</v>
      </c>
      <c r="G41" s="3"/>
      <c r="H41" s="7">
        <v>0</v>
      </c>
      <c r="I41" s="3"/>
      <c r="J41" s="8">
        <f t="shared" si="13"/>
        <v>0</v>
      </c>
      <c r="K41" s="3"/>
      <c r="L41" s="7">
        <f t="shared" si="14"/>
        <v>0</v>
      </c>
      <c r="M41" s="3"/>
      <c r="N41" s="8">
        <f t="shared" si="15"/>
        <v>0</v>
      </c>
      <c r="O41" s="12"/>
      <c r="P41" s="7"/>
      <c r="Q41" s="3"/>
      <c r="R41" s="8">
        <f t="shared" si="16"/>
        <v>0</v>
      </c>
      <c r="S41" s="3"/>
      <c r="T41" s="7">
        <v>0</v>
      </c>
      <c r="U41" s="3"/>
      <c r="V41" s="8">
        <f t="shared" si="17"/>
        <v>0</v>
      </c>
      <c r="W41" s="3"/>
      <c r="X41" s="7">
        <f t="shared" si="18"/>
        <v>0</v>
      </c>
      <c r="Y41" s="3"/>
      <c r="Z41" s="8">
        <f t="shared" si="19"/>
        <v>0</v>
      </c>
    </row>
    <row r="42" spans="1:26" s="24" customFormat="1" hidden="1" outlineLevel="2" x14ac:dyDescent="0.25">
      <c r="A42" s="27"/>
      <c r="B42" s="12" t="str">
        <f>CONCATENATE("          ", "6007", " - ", "STUDENT HOURLY")</f>
        <v xml:space="preserve">          6007 - STUDENT HOURLY</v>
      </c>
      <c r="C42" s="12"/>
      <c r="D42" s="7"/>
      <c r="E42" s="3"/>
      <c r="F42" s="8">
        <f t="shared" si="12"/>
        <v>0</v>
      </c>
      <c r="G42" s="3"/>
      <c r="H42" s="7">
        <v>0</v>
      </c>
      <c r="I42" s="3"/>
      <c r="J42" s="8">
        <f t="shared" si="13"/>
        <v>0</v>
      </c>
      <c r="K42" s="3"/>
      <c r="L42" s="7">
        <f t="shared" si="14"/>
        <v>0</v>
      </c>
      <c r="M42" s="3"/>
      <c r="N42" s="8">
        <f t="shared" si="15"/>
        <v>0</v>
      </c>
      <c r="O42" s="12"/>
      <c r="P42" s="7"/>
      <c r="Q42" s="3"/>
      <c r="R42" s="8">
        <f t="shared" si="16"/>
        <v>0</v>
      </c>
      <c r="S42" s="3"/>
      <c r="T42" s="7">
        <v>0</v>
      </c>
      <c r="U42" s="3"/>
      <c r="V42" s="8">
        <f t="shared" si="17"/>
        <v>0</v>
      </c>
      <c r="W42" s="3"/>
      <c r="X42" s="7">
        <f t="shared" si="18"/>
        <v>0</v>
      </c>
      <c r="Y42" s="3"/>
      <c r="Z42" s="8">
        <f t="shared" si="19"/>
        <v>0</v>
      </c>
    </row>
    <row r="43" spans="1:26" s="24" customFormat="1" hidden="1" outlineLevel="2" x14ac:dyDescent="0.25">
      <c r="A43" s="27"/>
      <c r="B43" s="12" t="str">
        <f>CONCATENATE("          ", "6008", " - ", "STUDENT HOURLY-FICA EXEMPT")</f>
        <v xml:space="preserve">          6008 - STUDENT HOURLY-FICA EXEMPT</v>
      </c>
      <c r="C43" s="12"/>
      <c r="D43" s="7"/>
      <c r="E43" s="3"/>
      <c r="F43" s="8">
        <f t="shared" si="12"/>
        <v>0</v>
      </c>
      <c r="G43" s="3"/>
      <c r="H43" s="7">
        <v>0</v>
      </c>
      <c r="I43" s="3"/>
      <c r="J43" s="8">
        <f t="shared" si="13"/>
        <v>0</v>
      </c>
      <c r="K43" s="3"/>
      <c r="L43" s="7">
        <f t="shared" si="14"/>
        <v>0</v>
      </c>
      <c r="M43" s="3"/>
      <c r="N43" s="8">
        <f t="shared" si="15"/>
        <v>0</v>
      </c>
      <c r="O43" s="12"/>
      <c r="P43" s="7"/>
      <c r="Q43" s="3"/>
      <c r="R43" s="8">
        <f t="shared" si="16"/>
        <v>0</v>
      </c>
      <c r="S43" s="3"/>
      <c r="T43" s="7">
        <v>0</v>
      </c>
      <c r="U43" s="3"/>
      <c r="V43" s="8">
        <f t="shared" si="17"/>
        <v>0</v>
      </c>
      <c r="W43" s="3"/>
      <c r="X43" s="7">
        <f t="shared" si="18"/>
        <v>0</v>
      </c>
      <c r="Y43" s="3"/>
      <c r="Z43" s="8">
        <f t="shared" si="19"/>
        <v>0</v>
      </c>
    </row>
    <row r="44" spans="1:26" s="24" customFormat="1" hidden="1" outlineLevel="2" x14ac:dyDescent="0.25">
      <c r="A44" s="27"/>
      <c r="B44" s="12" t="str">
        <f>CONCATENATE("          ", "6009", " - ", "TEMPORARY-SEASONAL")</f>
        <v xml:space="preserve">          6009 - TEMPORARY-SEASONAL</v>
      </c>
      <c r="C44" s="12"/>
      <c r="D44" s="7"/>
      <c r="E44" s="3"/>
      <c r="F44" s="8">
        <f t="shared" si="12"/>
        <v>0</v>
      </c>
      <c r="G44" s="3"/>
      <c r="H44" s="7">
        <v>0</v>
      </c>
      <c r="I44" s="3"/>
      <c r="J44" s="8">
        <f t="shared" si="13"/>
        <v>0</v>
      </c>
      <c r="K44" s="3"/>
      <c r="L44" s="7">
        <f t="shared" si="14"/>
        <v>0</v>
      </c>
      <c r="M44" s="3"/>
      <c r="N44" s="8">
        <f t="shared" si="15"/>
        <v>0</v>
      </c>
      <c r="O44" s="12"/>
      <c r="P44" s="7"/>
      <c r="Q44" s="3"/>
      <c r="R44" s="8">
        <f t="shared" si="16"/>
        <v>0</v>
      </c>
      <c r="S44" s="3"/>
      <c r="T44" s="7">
        <v>0</v>
      </c>
      <c r="U44" s="3"/>
      <c r="V44" s="8">
        <f t="shared" si="17"/>
        <v>0</v>
      </c>
      <c r="W44" s="3"/>
      <c r="X44" s="7">
        <f t="shared" si="18"/>
        <v>0</v>
      </c>
      <c r="Y44" s="3"/>
      <c r="Z44" s="8">
        <f t="shared" si="19"/>
        <v>0</v>
      </c>
    </row>
    <row r="45" spans="1:26" s="24" customFormat="1" hidden="1" outlineLevel="2" x14ac:dyDescent="0.25">
      <c r="A45" s="27"/>
      <c r="B45" s="12" t="str">
        <f>CONCATENATE("          ", "6010", " - ", "GRATUITY")</f>
        <v xml:space="preserve">          6010 - GRATUITY</v>
      </c>
      <c r="C45" s="12"/>
      <c r="D45" s="7"/>
      <c r="E45" s="3"/>
      <c r="F45" s="8">
        <f t="shared" si="12"/>
        <v>0</v>
      </c>
      <c r="G45" s="3"/>
      <c r="H45" s="7">
        <v>0</v>
      </c>
      <c r="I45" s="3"/>
      <c r="J45" s="8">
        <f t="shared" si="13"/>
        <v>0</v>
      </c>
      <c r="K45" s="3"/>
      <c r="L45" s="7">
        <f t="shared" si="14"/>
        <v>0</v>
      </c>
      <c r="M45" s="3"/>
      <c r="N45" s="8">
        <f t="shared" si="15"/>
        <v>0</v>
      </c>
      <c r="O45" s="12"/>
      <c r="P45" s="7"/>
      <c r="Q45" s="3"/>
      <c r="R45" s="8">
        <f t="shared" si="16"/>
        <v>0</v>
      </c>
      <c r="S45" s="3"/>
      <c r="T45" s="7">
        <v>0</v>
      </c>
      <c r="U45" s="3"/>
      <c r="V45" s="8">
        <f t="shared" si="17"/>
        <v>0</v>
      </c>
      <c r="W45" s="3"/>
      <c r="X45" s="7">
        <f t="shared" si="18"/>
        <v>0</v>
      </c>
      <c r="Y45" s="3"/>
      <c r="Z45" s="8">
        <f t="shared" si="19"/>
        <v>0</v>
      </c>
    </row>
    <row r="46" spans="1:26" s="29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6" si="20">IF(D$12=0,0,D46/D$12)</f>
        <v>0</v>
      </c>
      <c r="G46" s="1"/>
      <c r="H46" s="1">
        <f>SUM(OSRRefH22_2x_0)</f>
        <v>50</v>
      </c>
      <c r="I46" s="1"/>
      <c r="J46" s="5">
        <f t="shared" ref="J46:J56" si="21">IF(H$12=0,0,H46/H$12)</f>
        <v>1.6666666666666666E-2</v>
      </c>
      <c r="K46" s="1"/>
      <c r="L46" s="1">
        <f t="shared" ref="L46:L56" si="22">+D46-H46</f>
        <v>-50</v>
      </c>
      <c r="M46" s="1"/>
      <c r="N46" s="5">
        <f t="shared" ref="N46:N56" si="23">IF(H46=0,0,L46/H46)</f>
        <v>-1</v>
      </c>
      <c r="O46" s="14"/>
      <c r="P46" s="1">
        <f>SUM(OSRRefP22_2x_0)</f>
        <v>0</v>
      </c>
      <c r="Q46" s="1"/>
      <c r="R46" s="5">
        <f t="shared" ref="R46:R56" si="24">IF(P$12=0,0,P46/P$12)</f>
        <v>0</v>
      </c>
      <c r="S46" s="1"/>
      <c r="T46" s="1">
        <f>SUM(OSRRefT22_2x_0)</f>
        <v>50</v>
      </c>
      <c r="U46" s="1"/>
      <c r="V46" s="5">
        <f t="shared" ref="V46:V56" si="25">IF(T$12=0,0,T46/T$12)</f>
        <v>1.6666666666666666E-2</v>
      </c>
      <c r="W46" s="1"/>
      <c r="X46" s="1">
        <f t="shared" ref="X46:X56" si="26">+P46-T46</f>
        <v>-50</v>
      </c>
      <c r="Y46" s="1"/>
      <c r="Z46" s="5">
        <f t="shared" ref="Z46:Z56" si="27">IF(T46=0,0,X46/T46)</f>
        <v>-1</v>
      </c>
    </row>
    <row r="47" spans="1:26" s="24" customFormat="1" hidden="1" outlineLevel="2" x14ac:dyDescent="0.25">
      <c r="A47" s="27"/>
      <c r="B47" s="12" t="str">
        <f>CONCATENATE("          ", "6362", " - ", "ADVERTISING EXPENSE")</f>
        <v xml:space="preserve">          6362 - ADVERTISING EXPENSE</v>
      </c>
      <c r="C47" s="12"/>
      <c r="D47" s="7"/>
      <c r="E47" s="3"/>
      <c r="F47" s="8">
        <f t="shared" si="20"/>
        <v>0</v>
      </c>
      <c r="G47" s="3"/>
      <c r="H47" s="7">
        <v>50</v>
      </c>
      <c r="I47" s="3"/>
      <c r="J47" s="8">
        <f t="shared" si="21"/>
        <v>1.6666666666666666E-2</v>
      </c>
      <c r="K47" s="3"/>
      <c r="L47" s="7">
        <f t="shared" si="22"/>
        <v>-50</v>
      </c>
      <c r="M47" s="3"/>
      <c r="N47" s="8">
        <f t="shared" si="23"/>
        <v>-1</v>
      </c>
      <c r="O47" s="12"/>
      <c r="P47" s="7"/>
      <c r="Q47" s="3"/>
      <c r="R47" s="8">
        <f t="shared" si="24"/>
        <v>0</v>
      </c>
      <c r="S47" s="3"/>
      <c r="T47" s="7">
        <v>50</v>
      </c>
      <c r="U47" s="3"/>
      <c r="V47" s="8">
        <f t="shared" si="25"/>
        <v>1.6666666666666666E-2</v>
      </c>
      <c r="W47" s="3"/>
      <c r="X47" s="7">
        <f t="shared" si="26"/>
        <v>-50</v>
      </c>
      <c r="Y47" s="3"/>
      <c r="Z47" s="8">
        <f t="shared" si="27"/>
        <v>-1</v>
      </c>
    </row>
    <row r="48" spans="1:26" s="29" customFormat="1" outlineLevel="1" collapsed="1" x14ac:dyDescent="0.25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20"/>
        <v>3.5042193788199769E-2</v>
      </c>
      <c r="G48" s="1"/>
      <c r="H48" s="1">
        <f>SUM(OSRRefH22_3x_0)</f>
        <v>170</v>
      </c>
      <c r="I48" s="1"/>
      <c r="J48" s="5">
        <f t="shared" si="21"/>
        <v>5.6666666666666664E-2</v>
      </c>
      <c r="K48" s="1"/>
      <c r="L48" s="1">
        <f t="shared" si="22"/>
        <v>-0.12000000000000455</v>
      </c>
      <c r="M48" s="1"/>
      <c r="N48" s="5">
        <f t="shared" si="23"/>
        <v>-7.0588235294120319E-4</v>
      </c>
      <c r="O48" s="14"/>
      <c r="P48" s="1">
        <f>SUM(OSRRefP22_3x_0)</f>
        <v>169.88</v>
      </c>
      <c r="Q48" s="1"/>
      <c r="R48" s="5">
        <f t="shared" si="24"/>
        <v>3.5042193788199769E-2</v>
      </c>
      <c r="S48" s="1"/>
      <c r="T48" s="1">
        <f>SUM(OSRRefT22_3x_0)</f>
        <v>170</v>
      </c>
      <c r="U48" s="1"/>
      <c r="V48" s="5">
        <f t="shared" si="25"/>
        <v>5.6666666666666664E-2</v>
      </c>
      <c r="W48" s="1"/>
      <c r="X48" s="1">
        <f t="shared" si="26"/>
        <v>-0.12000000000000455</v>
      </c>
      <c r="Y48" s="1"/>
      <c r="Z48" s="5">
        <f t="shared" si="27"/>
        <v>-7.0588235294120319E-4</v>
      </c>
    </row>
    <row r="49" spans="1:26" s="24" customFormat="1" hidden="1" outlineLevel="2" x14ac:dyDescent="0.25">
      <c r="A49" s="27"/>
      <c r="B49" s="12" t="str">
        <f>CONCATENATE("          ", "6322", " - ", "EQUIPMENT DEPRECIATION EXPENSE")</f>
        <v xml:space="preserve">          6322 - EQUIPMENT DEPRECIATION EXPENSE</v>
      </c>
      <c r="C49" s="12"/>
      <c r="D49" s="7">
        <v>169.88</v>
      </c>
      <c r="E49" s="3"/>
      <c r="F49" s="8">
        <f t="shared" si="20"/>
        <v>3.5042193788199769E-2</v>
      </c>
      <c r="G49" s="3"/>
      <c r="H49" s="7">
        <v>170</v>
      </c>
      <c r="I49" s="3"/>
      <c r="J49" s="8">
        <f t="shared" si="21"/>
        <v>5.6666666666666664E-2</v>
      </c>
      <c r="K49" s="3"/>
      <c r="L49" s="7">
        <f t="shared" si="22"/>
        <v>-0.12000000000000455</v>
      </c>
      <c r="M49" s="3"/>
      <c r="N49" s="8">
        <f t="shared" si="23"/>
        <v>-7.0588235294120319E-4</v>
      </c>
      <c r="O49" s="12"/>
      <c r="P49" s="7">
        <v>169.88</v>
      </c>
      <c r="Q49" s="3"/>
      <c r="R49" s="8">
        <f t="shared" si="24"/>
        <v>3.5042193788199769E-2</v>
      </c>
      <c r="S49" s="3"/>
      <c r="T49" s="7">
        <v>170</v>
      </c>
      <c r="U49" s="3"/>
      <c r="V49" s="8">
        <f t="shared" si="25"/>
        <v>5.6666666666666664E-2</v>
      </c>
      <c r="W49" s="3"/>
      <c r="X49" s="7">
        <f t="shared" si="26"/>
        <v>-0.12000000000000455</v>
      </c>
      <c r="Y49" s="3"/>
      <c r="Z49" s="8">
        <f t="shared" si="27"/>
        <v>-7.0588235294120319E-4</v>
      </c>
    </row>
    <row r="50" spans="1:26" s="29" customFormat="1" outlineLevel="1" collapsed="1" x14ac:dyDescent="0.25">
      <c r="A50" s="28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SUM(OSRRefD22_4x_0)</f>
        <v>0</v>
      </c>
      <c r="E50" s="1"/>
      <c r="F50" s="5">
        <f t="shared" si="20"/>
        <v>0</v>
      </c>
      <c r="G50" s="1"/>
      <c r="H50" s="1">
        <f>SUM(OSRRefH22_4x_0)</f>
        <v>50</v>
      </c>
      <c r="I50" s="1"/>
      <c r="J50" s="5">
        <f t="shared" si="21"/>
        <v>1.6666666666666666E-2</v>
      </c>
      <c r="K50" s="1"/>
      <c r="L50" s="1">
        <f t="shared" si="22"/>
        <v>-50</v>
      </c>
      <c r="M50" s="1"/>
      <c r="N50" s="5">
        <f t="shared" si="23"/>
        <v>-1</v>
      </c>
      <c r="O50" s="14"/>
      <c r="P50" s="1">
        <f>SUM(OSRRefP22_4x_0)</f>
        <v>0</v>
      </c>
      <c r="Q50" s="1"/>
      <c r="R50" s="5">
        <f t="shared" si="24"/>
        <v>0</v>
      </c>
      <c r="S50" s="1"/>
      <c r="T50" s="1">
        <f>SUM(OSRRefT22_4x_0)</f>
        <v>50</v>
      </c>
      <c r="U50" s="1"/>
      <c r="V50" s="5">
        <f t="shared" si="25"/>
        <v>1.6666666666666666E-2</v>
      </c>
      <c r="W50" s="1"/>
      <c r="X50" s="1">
        <f t="shared" si="26"/>
        <v>-50</v>
      </c>
      <c r="Y50" s="1"/>
      <c r="Z50" s="5">
        <f t="shared" si="27"/>
        <v>-1</v>
      </c>
    </row>
    <row r="51" spans="1:26" s="24" customFormat="1" hidden="1" outlineLevel="2" x14ac:dyDescent="0.25">
      <c r="A51" s="27"/>
      <c r="B51" s="12" t="str">
        <f>CONCATENATE("          ", "6382", " - ", "DISCOUNTS/MARK DOWNS")</f>
        <v xml:space="preserve">          6382 - DISCOUNTS/MARK DOWNS</v>
      </c>
      <c r="C51" s="12"/>
      <c r="D51" s="7"/>
      <c r="E51" s="3"/>
      <c r="F51" s="8">
        <f t="shared" si="20"/>
        <v>0</v>
      </c>
      <c r="G51" s="3"/>
      <c r="H51" s="7">
        <v>50</v>
      </c>
      <c r="I51" s="3"/>
      <c r="J51" s="8">
        <f t="shared" si="21"/>
        <v>1.6666666666666666E-2</v>
      </c>
      <c r="K51" s="3"/>
      <c r="L51" s="7">
        <f t="shared" si="22"/>
        <v>-50</v>
      </c>
      <c r="M51" s="3"/>
      <c r="N51" s="8">
        <f t="shared" si="23"/>
        <v>-1</v>
      </c>
      <c r="O51" s="12"/>
      <c r="P51" s="7"/>
      <c r="Q51" s="3"/>
      <c r="R51" s="8">
        <f t="shared" si="24"/>
        <v>0</v>
      </c>
      <c r="S51" s="3"/>
      <c r="T51" s="7">
        <v>50</v>
      </c>
      <c r="U51" s="3"/>
      <c r="V51" s="8">
        <f t="shared" si="25"/>
        <v>1.6666666666666666E-2</v>
      </c>
      <c r="W51" s="3"/>
      <c r="X51" s="7">
        <f t="shared" si="26"/>
        <v>-50</v>
      </c>
      <c r="Y51" s="3"/>
      <c r="Z51" s="8">
        <f t="shared" si="27"/>
        <v>-1</v>
      </c>
    </row>
    <row r="52" spans="1:26" s="29" customFormat="1" outlineLevel="1" collapsed="1" x14ac:dyDescent="0.25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SUM(OSRRefD22_5x_0)</f>
        <v>1205.6400000000001</v>
      </c>
      <c r="E52" s="1"/>
      <c r="F52" s="5">
        <f t="shared" si="20"/>
        <v>0.24869478760775354</v>
      </c>
      <c r="G52" s="1"/>
      <c r="H52" s="1">
        <f>SUM(OSRRefH22_5x_0)</f>
        <v>1206</v>
      </c>
      <c r="I52" s="1"/>
      <c r="J52" s="5">
        <f t="shared" si="21"/>
        <v>0.40200000000000002</v>
      </c>
      <c r="K52" s="1"/>
      <c r="L52" s="1">
        <f t="shared" si="22"/>
        <v>-0.35999999999989996</v>
      </c>
      <c r="M52" s="1"/>
      <c r="N52" s="5">
        <f t="shared" si="23"/>
        <v>-2.9850746268648423E-4</v>
      </c>
      <c r="O52" s="14"/>
      <c r="P52" s="1">
        <f>SUM(OSRRefP22_5x_0)</f>
        <v>1205.6400000000001</v>
      </c>
      <c r="Q52" s="1"/>
      <c r="R52" s="5">
        <f t="shared" si="24"/>
        <v>0.24869478760775354</v>
      </c>
      <c r="S52" s="1"/>
      <c r="T52" s="1">
        <f>SUM(OSRRefT22_5x_0)</f>
        <v>1206</v>
      </c>
      <c r="U52" s="1"/>
      <c r="V52" s="5">
        <f t="shared" si="25"/>
        <v>0.40200000000000002</v>
      </c>
      <c r="W52" s="1"/>
      <c r="X52" s="1">
        <f t="shared" si="26"/>
        <v>-0.35999999999989996</v>
      </c>
      <c r="Y52" s="1"/>
      <c r="Z52" s="5">
        <f t="shared" si="27"/>
        <v>-2.9850746268648423E-4</v>
      </c>
    </row>
    <row r="53" spans="1:26" s="24" customFormat="1" hidden="1" outlineLevel="2" x14ac:dyDescent="0.25">
      <c r="A53" s="27"/>
      <c r="B53" s="12" t="str">
        <f>CONCATENATE("          ", "6351", " - ", "EQUIPMENT RENTAL")</f>
        <v xml:space="preserve">          6351 - EQUIPMENT RENTAL</v>
      </c>
      <c r="C53" s="12"/>
      <c r="D53" s="7">
        <v>1205.6400000000001</v>
      </c>
      <c r="E53" s="3"/>
      <c r="F53" s="8">
        <f t="shared" si="20"/>
        <v>0.24869478760775354</v>
      </c>
      <c r="G53" s="3"/>
      <c r="H53" s="7">
        <v>1206</v>
      </c>
      <c r="I53" s="3"/>
      <c r="J53" s="8">
        <f t="shared" si="21"/>
        <v>0.40200000000000002</v>
      </c>
      <c r="K53" s="3"/>
      <c r="L53" s="7">
        <f t="shared" si="22"/>
        <v>-0.35999999999989996</v>
      </c>
      <c r="M53" s="3"/>
      <c r="N53" s="8">
        <f t="shared" si="23"/>
        <v>-2.9850746268648423E-4</v>
      </c>
      <c r="O53" s="12"/>
      <c r="P53" s="7">
        <v>1205.6400000000001</v>
      </c>
      <c r="Q53" s="3"/>
      <c r="R53" s="8">
        <f t="shared" si="24"/>
        <v>0.24869478760775354</v>
      </c>
      <c r="S53" s="3"/>
      <c r="T53" s="7">
        <v>1206</v>
      </c>
      <c r="U53" s="3"/>
      <c r="V53" s="8">
        <f t="shared" si="25"/>
        <v>0.40200000000000002</v>
      </c>
      <c r="W53" s="3"/>
      <c r="X53" s="7">
        <f t="shared" si="26"/>
        <v>-0.35999999999989996</v>
      </c>
      <c r="Y53" s="3"/>
      <c r="Z53" s="8">
        <f t="shared" si="27"/>
        <v>-2.9850746268648423E-4</v>
      </c>
    </row>
    <row r="54" spans="1:26" s="29" customFormat="1" outlineLevel="1" collapsed="1" x14ac:dyDescent="0.25">
      <c r="A54" s="28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SUM(OSRRefD22_6x_0)</f>
        <v>8744.76</v>
      </c>
      <c r="E54" s="1"/>
      <c r="F54" s="5">
        <f t="shared" si="20"/>
        <v>1.8038354988892029</v>
      </c>
      <c r="G54" s="1"/>
      <c r="H54" s="1">
        <f>SUM(OSRRefH22_6x_0)</f>
        <v>4500</v>
      </c>
      <c r="I54" s="1"/>
      <c r="J54" s="5">
        <f t="shared" si="21"/>
        <v>1.5</v>
      </c>
      <c r="K54" s="1"/>
      <c r="L54" s="1">
        <f t="shared" si="22"/>
        <v>4244.76</v>
      </c>
      <c r="M54" s="1"/>
      <c r="N54" s="5">
        <f t="shared" si="23"/>
        <v>0.94328000000000001</v>
      </c>
      <c r="O54" s="14"/>
      <c r="P54" s="1">
        <f>SUM(OSRRefP22_6x_0)</f>
        <v>8744.76</v>
      </c>
      <c r="Q54" s="1"/>
      <c r="R54" s="5">
        <f t="shared" si="24"/>
        <v>1.8038354988892029</v>
      </c>
      <c r="S54" s="1"/>
      <c r="T54" s="1">
        <f>SUM(OSRRefT22_6x_0)</f>
        <v>4500</v>
      </c>
      <c r="U54" s="1"/>
      <c r="V54" s="5">
        <f t="shared" si="25"/>
        <v>1.5</v>
      </c>
      <c r="W54" s="1"/>
      <c r="X54" s="1">
        <f t="shared" si="26"/>
        <v>4244.76</v>
      </c>
      <c r="Y54" s="1"/>
      <c r="Z54" s="5">
        <f t="shared" si="27"/>
        <v>0.94328000000000001</v>
      </c>
    </row>
    <row r="55" spans="1:26" s="24" customFormat="1" hidden="1" outlineLevel="2" x14ac:dyDescent="0.25">
      <c r="A55" s="27"/>
      <c r="B55" s="12" t="str">
        <f>CONCATENATE("          ", "6305", " - ", "FREIGHT OUT")</f>
        <v xml:space="preserve">          6305 - FREIGHT OUT</v>
      </c>
      <c r="C55" s="12"/>
      <c r="D55" s="7">
        <v>11905.2</v>
      </c>
      <c r="E55" s="3"/>
      <c r="F55" s="8">
        <f t="shared" si="20"/>
        <v>2.4557589209281603</v>
      </c>
      <c r="G55" s="3"/>
      <c r="H55" s="7">
        <v>1000</v>
      </c>
      <c r="I55" s="3"/>
      <c r="J55" s="8">
        <f t="shared" si="21"/>
        <v>0.33333333333333331</v>
      </c>
      <c r="K55" s="3"/>
      <c r="L55" s="7">
        <f t="shared" si="22"/>
        <v>10905.2</v>
      </c>
      <c r="M55" s="3"/>
      <c r="N55" s="8">
        <f t="shared" si="23"/>
        <v>10.905200000000001</v>
      </c>
      <c r="O55" s="12"/>
      <c r="P55" s="7">
        <v>11905.2</v>
      </c>
      <c r="Q55" s="3"/>
      <c r="R55" s="8">
        <f t="shared" si="24"/>
        <v>2.4557589209281603</v>
      </c>
      <c r="S55" s="3"/>
      <c r="T55" s="7">
        <v>1000</v>
      </c>
      <c r="U55" s="3"/>
      <c r="V55" s="8">
        <f t="shared" si="25"/>
        <v>0.33333333333333331</v>
      </c>
      <c r="W55" s="3"/>
      <c r="X55" s="7">
        <f t="shared" si="26"/>
        <v>10905.2</v>
      </c>
      <c r="Y55" s="3"/>
      <c r="Z55" s="8">
        <f t="shared" si="27"/>
        <v>10.905200000000001</v>
      </c>
    </row>
    <row r="56" spans="1:26" s="24" customFormat="1" hidden="1" outlineLevel="2" x14ac:dyDescent="0.25">
      <c r="A56" s="27"/>
      <c r="B56" s="12" t="str">
        <f>CONCATENATE("          ", "6307", " - ", "POSTAGE")</f>
        <v xml:space="preserve">          6307 - POSTAGE</v>
      </c>
      <c r="C56" s="12"/>
      <c r="D56" s="7">
        <v>-3160.44</v>
      </c>
      <c r="E56" s="3"/>
      <c r="F56" s="8">
        <f t="shared" si="20"/>
        <v>-0.65192342203895737</v>
      </c>
      <c r="G56" s="3"/>
      <c r="H56" s="7">
        <v>3500</v>
      </c>
      <c r="I56" s="3"/>
      <c r="J56" s="8">
        <f t="shared" si="21"/>
        <v>1.1666666666666667</v>
      </c>
      <c r="K56" s="3"/>
      <c r="L56" s="7">
        <f t="shared" si="22"/>
        <v>-6660.4400000000005</v>
      </c>
      <c r="M56" s="3"/>
      <c r="N56" s="8">
        <f t="shared" si="23"/>
        <v>-1.9029828571428573</v>
      </c>
      <c r="O56" s="12"/>
      <c r="P56" s="7">
        <v>-3160.44</v>
      </c>
      <c r="Q56" s="3"/>
      <c r="R56" s="8">
        <f t="shared" si="24"/>
        <v>-0.65192342203895737</v>
      </c>
      <c r="S56" s="3"/>
      <c r="T56" s="7">
        <v>3500</v>
      </c>
      <c r="U56" s="3"/>
      <c r="V56" s="8">
        <f t="shared" si="25"/>
        <v>1.1666666666666667</v>
      </c>
      <c r="W56" s="3"/>
      <c r="X56" s="7">
        <f t="shared" si="26"/>
        <v>-6660.4400000000005</v>
      </c>
      <c r="Y56" s="3"/>
      <c r="Z56" s="8">
        <f t="shared" si="27"/>
        <v>-1.9029828571428573</v>
      </c>
    </row>
    <row r="57" spans="1:26" s="29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SUM(OSRRefD22_7x_0)</f>
        <v>6378.1</v>
      </c>
      <c r="E57" s="1"/>
      <c r="F57" s="5">
        <f t="shared" ref="F57:F65" si="28">IF(D$12=0,0,D57/D$12)</f>
        <v>1.3156499658612959</v>
      </c>
      <c r="G57" s="1"/>
      <c r="H57" s="1">
        <f>SUM(OSRRefH22_7x_0)</f>
        <v>2500</v>
      </c>
      <c r="I57" s="1"/>
      <c r="J57" s="5">
        <f t="shared" ref="J57:J65" si="29">IF(H$12=0,0,H57/H$12)</f>
        <v>0.83333333333333337</v>
      </c>
      <c r="K57" s="1"/>
      <c r="L57" s="1">
        <f t="shared" ref="L57:L65" si="30">+D57-H57</f>
        <v>3878.1000000000004</v>
      </c>
      <c r="M57" s="1"/>
      <c r="N57" s="5">
        <f t="shared" ref="N57:N65" si="31">IF(H57=0,0,L57/H57)</f>
        <v>1.5512400000000002</v>
      </c>
      <c r="O57" s="14"/>
      <c r="P57" s="1">
        <f>SUM(OSRRefP22_7x_0)</f>
        <v>6378.1</v>
      </c>
      <c r="Q57" s="1"/>
      <c r="R57" s="5">
        <f t="shared" ref="R57:R65" si="32">IF(P$12=0,0,P57/P$12)</f>
        <v>1.3156499658612959</v>
      </c>
      <c r="S57" s="1"/>
      <c r="T57" s="1">
        <f>SUM(OSRRefT22_7x_0)</f>
        <v>2500</v>
      </c>
      <c r="U57" s="1"/>
      <c r="V57" s="5">
        <f t="shared" ref="V57:V65" si="33">IF(T$12=0,0,T57/T$12)</f>
        <v>0.83333333333333337</v>
      </c>
      <c r="W57" s="1"/>
      <c r="X57" s="1">
        <f t="shared" ref="X57:X65" si="34">+P57-T57</f>
        <v>3878.1000000000004</v>
      </c>
      <c r="Y57" s="1"/>
      <c r="Z57" s="5">
        <f t="shared" ref="Z57:Z65" si="35">IF(T57=0,0,X57/T57)</f>
        <v>1.5512400000000002</v>
      </c>
    </row>
    <row r="58" spans="1:26" s="24" customFormat="1" hidden="1" outlineLevel="2" x14ac:dyDescent="0.25">
      <c r="A58" s="27"/>
      <c r="B58" s="12" t="str">
        <f>CONCATENATE("          ", "6373", " - ", "MAINTENANCE CONTRACTS")</f>
        <v xml:space="preserve">          6373 - MAINTENANCE CONTRACTS</v>
      </c>
      <c r="C58" s="12"/>
      <c r="D58" s="7">
        <v>6378.1</v>
      </c>
      <c r="E58" s="3"/>
      <c r="F58" s="8">
        <f t="shared" si="28"/>
        <v>1.3156499658612959</v>
      </c>
      <c r="G58" s="3"/>
      <c r="H58" s="7">
        <v>2500</v>
      </c>
      <c r="I58" s="3"/>
      <c r="J58" s="8">
        <f t="shared" si="29"/>
        <v>0.83333333333333337</v>
      </c>
      <c r="K58" s="3"/>
      <c r="L58" s="7">
        <f t="shared" si="30"/>
        <v>3878.1000000000004</v>
      </c>
      <c r="M58" s="3"/>
      <c r="N58" s="8">
        <f t="shared" si="31"/>
        <v>1.5512400000000002</v>
      </c>
      <c r="O58" s="12"/>
      <c r="P58" s="7">
        <v>6378.1</v>
      </c>
      <c r="Q58" s="3"/>
      <c r="R58" s="8">
        <f t="shared" si="32"/>
        <v>1.3156499658612959</v>
      </c>
      <c r="S58" s="3"/>
      <c r="T58" s="7">
        <v>2500</v>
      </c>
      <c r="U58" s="3"/>
      <c r="V58" s="8">
        <f t="shared" si="33"/>
        <v>0.83333333333333337</v>
      </c>
      <c r="W58" s="3"/>
      <c r="X58" s="7">
        <f t="shared" si="34"/>
        <v>3878.1000000000004</v>
      </c>
      <c r="Y58" s="3"/>
      <c r="Z58" s="8">
        <f t="shared" si="35"/>
        <v>1.5512400000000002</v>
      </c>
    </row>
    <row r="59" spans="1:26" s="29" customFormat="1" outlineLevel="1" collapsed="1" x14ac:dyDescent="0.25">
      <c r="A59" s="28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SUM(OSRRefD22_8x_0)</f>
        <v>5317.55</v>
      </c>
      <c r="E59" s="1"/>
      <c r="F59" s="5">
        <f t="shared" si="28"/>
        <v>1.0968837860751217</v>
      </c>
      <c r="G59" s="1"/>
      <c r="H59" s="1">
        <f>SUM(OSRRefH22_8x_0)</f>
        <v>150</v>
      </c>
      <c r="I59" s="1"/>
      <c r="J59" s="5">
        <f t="shared" si="29"/>
        <v>0.05</v>
      </c>
      <c r="K59" s="1"/>
      <c r="L59" s="1">
        <f t="shared" si="30"/>
        <v>5167.55</v>
      </c>
      <c r="M59" s="1"/>
      <c r="N59" s="5">
        <f t="shared" si="31"/>
        <v>34.450333333333333</v>
      </c>
      <c r="O59" s="14"/>
      <c r="P59" s="1">
        <f>SUM(OSRRefP22_8x_0)</f>
        <v>5317.55</v>
      </c>
      <c r="Q59" s="1"/>
      <c r="R59" s="5">
        <f t="shared" si="32"/>
        <v>1.0968837860751217</v>
      </c>
      <c r="S59" s="1"/>
      <c r="T59" s="1">
        <f>SUM(OSRRefT22_8x_0)</f>
        <v>150</v>
      </c>
      <c r="U59" s="1"/>
      <c r="V59" s="5">
        <f t="shared" si="33"/>
        <v>0.05</v>
      </c>
      <c r="W59" s="1"/>
      <c r="X59" s="1">
        <f t="shared" si="34"/>
        <v>5167.55</v>
      </c>
      <c r="Y59" s="1"/>
      <c r="Z59" s="5">
        <f t="shared" si="35"/>
        <v>34.450333333333333</v>
      </c>
    </row>
    <row r="60" spans="1:26" s="24" customFormat="1" hidden="1" outlineLevel="2" x14ac:dyDescent="0.25">
      <c r="A60" s="27"/>
      <c r="B60" s="12" t="str">
        <f>CONCATENATE("          ", "6259", " - ", "ROYALTY &amp; COMMISSIONS")</f>
        <v xml:space="preserve">          6259 - ROYALTY &amp; COMMISSIONS</v>
      </c>
      <c r="C60" s="12"/>
      <c r="D60" s="7">
        <v>5317.55</v>
      </c>
      <c r="E60" s="3"/>
      <c r="F60" s="8">
        <f t="shared" si="28"/>
        <v>1.0968837860751217</v>
      </c>
      <c r="G60" s="3"/>
      <c r="H60" s="7">
        <v>150</v>
      </c>
      <c r="I60" s="3"/>
      <c r="J60" s="8">
        <f t="shared" si="29"/>
        <v>0.05</v>
      </c>
      <c r="K60" s="3"/>
      <c r="L60" s="7">
        <f t="shared" si="30"/>
        <v>5167.55</v>
      </c>
      <c r="M60" s="3"/>
      <c r="N60" s="8">
        <f t="shared" si="31"/>
        <v>34.450333333333333</v>
      </c>
      <c r="O60" s="12"/>
      <c r="P60" s="7">
        <v>5317.55</v>
      </c>
      <c r="Q60" s="3"/>
      <c r="R60" s="8">
        <f t="shared" si="32"/>
        <v>1.0968837860751217</v>
      </c>
      <c r="S60" s="3"/>
      <c r="T60" s="7">
        <v>150</v>
      </c>
      <c r="U60" s="3"/>
      <c r="V60" s="8">
        <f t="shared" si="33"/>
        <v>0.05</v>
      </c>
      <c r="W60" s="3"/>
      <c r="X60" s="7">
        <f t="shared" si="34"/>
        <v>5167.55</v>
      </c>
      <c r="Y60" s="3"/>
      <c r="Z60" s="8">
        <f t="shared" si="35"/>
        <v>34.450333333333333</v>
      </c>
    </row>
    <row r="61" spans="1:26" s="29" customFormat="1" outlineLevel="1" collapsed="1" x14ac:dyDescent="0.25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SUM(OSRRefD22_9x_0)</f>
        <v>4147.8</v>
      </c>
      <c r="E61" s="1"/>
      <c r="F61" s="5">
        <f t="shared" si="28"/>
        <v>0.85559224979217685</v>
      </c>
      <c r="G61" s="1"/>
      <c r="H61" s="1">
        <f>SUM(OSRRefH22_9x_0)</f>
        <v>950</v>
      </c>
      <c r="I61" s="1"/>
      <c r="J61" s="5">
        <f t="shared" si="29"/>
        <v>0.31666666666666665</v>
      </c>
      <c r="K61" s="1"/>
      <c r="L61" s="1">
        <f t="shared" si="30"/>
        <v>3197.8</v>
      </c>
      <c r="M61" s="1"/>
      <c r="N61" s="5">
        <f t="shared" si="31"/>
        <v>3.3661052631578947</v>
      </c>
      <c r="O61" s="14"/>
      <c r="P61" s="1">
        <f>SUM(OSRRefP22_9x_0)</f>
        <v>4147.8</v>
      </c>
      <c r="Q61" s="1"/>
      <c r="R61" s="5">
        <f t="shared" si="32"/>
        <v>0.85559224979217685</v>
      </c>
      <c r="S61" s="1"/>
      <c r="T61" s="1">
        <f>SUM(OSRRefT22_9x_0)</f>
        <v>950</v>
      </c>
      <c r="U61" s="1"/>
      <c r="V61" s="5">
        <f t="shared" si="33"/>
        <v>0.31666666666666665</v>
      </c>
      <c r="W61" s="1"/>
      <c r="X61" s="1">
        <f t="shared" si="34"/>
        <v>3197.8</v>
      </c>
      <c r="Y61" s="1"/>
      <c r="Z61" s="5">
        <f t="shared" si="35"/>
        <v>3.3661052631578947</v>
      </c>
    </row>
    <row r="62" spans="1:26" s="24" customFormat="1" hidden="1" outlineLevel="2" x14ac:dyDescent="0.25">
      <c r="A62" s="27"/>
      <c r="B62" s="12" t="str">
        <f>CONCATENATE("          ", "6235", " - ", "COVID-19 EXPENSES")</f>
        <v xml:space="preserve">          6235 - COVID-19 EXPENSES</v>
      </c>
      <c r="C62" s="12"/>
      <c r="D62" s="7">
        <v>310.91000000000003</v>
      </c>
      <c r="E62" s="3"/>
      <c r="F62" s="8">
        <f t="shared" si="28"/>
        <v>6.4133320406694075E-2</v>
      </c>
      <c r="G62" s="3"/>
      <c r="H62" s="7"/>
      <c r="I62" s="3"/>
      <c r="J62" s="8">
        <f t="shared" si="29"/>
        <v>0</v>
      </c>
      <c r="K62" s="3"/>
      <c r="L62" s="7">
        <f t="shared" si="30"/>
        <v>310.91000000000003</v>
      </c>
      <c r="M62" s="3"/>
      <c r="N62" s="8">
        <f t="shared" si="31"/>
        <v>0</v>
      </c>
      <c r="O62" s="12"/>
      <c r="P62" s="7">
        <v>310.91000000000003</v>
      </c>
      <c r="Q62" s="3"/>
      <c r="R62" s="8">
        <f t="shared" si="32"/>
        <v>6.4133320406694075E-2</v>
      </c>
      <c r="S62" s="3"/>
      <c r="T62" s="7"/>
      <c r="U62" s="3"/>
      <c r="V62" s="8">
        <f t="shared" si="33"/>
        <v>0</v>
      </c>
      <c r="W62" s="3"/>
      <c r="X62" s="7">
        <f t="shared" si="34"/>
        <v>310.91000000000003</v>
      </c>
      <c r="Y62" s="3"/>
      <c r="Z62" s="8">
        <f t="shared" si="35"/>
        <v>0</v>
      </c>
    </row>
    <row r="63" spans="1:26" s="24" customFormat="1" hidden="1" outlineLevel="2" x14ac:dyDescent="0.25">
      <c r="A63" s="27"/>
      <c r="B63" s="12" t="str">
        <f>CONCATENATE("          ", "6243", " - ", "PAPER SUPPLIES")</f>
        <v xml:space="preserve">          6243 - PAPER SUPPLIES</v>
      </c>
      <c r="C63" s="12"/>
      <c r="D63" s="7">
        <v>1080</v>
      </c>
      <c r="E63" s="3"/>
      <c r="F63" s="8">
        <f t="shared" si="28"/>
        <v>0.22277825106696345</v>
      </c>
      <c r="G63" s="3"/>
      <c r="H63" s="7">
        <v>700</v>
      </c>
      <c r="I63" s="3"/>
      <c r="J63" s="8">
        <f t="shared" si="29"/>
        <v>0.23333333333333334</v>
      </c>
      <c r="K63" s="3"/>
      <c r="L63" s="7">
        <f t="shared" si="30"/>
        <v>380</v>
      </c>
      <c r="M63" s="3"/>
      <c r="N63" s="8">
        <f t="shared" si="31"/>
        <v>0.54285714285714282</v>
      </c>
      <c r="O63" s="12"/>
      <c r="P63" s="7">
        <v>1080</v>
      </c>
      <c r="Q63" s="3"/>
      <c r="R63" s="8">
        <f t="shared" si="32"/>
        <v>0.22277825106696345</v>
      </c>
      <c r="S63" s="3"/>
      <c r="T63" s="7">
        <v>700</v>
      </c>
      <c r="U63" s="3"/>
      <c r="V63" s="8">
        <f t="shared" si="33"/>
        <v>0.23333333333333334</v>
      </c>
      <c r="W63" s="3"/>
      <c r="X63" s="7">
        <f t="shared" si="34"/>
        <v>380</v>
      </c>
      <c r="Y63" s="3"/>
      <c r="Z63" s="8">
        <f t="shared" si="35"/>
        <v>0.54285714285714282</v>
      </c>
    </row>
    <row r="64" spans="1:26" s="24" customFormat="1" hidden="1" outlineLevel="2" x14ac:dyDescent="0.25">
      <c r="A64" s="27"/>
      <c r="B64" s="12" t="str">
        <f>CONCATENATE("          ", "6245", " - ", "PRINTING")</f>
        <v xml:space="preserve">          6245 - PRINTING</v>
      </c>
      <c r="C64" s="12"/>
      <c r="D64" s="7">
        <v>-1543.5</v>
      </c>
      <c r="E64" s="3"/>
      <c r="F64" s="8">
        <f t="shared" si="28"/>
        <v>-0.31838725048320193</v>
      </c>
      <c r="G64" s="3"/>
      <c r="H64" s="7">
        <v>200</v>
      </c>
      <c r="I64" s="3"/>
      <c r="J64" s="8">
        <f t="shared" si="29"/>
        <v>6.6666666666666666E-2</v>
      </c>
      <c r="K64" s="3"/>
      <c r="L64" s="7">
        <f t="shared" si="30"/>
        <v>-1743.5</v>
      </c>
      <c r="M64" s="3"/>
      <c r="N64" s="8">
        <f t="shared" si="31"/>
        <v>-8.7174999999999994</v>
      </c>
      <c r="O64" s="12"/>
      <c r="P64" s="7">
        <v>-1543.5</v>
      </c>
      <c r="Q64" s="3"/>
      <c r="R64" s="8">
        <f t="shared" si="32"/>
        <v>-0.31838725048320193</v>
      </c>
      <c r="S64" s="3"/>
      <c r="T64" s="7">
        <v>200</v>
      </c>
      <c r="U64" s="3"/>
      <c r="V64" s="8">
        <f t="shared" si="33"/>
        <v>6.6666666666666666E-2</v>
      </c>
      <c r="W64" s="3"/>
      <c r="X64" s="7">
        <f t="shared" si="34"/>
        <v>-1743.5</v>
      </c>
      <c r="Y64" s="3"/>
      <c r="Z64" s="8">
        <f t="shared" si="35"/>
        <v>-8.7174999999999994</v>
      </c>
    </row>
    <row r="65" spans="1:26" s="24" customFormat="1" hidden="1" outlineLevel="2" x14ac:dyDescent="0.25">
      <c r="A65" s="27"/>
      <c r="B65" s="12" t="str">
        <f>CONCATENATE("          ", "6247", " - ", "STORE SUPPLIES")</f>
        <v xml:space="preserve">          6247 - STORE SUPPLIES</v>
      </c>
      <c r="C65" s="12"/>
      <c r="D65" s="7">
        <v>4300.3900000000003</v>
      </c>
      <c r="E65" s="3"/>
      <c r="F65" s="8">
        <f t="shared" si="28"/>
        <v>0.88706792880172125</v>
      </c>
      <c r="G65" s="3"/>
      <c r="H65" s="7">
        <v>50</v>
      </c>
      <c r="I65" s="3"/>
      <c r="J65" s="8">
        <f t="shared" si="29"/>
        <v>1.6666666666666666E-2</v>
      </c>
      <c r="K65" s="3"/>
      <c r="L65" s="7">
        <f t="shared" si="30"/>
        <v>4250.3900000000003</v>
      </c>
      <c r="M65" s="3"/>
      <c r="N65" s="8">
        <f t="shared" si="31"/>
        <v>85.007800000000003</v>
      </c>
      <c r="O65" s="12"/>
      <c r="P65" s="7">
        <v>4300.3900000000003</v>
      </c>
      <c r="Q65" s="3"/>
      <c r="R65" s="8">
        <f t="shared" si="32"/>
        <v>0.88706792880172125</v>
      </c>
      <c r="S65" s="3"/>
      <c r="T65" s="7">
        <v>50</v>
      </c>
      <c r="U65" s="3"/>
      <c r="V65" s="8">
        <f t="shared" si="33"/>
        <v>1.6666666666666666E-2</v>
      </c>
      <c r="W65" s="3"/>
      <c r="X65" s="7">
        <f t="shared" si="34"/>
        <v>4250.3900000000003</v>
      </c>
      <c r="Y65" s="3"/>
      <c r="Z65" s="8">
        <f t="shared" si="35"/>
        <v>85.007800000000003</v>
      </c>
    </row>
    <row r="66" spans="1:26" s="29" customFormat="1" outlineLevel="1" collapsed="1" x14ac:dyDescent="0.25">
      <c r="A66" s="28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SUM(OSRRefD22_10x_0)</f>
        <v>200</v>
      </c>
      <c r="E66" s="1"/>
      <c r="F66" s="5">
        <f t="shared" ref="F66:F67" si="36">IF(D$12=0,0,D66/D$12)</f>
        <v>4.1255231679067306E-2</v>
      </c>
      <c r="G66" s="1"/>
      <c r="H66" s="1">
        <f>SUM(OSRRefH22_10x_0)</f>
        <v>165</v>
      </c>
      <c r="I66" s="1"/>
      <c r="J66" s="5">
        <f t="shared" ref="J66:J67" si="37">IF(H$12=0,0,H66/H$12)</f>
        <v>5.5E-2</v>
      </c>
      <c r="K66" s="1"/>
      <c r="L66" s="1">
        <f t="shared" ref="L66:L67" si="38">+D66-H66</f>
        <v>35</v>
      </c>
      <c r="M66" s="1"/>
      <c r="N66" s="5">
        <f t="shared" ref="N66:N67" si="39">IF(H66=0,0,L66/H66)</f>
        <v>0.21212121212121213</v>
      </c>
      <c r="O66" s="14"/>
      <c r="P66" s="1">
        <f>SUM(OSRRefP22_10x_0)</f>
        <v>200</v>
      </c>
      <c r="Q66" s="1"/>
      <c r="R66" s="5">
        <f t="shared" ref="R66:R67" si="40">IF(P$12=0,0,P66/P$12)</f>
        <v>4.1255231679067306E-2</v>
      </c>
      <c r="S66" s="1"/>
      <c r="T66" s="1">
        <f>SUM(OSRRefT22_10x_0)</f>
        <v>165</v>
      </c>
      <c r="U66" s="1"/>
      <c r="V66" s="5">
        <f t="shared" ref="V66:V67" si="41">IF(T$12=0,0,T66/T$12)</f>
        <v>5.5E-2</v>
      </c>
      <c r="W66" s="1"/>
      <c r="X66" s="1">
        <f t="shared" ref="X66:X67" si="42">+P66-T66</f>
        <v>35</v>
      </c>
      <c r="Y66" s="1"/>
      <c r="Z66" s="5">
        <f t="shared" ref="Z66:Z67" si="43">IF(T66=0,0,X66/T66)</f>
        <v>0.21212121212121213</v>
      </c>
    </row>
    <row r="67" spans="1:26" s="24" customFormat="1" hidden="1" outlineLevel="2" x14ac:dyDescent="0.25">
      <c r="A67" s="27"/>
      <c r="B67" s="12" t="str">
        <f>CONCATENATE("          ", "6309", " - ", "TELEPHONE")</f>
        <v xml:space="preserve">          6309 - TELEPHONE</v>
      </c>
      <c r="C67" s="12"/>
      <c r="D67" s="7">
        <v>200</v>
      </c>
      <c r="E67" s="3"/>
      <c r="F67" s="8">
        <f t="shared" si="36"/>
        <v>4.1255231679067306E-2</v>
      </c>
      <c r="G67" s="3"/>
      <c r="H67" s="7">
        <v>165</v>
      </c>
      <c r="I67" s="3"/>
      <c r="J67" s="8">
        <f t="shared" si="37"/>
        <v>5.5E-2</v>
      </c>
      <c r="K67" s="3"/>
      <c r="L67" s="7">
        <f t="shared" si="38"/>
        <v>35</v>
      </c>
      <c r="M67" s="3"/>
      <c r="N67" s="8">
        <f t="shared" si="39"/>
        <v>0.21212121212121213</v>
      </c>
      <c r="O67" s="12"/>
      <c r="P67" s="7">
        <v>200</v>
      </c>
      <c r="Q67" s="3"/>
      <c r="R67" s="8">
        <f t="shared" si="40"/>
        <v>4.1255231679067306E-2</v>
      </c>
      <c r="S67" s="3"/>
      <c r="T67" s="7">
        <v>165</v>
      </c>
      <c r="U67" s="3"/>
      <c r="V67" s="8">
        <f t="shared" si="41"/>
        <v>5.5E-2</v>
      </c>
      <c r="W67" s="3"/>
      <c r="X67" s="7">
        <f t="shared" si="42"/>
        <v>35</v>
      </c>
      <c r="Y67" s="3"/>
      <c r="Z67" s="8">
        <f t="shared" si="43"/>
        <v>0.21212121212121213</v>
      </c>
    </row>
    <row r="68" spans="1:26" s="54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2" customFormat="1" collapsed="1" x14ac:dyDescent="0.25">
      <c r="A69" s="10"/>
      <c r="B69" s="26" t="s">
        <v>0</v>
      </c>
      <c r="C69" s="10"/>
      <c r="D69" s="4">
        <f>SUM(OSRRefD25x_0)</f>
        <v>6782</v>
      </c>
      <c r="E69" s="4"/>
      <c r="F69" s="11">
        <f t="shared" ref="F69:F70" si="44">IF(D$12=0,0,D69/D$12)</f>
        <v>1.3989649062371723</v>
      </c>
      <c r="G69" s="4"/>
      <c r="H69" s="4">
        <f>SUM(OSRRefH25x_0)</f>
        <v>6875</v>
      </c>
      <c r="I69" s="4"/>
      <c r="J69" s="11">
        <f t="shared" ref="J69:J70" si="45">IF(H$12=0,0,H69/H$12)</f>
        <v>2.2916666666666665</v>
      </c>
      <c r="K69" s="4"/>
      <c r="L69" s="4">
        <f t="shared" ref="L69:L70" si="46">+D69-H69</f>
        <v>-93</v>
      </c>
      <c r="M69" s="4"/>
      <c r="N69" s="11">
        <f t="shared" ref="N69:N70" si="47">IF(H69=0,0,L69/H69)</f>
        <v>-1.3527272727272728E-2</v>
      </c>
      <c r="O69" s="10"/>
      <c r="P69" s="4">
        <f>SUM(OSRRefP25x_0)</f>
        <v>6782</v>
      </c>
      <c r="Q69" s="4"/>
      <c r="R69" s="11">
        <f t="shared" ref="R69:R70" si="48">IF(P$12=0,0,P69/P$12)</f>
        <v>1.3989649062371723</v>
      </c>
      <c r="S69" s="4"/>
      <c r="T69" s="4">
        <f>SUM(OSRRefT25x_0)</f>
        <v>6875</v>
      </c>
      <c r="U69" s="4"/>
      <c r="V69" s="11">
        <f t="shared" ref="V69:V70" si="49">IF(T$12=0,0,T69/T$12)</f>
        <v>2.2916666666666665</v>
      </c>
      <c r="W69" s="4"/>
      <c r="X69" s="4">
        <f t="shared" ref="X69:X70" si="50">+P69-T69</f>
        <v>-93</v>
      </c>
      <c r="Y69" s="4"/>
      <c r="Z69" s="11">
        <f t="shared" ref="Z69:Z70" si="51">IF(T69=0,0,X69/T69)</f>
        <v>-1.3527272727272728E-2</v>
      </c>
    </row>
    <row r="70" spans="1:26" s="24" customFormat="1" hidden="1" outlineLevel="1" x14ac:dyDescent="0.25">
      <c r="A70" s="51"/>
      <c r="B70" s="12" t="str">
        <f>CONCATENATE("          ", "9150", " - ", "MISC. INCOME")</f>
        <v xml:space="preserve">          9150 - MISC. INCOME</v>
      </c>
      <c r="C70" s="12"/>
      <c r="D70" s="3">
        <f>--6782</f>
        <v>6782</v>
      </c>
      <c r="E70" s="3"/>
      <c r="F70" s="23">
        <f t="shared" si="44"/>
        <v>1.3989649062371723</v>
      </c>
      <c r="G70" s="3"/>
      <c r="H70" s="3">
        <v>6875</v>
      </c>
      <c r="I70" s="3"/>
      <c r="J70" s="23">
        <f t="shared" si="45"/>
        <v>2.2916666666666665</v>
      </c>
      <c r="K70" s="3"/>
      <c r="L70" s="3">
        <f t="shared" si="46"/>
        <v>-93</v>
      </c>
      <c r="M70" s="3"/>
      <c r="N70" s="23">
        <f t="shared" si="47"/>
        <v>-1.3527272727272728E-2</v>
      </c>
      <c r="O70" s="12"/>
      <c r="P70" s="3">
        <f>--6782</f>
        <v>6782</v>
      </c>
      <c r="Q70" s="3"/>
      <c r="R70" s="23">
        <f t="shared" si="48"/>
        <v>1.3989649062371723</v>
      </c>
      <c r="S70" s="3"/>
      <c r="T70" s="3">
        <v>6875</v>
      </c>
      <c r="U70" s="3"/>
      <c r="V70" s="23">
        <f t="shared" si="49"/>
        <v>2.2916666666666665</v>
      </c>
      <c r="W70" s="3"/>
      <c r="X70" s="3">
        <f t="shared" si="50"/>
        <v>-93</v>
      </c>
      <c r="Y70" s="3"/>
      <c r="Z70" s="23">
        <f t="shared" si="51"/>
        <v>-1.3527272727272728E-2</v>
      </c>
    </row>
    <row r="71" spans="1:26" x14ac:dyDescent="0.25">
      <c r="A71" s="9"/>
      <c r="B71" s="10"/>
      <c r="C71" s="10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10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2" customFormat="1" x14ac:dyDescent="0.25">
      <c r="A72" s="10"/>
      <c r="B72" s="25" t="s">
        <v>3</v>
      </c>
      <c r="C72" s="25"/>
      <c r="D72" s="21">
        <f>+D22-D24+D69</f>
        <v>-37524.080000000002</v>
      </c>
      <c r="E72" s="13"/>
      <c r="F72" s="20">
        <f>IF(D$12=0,0,D72/D$12)</f>
        <v>-7.7403230697192793</v>
      </c>
      <c r="G72" s="13"/>
      <c r="H72" s="21">
        <f>+H22-H24+H69</f>
        <v>-20005.519276240404</v>
      </c>
      <c r="I72" s="13"/>
      <c r="J72" s="20">
        <f>IF(H$12=0,0,H72/H$12)</f>
        <v>-6.6685064254134678</v>
      </c>
      <c r="K72" s="15"/>
      <c r="L72" s="21">
        <f>+D72-H72</f>
        <v>-17518.560723759598</v>
      </c>
      <c r="M72" s="15"/>
      <c r="N72" s="20">
        <f>IF(H72=0,0,L72/H72)</f>
        <v>0.87568637843685226</v>
      </c>
      <c r="O72" s="26"/>
      <c r="P72" s="21">
        <f>+P22-P24+P69</f>
        <v>-37524.080000000002</v>
      </c>
      <c r="Q72" s="13"/>
      <c r="R72" s="20">
        <f>IF(P$12=0,0,P72/P$12)</f>
        <v>-7.7403230697192793</v>
      </c>
      <c r="S72" s="13"/>
      <c r="T72" s="21">
        <f>+T22-T24+T69</f>
        <v>-20005.519276240404</v>
      </c>
      <c r="U72" s="13"/>
      <c r="V72" s="20">
        <f>IF(T$12=0,0,T72/T$12)</f>
        <v>-6.6685064254134678</v>
      </c>
      <c r="W72" s="15"/>
      <c r="X72" s="21">
        <f>+P72-T72</f>
        <v>-17518.560723759598</v>
      </c>
      <c r="Y72" s="15"/>
      <c r="Z72" s="20">
        <f>IF(T72=0,0,X72/T72)</f>
        <v>0.87568637843685226</v>
      </c>
    </row>
    <row r="73" spans="1:26" x14ac:dyDescent="0.25">
      <c r="A73" s="9"/>
      <c r="B73" s="10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2" customFormat="1" x14ac:dyDescent="0.25">
      <c r="A74" s="52"/>
      <c r="B74" s="10" t="s">
        <v>14</v>
      </c>
      <c r="C74" s="10"/>
      <c r="D74" s="4">
        <v>2331.5700000000002</v>
      </c>
      <c r="E74" s="4"/>
      <c r="F74" s="11">
        <f>IF(D$12=0,0,D74/D$12)</f>
        <v>0.48094730262981478</v>
      </c>
      <c r="G74" s="4"/>
      <c r="H74" s="4">
        <v>1457</v>
      </c>
      <c r="I74" s="4"/>
      <c r="J74" s="11">
        <f>IF(H$12=0,0,H74/H$12)</f>
        <v>0.48566666666666669</v>
      </c>
      <c r="K74" s="4"/>
      <c r="L74" s="4">
        <f>+D74-H74</f>
        <v>874.57000000000016</v>
      </c>
      <c r="M74" s="4"/>
      <c r="N74" s="11">
        <f>IF(H74=0,0,L74/H74)</f>
        <v>0.6002539464653398</v>
      </c>
      <c r="O74" s="10"/>
      <c r="P74" s="4">
        <v>2331.5700000000002</v>
      </c>
      <c r="Q74" s="4"/>
      <c r="R74" s="11">
        <f>IF(P$12=0,0,P74/P$12)</f>
        <v>0.48094730262981478</v>
      </c>
      <c r="S74" s="4"/>
      <c r="T74" s="4">
        <v>1457</v>
      </c>
      <c r="U74" s="4"/>
      <c r="V74" s="11">
        <f>IF(T$12=0,0,T74/T$12)</f>
        <v>0.48566666666666669</v>
      </c>
      <c r="W74" s="4"/>
      <c r="X74" s="4">
        <f>+P74-T74</f>
        <v>874.57000000000016</v>
      </c>
      <c r="Y74" s="4"/>
      <c r="Z74" s="11">
        <f>IF(T74=0,0,X74/T74)</f>
        <v>0.6002539464653398</v>
      </c>
    </row>
    <row r="75" spans="1:26" x14ac:dyDescent="0.25">
      <c r="A75" s="9"/>
      <c r="B75" s="10"/>
      <c r="C75" s="10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10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2" customFormat="1" ht="15.75" thickBot="1" x14ac:dyDescent="0.3">
      <c r="A76" s="10"/>
      <c r="B76" s="25" t="s">
        <v>4</v>
      </c>
      <c r="C76" s="25"/>
      <c r="D76" s="34">
        <f>+D72-D74</f>
        <v>-39855.65</v>
      </c>
      <c r="E76" s="13"/>
      <c r="F76" s="30">
        <f>IF(D$12=0,0,D76/D$12)</f>
        <v>-8.2212703723490943</v>
      </c>
      <c r="G76" s="13"/>
      <c r="H76" s="34">
        <f>+H72-H74</f>
        <v>-21462.519276240404</v>
      </c>
      <c r="I76" s="13"/>
      <c r="J76" s="30">
        <f>IF(H$12=0,0,H76/H$12)</f>
        <v>-7.1541730920801347</v>
      </c>
      <c r="K76" s="15"/>
      <c r="L76" s="34">
        <f>D76-H76</f>
        <v>-18393.130723759597</v>
      </c>
      <c r="M76" s="15"/>
      <c r="N76" s="30">
        <f>IF(H76=0,0,L76/H76)</f>
        <v>0.85698843118204193</v>
      </c>
      <c r="O76" s="26"/>
      <c r="P76" s="34">
        <f>+P72-P74</f>
        <v>-39855.65</v>
      </c>
      <c r="Q76" s="13"/>
      <c r="R76" s="30">
        <f>IF(P$12=0,0,P76/P$12)</f>
        <v>-8.2212703723490943</v>
      </c>
      <c r="S76" s="13"/>
      <c r="T76" s="34">
        <f>+T72-T74</f>
        <v>-21462.519276240404</v>
      </c>
      <c r="U76" s="13"/>
      <c r="V76" s="30">
        <f>IF(T$12=0,0,T76/T$12)</f>
        <v>-7.1541730920801347</v>
      </c>
      <c r="W76" s="15"/>
      <c r="X76" s="34">
        <f>P76-T76</f>
        <v>-18393.130723759597</v>
      </c>
      <c r="Y76" s="15"/>
      <c r="Z76" s="30">
        <f>IF(T76=0,0,X76/T76)</f>
        <v>0.85698843118204193</v>
      </c>
    </row>
    <row r="77" spans="1:26" ht="15.75" thickTop="1" x14ac:dyDescent="0.25">
      <c r="A77" s="9"/>
      <c r="B77" s="9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x14ac:dyDescent="0.25">
      <c r="A78" s="9"/>
      <c r="B78" s="9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2" customFormat="1" ht="15.75" thickBot="1" x14ac:dyDescent="0.3">
      <c r="A79" s="10"/>
      <c r="B79" s="25" t="s">
        <v>5</v>
      </c>
      <c r="C79" s="25"/>
      <c r="D79" s="32">
        <f>SUM(D76:D78)</f>
        <v>-39855.65</v>
      </c>
      <c r="E79" s="13"/>
      <c r="F79" s="33">
        <f>IF(D$12=0,0,D79/D$12)</f>
        <v>-8.2212703723490943</v>
      </c>
      <c r="G79" s="13"/>
      <c r="H79" s="32">
        <f>SUM(H76:H78)</f>
        <v>-21462.519276240404</v>
      </c>
      <c r="I79" s="13"/>
      <c r="J79" s="33">
        <f>IF(H$12=0,0,H79/H$12)</f>
        <v>-7.1541730920801347</v>
      </c>
      <c r="K79" s="15"/>
      <c r="L79" s="32">
        <f>+D79-H79</f>
        <v>-18393.130723759597</v>
      </c>
      <c r="M79" s="15"/>
      <c r="N79" s="33">
        <f>IF(H79=0,0,L79/H79)</f>
        <v>0.85698843118204193</v>
      </c>
      <c r="O79" s="26"/>
      <c r="P79" s="32">
        <f>SUM(P76:P78)</f>
        <v>-39855.65</v>
      </c>
      <c r="Q79" s="13"/>
      <c r="R79" s="33">
        <f>IF(P$12=0,0,P79/P$12)</f>
        <v>-8.2212703723490943</v>
      </c>
      <c r="S79" s="13"/>
      <c r="T79" s="32">
        <f>SUM(T76:T78)</f>
        <v>-21462.519276240404</v>
      </c>
      <c r="U79" s="13"/>
      <c r="V79" s="33">
        <f>IF(T$12=0,0,T79/T$12)</f>
        <v>-7.1541730920801347</v>
      </c>
      <c r="W79" s="15"/>
      <c r="X79" s="32">
        <f>+P79-T79</f>
        <v>-18393.130723759597</v>
      </c>
      <c r="Y79" s="15"/>
      <c r="Z79" s="33">
        <f>IF(T79=0,0,X79/T79)</f>
        <v>0.85698843118204193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8">
        <v>44104.685534293982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6" t="s">
        <v>314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62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","316", " - ", "Campus Copy Center")</f>
        <v>Department 316 - Campus Copy Center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4847.87</v>
      </c>
      <c r="E12" s="4"/>
      <c r="F12" s="11"/>
      <c r="G12" s="4"/>
      <c r="H12" s="4">
        <f>SUM(OSRRefH13x_0)</f>
        <v>3000</v>
      </c>
      <c r="I12" s="4"/>
      <c r="J12" s="11"/>
      <c r="K12" s="4"/>
      <c r="L12" s="4">
        <f t="shared" ref="L12:L18" si="0">+D12-H12</f>
        <v>1847.87</v>
      </c>
      <c r="M12" s="4"/>
      <c r="N12" s="11">
        <f t="shared" ref="N12:N18" si="1">IF(H12=0,0,L12/H12)</f>
        <v>0.6159566666666666</v>
      </c>
      <c r="O12" s="10"/>
      <c r="P12" s="4">
        <f>SUM(OSRRefP13x_0)</f>
        <v>4847.87</v>
      </c>
      <c r="Q12" s="4"/>
      <c r="R12" s="11"/>
      <c r="S12" s="4"/>
      <c r="T12" s="4">
        <f>SUM(OSRRefT13x_0)</f>
        <v>3000</v>
      </c>
      <c r="U12" s="4"/>
      <c r="V12" s="11"/>
      <c r="W12" s="4"/>
      <c r="X12" s="4">
        <f t="shared" ref="X12:X18" si="2">+P12-T12</f>
        <v>1847.87</v>
      </c>
      <c r="Y12" s="4"/>
      <c r="Z12" s="11">
        <f t="shared" ref="Z12:Z18" si="3">IF(T12=0,0,X12/T12)</f>
        <v>0.6159566666666666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0</f>
        <v>0</v>
      </c>
      <c r="E13" s="3"/>
      <c r="F13" s="23"/>
      <c r="G13" s="3"/>
      <c r="H13" s="3">
        <v>2500</v>
      </c>
      <c r="I13" s="3"/>
      <c r="J13" s="23"/>
      <c r="K13" s="3"/>
      <c r="L13" s="3">
        <f t="shared" si="0"/>
        <v>-2500</v>
      </c>
      <c r="M13" s="3"/>
      <c r="N13" s="23">
        <f t="shared" si="1"/>
        <v>-1</v>
      </c>
      <c r="O13" s="12"/>
      <c r="P13" s="3">
        <f>0</f>
        <v>0</v>
      </c>
      <c r="Q13" s="3"/>
      <c r="R13" s="23"/>
      <c r="S13" s="3"/>
      <c r="T13" s="3">
        <v>2500</v>
      </c>
      <c r="U13" s="3"/>
      <c r="V13" s="23"/>
      <c r="W13" s="3"/>
      <c r="X13" s="3">
        <f t="shared" si="2"/>
        <v>-2500</v>
      </c>
      <c r="Y13" s="3"/>
      <c r="Z13" s="23">
        <f t="shared" si="3"/>
        <v>-1</v>
      </c>
    </row>
    <row r="14" spans="1:26" s="24" customFormat="1" hidden="1" outlineLevel="1" x14ac:dyDescent="0.25">
      <c r="A14" s="51"/>
      <c r="B14" s="12" t="str">
        <f>CONCATENATE("          ", "4041", " - ", "TAXABLE SALES-LOGO GIFTS")</f>
        <v xml:space="preserve">          4041 - TAXABLE SALES-LOGO GIFTS</v>
      </c>
      <c r="C14" s="12"/>
      <c r="D14" s="3">
        <f>--1085.6</f>
        <v>1085.5999999999999</v>
      </c>
      <c r="E14" s="3"/>
      <c r="F14" s="23"/>
      <c r="G14" s="3"/>
      <c r="H14" s="3"/>
      <c r="I14" s="3"/>
      <c r="J14" s="23"/>
      <c r="K14" s="3"/>
      <c r="L14" s="3">
        <f t="shared" si="0"/>
        <v>1085.5999999999999</v>
      </c>
      <c r="M14" s="3"/>
      <c r="N14" s="23">
        <f t="shared" si="1"/>
        <v>0</v>
      </c>
      <c r="O14" s="12"/>
      <c r="P14" s="3">
        <f>--1085.6</f>
        <v>1085.5999999999999</v>
      </c>
      <c r="Q14" s="3"/>
      <c r="R14" s="23"/>
      <c r="S14" s="3"/>
      <c r="T14" s="3"/>
      <c r="U14" s="3"/>
      <c r="V14" s="23"/>
      <c r="W14" s="3"/>
      <c r="X14" s="3">
        <f t="shared" si="2"/>
        <v>1085.5999999999999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"4042", " - ", "TAXABLE SALES-EVERYDAY GIFTS")</f>
        <v xml:space="preserve">          4042 - TAXABLE SALES-EVERYDAY GIFTS</v>
      </c>
      <c r="C15" s="12"/>
      <c r="D15" s="3">
        <f>--3750.52</f>
        <v>3750.52</v>
      </c>
      <c r="E15" s="3"/>
      <c r="F15" s="23"/>
      <c r="G15" s="3"/>
      <c r="H15" s="3"/>
      <c r="I15" s="3"/>
      <c r="J15" s="23"/>
      <c r="K15" s="3"/>
      <c r="L15" s="3">
        <f t="shared" si="0"/>
        <v>3750.52</v>
      </c>
      <c r="M15" s="3"/>
      <c r="N15" s="23">
        <f t="shared" si="1"/>
        <v>0</v>
      </c>
      <c r="O15" s="12"/>
      <c r="P15" s="3">
        <f>--3750.52</f>
        <v>3750.52</v>
      </c>
      <c r="Q15" s="3"/>
      <c r="R15" s="23"/>
      <c r="S15" s="3"/>
      <c r="T15" s="3"/>
      <c r="U15" s="3"/>
      <c r="V15" s="23"/>
      <c r="W15" s="3"/>
      <c r="X15" s="3">
        <f t="shared" si="2"/>
        <v>3750.52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"4100", " - ", "NON-TAXABLE SALES")</f>
        <v xml:space="preserve">          4100 - NON-TAXABLE SALES</v>
      </c>
      <c r="C16" s="12"/>
      <c r="D16" s="3">
        <f>0</f>
        <v>0</v>
      </c>
      <c r="E16" s="3"/>
      <c r="F16" s="23"/>
      <c r="G16" s="3"/>
      <c r="H16" s="3">
        <v>500</v>
      </c>
      <c r="I16" s="3"/>
      <c r="J16" s="23"/>
      <c r="K16" s="3"/>
      <c r="L16" s="3">
        <f t="shared" si="0"/>
        <v>-500</v>
      </c>
      <c r="M16" s="3"/>
      <c r="N16" s="23">
        <f t="shared" si="1"/>
        <v>-1</v>
      </c>
      <c r="O16" s="12"/>
      <c r="P16" s="3">
        <f>0</f>
        <v>0</v>
      </c>
      <c r="Q16" s="3"/>
      <c r="R16" s="23"/>
      <c r="S16" s="3"/>
      <c r="T16" s="3">
        <v>500</v>
      </c>
      <c r="U16" s="3"/>
      <c r="V16" s="23"/>
      <c r="W16" s="3"/>
      <c r="X16" s="3">
        <f t="shared" si="2"/>
        <v>-500</v>
      </c>
      <c r="Y16" s="3"/>
      <c r="Z16" s="23">
        <f t="shared" si="3"/>
        <v>-1</v>
      </c>
    </row>
    <row r="17" spans="1:26" s="24" customFormat="1" hidden="1" outlineLevel="1" x14ac:dyDescent="0.25">
      <c r="A17" s="51"/>
      <c r="B17" s="12" t="str">
        <f>CONCATENATE("          ", "4141", " - ", "NON-TAXABLE SALES-LOGO GIFTS")</f>
        <v xml:space="preserve">          4141 - NON-TAXABLE SALES-LOGO GIFTS</v>
      </c>
      <c r="C17" s="12"/>
      <c r="D17" s="3">
        <f>--10.75</f>
        <v>10.75</v>
      </c>
      <c r="E17" s="3"/>
      <c r="F17" s="23"/>
      <c r="G17" s="3"/>
      <c r="H17" s="3"/>
      <c r="I17" s="3"/>
      <c r="J17" s="23"/>
      <c r="K17" s="3"/>
      <c r="L17" s="3">
        <f t="shared" si="0"/>
        <v>10.75</v>
      </c>
      <c r="M17" s="3"/>
      <c r="N17" s="23">
        <f t="shared" si="1"/>
        <v>0</v>
      </c>
      <c r="O17" s="12"/>
      <c r="P17" s="3">
        <f>--10.75</f>
        <v>10.75</v>
      </c>
      <c r="Q17" s="3"/>
      <c r="R17" s="23"/>
      <c r="S17" s="3"/>
      <c r="T17" s="3"/>
      <c r="U17" s="3"/>
      <c r="V17" s="23"/>
      <c r="W17" s="3"/>
      <c r="X17" s="3">
        <f t="shared" si="2"/>
        <v>10.75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"4147", " - ", "NON-TAXABLE SALES-MISC")</f>
        <v xml:space="preserve">          4147 - NON-TAXABLE SALES-MISC</v>
      </c>
      <c r="C18" s="12"/>
      <c r="D18" s="3">
        <f>--1</f>
        <v>1</v>
      </c>
      <c r="E18" s="3"/>
      <c r="F18" s="23"/>
      <c r="G18" s="3"/>
      <c r="H18" s="3"/>
      <c r="I18" s="3"/>
      <c r="J18" s="23"/>
      <c r="K18" s="3"/>
      <c r="L18" s="3">
        <f t="shared" si="0"/>
        <v>1</v>
      </c>
      <c r="M18" s="3"/>
      <c r="N18" s="23">
        <f t="shared" si="1"/>
        <v>0</v>
      </c>
      <c r="O18" s="12"/>
      <c r="P18" s="3">
        <f>--1</f>
        <v>1</v>
      </c>
      <c r="Q18" s="3"/>
      <c r="R18" s="23"/>
      <c r="S18" s="3"/>
      <c r="T18" s="3"/>
      <c r="U18" s="3"/>
      <c r="V18" s="23"/>
      <c r="W18" s="3"/>
      <c r="X18" s="3">
        <f t="shared" si="2"/>
        <v>1</v>
      </c>
      <c r="Y18" s="3"/>
      <c r="Z18" s="23">
        <f t="shared" si="3"/>
        <v>0</v>
      </c>
    </row>
    <row r="19" spans="1:26" x14ac:dyDescent="0.25">
      <c r="A19" s="9"/>
      <c r="B19" s="10"/>
      <c r="C19" s="9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2" customFormat="1" x14ac:dyDescent="0.25">
      <c r="A20" s="10"/>
      <c r="B20" s="26" t="s">
        <v>8</v>
      </c>
      <c r="C20" s="10"/>
      <c r="D20" s="4">
        <f>SUM(0)</f>
        <v>0</v>
      </c>
      <c r="E20" s="4"/>
      <c r="F20" s="11">
        <f>IF(D$12=0,0,D20/D$12)</f>
        <v>0</v>
      </c>
      <c r="G20" s="4"/>
      <c r="H20" s="4">
        <f>SUM(0)</f>
        <v>0</v>
      </c>
      <c r="I20" s="4"/>
      <c r="J20" s="11">
        <f>IF(H$12=0,0,H20/H$12)</f>
        <v>0</v>
      </c>
      <c r="K20" s="4"/>
      <c r="L20" s="4">
        <f>+D20-H20</f>
        <v>0</v>
      </c>
      <c r="M20" s="4"/>
      <c r="N20" s="11">
        <f>IF(H20=0,0,L20/H20)</f>
        <v>0</v>
      </c>
      <c r="O20" s="10"/>
      <c r="P20" s="4">
        <f>SUM(0)</f>
        <v>0</v>
      </c>
      <c r="Q20" s="4"/>
      <c r="R20" s="11">
        <f>IF(P$12=0,0,P20/P$12)</f>
        <v>0</v>
      </c>
      <c r="S20" s="4"/>
      <c r="T20" s="4">
        <f>SUM(0)</f>
        <v>0</v>
      </c>
      <c r="U20" s="4"/>
      <c r="V20" s="11">
        <f>IF(T$12=0,0,T20/T$12)</f>
        <v>0</v>
      </c>
      <c r="W20" s="4"/>
      <c r="X20" s="4">
        <f>+P20-T20</f>
        <v>0</v>
      </c>
      <c r="Y20" s="4"/>
      <c r="Z20" s="11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2" customFormat="1" x14ac:dyDescent="0.25">
      <c r="A22" s="10"/>
      <c r="B22" s="25" t="s">
        <v>6</v>
      </c>
      <c r="C22" s="25"/>
      <c r="D22" s="21">
        <f>D12-D20</f>
        <v>4847.87</v>
      </c>
      <c r="E22" s="13"/>
      <c r="F22" s="20">
        <f>IF(D$12=0,0,D22/D$12)</f>
        <v>1</v>
      </c>
      <c r="G22" s="13"/>
      <c r="H22" s="21">
        <f>H12-H20</f>
        <v>3000</v>
      </c>
      <c r="I22" s="13"/>
      <c r="J22" s="20">
        <f>IF(H$12=0,0,H22/H$12)</f>
        <v>1</v>
      </c>
      <c r="K22" s="15"/>
      <c r="L22" s="21">
        <f>+D22-H22</f>
        <v>1847.87</v>
      </c>
      <c r="M22" s="15"/>
      <c r="N22" s="20">
        <f>IF(H22=0,0,L22/H22)</f>
        <v>0.6159566666666666</v>
      </c>
      <c r="O22" s="26"/>
      <c r="P22" s="21">
        <f>P12-P20</f>
        <v>4847.87</v>
      </c>
      <c r="Q22" s="13"/>
      <c r="R22" s="20">
        <f>IF(P$12=0,0,P22/P$12)</f>
        <v>1</v>
      </c>
      <c r="S22" s="13"/>
      <c r="T22" s="21">
        <f>T12-T20</f>
        <v>3000</v>
      </c>
      <c r="U22" s="13"/>
      <c r="V22" s="20">
        <f>IF(T$12=0,0,T22/T$12)</f>
        <v>1</v>
      </c>
      <c r="W22" s="15"/>
      <c r="X22" s="21">
        <f>+P22-T22</f>
        <v>1847.87</v>
      </c>
      <c r="Y22" s="15"/>
      <c r="Z22" s="20">
        <f>IF(T22=0,0,X22/T22)</f>
        <v>0.6159566666666666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x14ac:dyDescent="0.25">
      <c r="A24" s="10"/>
      <c r="B24" s="26" t="s">
        <v>9</v>
      </c>
      <c r="C24" s="10"/>
      <c r="D24" s="19">
        <f>SUM(OSRRefD22x_0)</f>
        <v>49153.950000000004</v>
      </c>
      <c r="E24" s="19"/>
      <c r="F24" s="31">
        <f t="shared" ref="F24:F34" si="4">IF(D$12=0,0,D24/D$12)</f>
        <v>10.139287975956453</v>
      </c>
      <c r="G24" s="19"/>
      <c r="H24" s="19">
        <f>SUM(OSRRefH22x_0)</f>
        <v>29880.519276240404</v>
      </c>
      <c r="I24" s="19"/>
      <c r="J24" s="31">
        <f t="shared" ref="J24:J34" si="5">IF(H$12=0,0,H24/H$12)</f>
        <v>9.9601730920801348</v>
      </c>
      <c r="K24" s="4"/>
      <c r="L24" s="19">
        <f t="shared" ref="L24:L34" si="6">+D24-H24</f>
        <v>19273.4307237596</v>
      </c>
      <c r="M24" s="4"/>
      <c r="N24" s="31">
        <f t="shared" ref="N24:N34" si="7">IF(H24=0,0,L24/H24)</f>
        <v>0.64501659243535747</v>
      </c>
      <c r="O24" s="10"/>
      <c r="P24" s="19">
        <f>SUM(OSRRefP22x_0)</f>
        <v>49153.950000000004</v>
      </c>
      <c r="Q24" s="19"/>
      <c r="R24" s="31">
        <f t="shared" ref="R24:R34" si="8">IF(P$12=0,0,P24/P$12)</f>
        <v>10.139287975956453</v>
      </c>
      <c r="S24" s="19"/>
      <c r="T24" s="19">
        <f>SUM(OSRRefT22x_0)</f>
        <v>29880.519276240404</v>
      </c>
      <c r="U24" s="19"/>
      <c r="V24" s="31">
        <f t="shared" ref="V24:V34" si="9">IF(T$12=0,0,T24/T$12)</f>
        <v>9.9601730920801348</v>
      </c>
      <c r="W24" s="4"/>
      <c r="X24" s="19">
        <f t="shared" ref="X24:X34" si="10">+P24-T24</f>
        <v>19273.4307237596</v>
      </c>
      <c r="Y24" s="4"/>
      <c r="Z24" s="31">
        <f t="shared" ref="Z24:Z34" si="11">IF(T24=0,0,X24/T24)</f>
        <v>0.64501659243535747</v>
      </c>
    </row>
    <row r="25" spans="1:26" s="29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7930.28</v>
      </c>
      <c r="E25" s="1"/>
      <c r="F25" s="5">
        <f t="shared" si="4"/>
        <v>1.6358276933993692</v>
      </c>
      <c r="G25" s="1"/>
      <c r="H25" s="1">
        <f>SUM(OSRRefH22_0x_0)</f>
        <v>7392.6335743173022</v>
      </c>
      <c r="I25" s="1"/>
      <c r="J25" s="5">
        <f t="shared" si="5"/>
        <v>2.4642111914391007</v>
      </c>
      <c r="K25" s="1"/>
      <c r="L25" s="1">
        <f t="shared" si="6"/>
        <v>537.64642568269755</v>
      </c>
      <c r="M25" s="1"/>
      <c r="N25" s="5">
        <f t="shared" si="7"/>
        <v>7.2727319740360369E-2</v>
      </c>
      <c r="O25" s="14"/>
      <c r="P25" s="1">
        <f>SUM(OSRRefP22_0x_0)</f>
        <v>7930.28</v>
      </c>
      <c r="Q25" s="1"/>
      <c r="R25" s="5">
        <f t="shared" si="8"/>
        <v>1.6358276933993692</v>
      </c>
      <c r="S25" s="1"/>
      <c r="T25" s="1">
        <f>SUM(OSRRefT22_0x_0)</f>
        <v>7392.6335743173022</v>
      </c>
      <c r="U25" s="1"/>
      <c r="V25" s="5">
        <f t="shared" si="9"/>
        <v>2.4642111914391007</v>
      </c>
      <c r="W25" s="1"/>
      <c r="X25" s="1">
        <f t="shared" si="10"/>
        <v>537.64642568269755</v>
      </c>
      <c r="Y25" s="1"/>
      <c r="Z25" s="5">
        <f t="shared" si="11"/>
        <v>7.2727319740360369E-2</v>
      </c>
    </row>
    <row r="26" spans="1:26" s="24" customFormat="1" hidden="1" outlineLevel="2" x14ac:dyDescent="0.25">
      <c r="A26" s="27"/>
      <c r="B26" s="12" t="str">
        <f>CONCATENATE("          ", "6111", " - ", "F.I.C.A.")</f>
        <v xml:space="preserve">          6111 - F.I.C.A.</v>
      </c>
      <c r="C26" s="12"/>
      <c r="D26" s="7">
        <v>1043.3599999999999</v>
      </c>
      <c r="E26" s="3"/>
      <c r="F26" s="8">
        <f t="shared" si="4"/>
        <v>0.21522029262335829</v>
      </c>
      <c r="G26" s="3"/>
      <c r="H26" s="7">
        <v>1386.6119692211498</v>
      </c>
      <c r="I26" s="3"/>
      <c r="J26" s="8">
        <f t="shared" si="5"/>
        <v>0.46220398974038329</v>
      </c>
      <c r="K26" s="3"/>
      <c r="L26" s="7">
        <f t="shared" si="6"/>
        <v>-343.25196922114992</v>
      </c>
      <c r="M26" s="3"/>
      <c r="N26" s="8">
        <f t="shared" si="7"/>
        <v>-0.24754724237232145</v>
      </c>
      <c r="O26" s="12"/>
      <c r="P26" s="7">
        <v>1043.3599999999999</v>
      </c>
      <c r="Q26" s="3"/>
      <c r="R26" s="8">
        <f t="shared" si="8"/>
        <v>0.21522029262335829</v>
      </c>
      <c r="S26" s="3"/>
      <c r="T26" s="7">
        <v>1386.6119692211498</v>
      </c>
      <c r="U26" s="3"/>
      <c r="V26" s="8">
        <f t="shared" si="9"/>
        <v>0.46220398974038329</v>
      </c>
      <c r="W26" s="3"/>
      <c r="X26" s="7">
        <f t="shared" si="10"/>
        <v>-343.25196922114992</v>
      </c>
      <c r="Y26" s="3"/>
      <c r="Z26" s="8">
        <f t="shared" si="11"/>
        <v>-0.24754724237232145</v>
      </c>
    </row>
    <row r="27" spans="1:26" s="24" customFormat="1" hidden="1" outlineLevel="2" x14ac:dyDescent="0.25">
      <c r="A27" s="27"/>
      <c r="B27" s="12" t="str">
        <f>CONCATENATE("          ", "6112", " - ", "COMPENSATION INSURANCE")</f>
        <v xml:space="preserve">          6112 - COMPENSATION INSURANCE</v>
      </c>
      <c r="C27" s="12"/>
      <c r="D27" s="7">
        <v>293.61</v>
      </c>
      <c r="E27" s="3"/>
      <c r="F27" s="8">
        <f t="shared" si="4"/>
        <v>6.056474286645476E-2</v>
      </c>
      <c r="G27" s="3"/>
      <c r="H27" s="7">
        <v>335.19301490384601</v>
      </c>
      <c r="I27" s="3"/>
      <c r="J27" s="8">
        <f t="shared" si="5"/>
        <v>0.11173100496794867</v>
      </c>
      <c r="K27" s="3"/>
      <c r="L27" s="7">
        <f t="shared" si="6"/>
        <v>-41.583014903845992</v>
      </c>
      <c r="M27" s="3"/>
      <c r="N27" s="8">
        <f t="shared" si="7"/>
        <v>-0.12405692557696812</v>
      </c>
      <c r="O27" s="12"/>
      <c r="P27" s="7">
        <v>293.61</v>
      </c>
      <c r="Q27" s="3"/>
      <c r="R27" s="8">
        <f t="shared" si="8"/>
        <v>6.056474286645476E-2</v>
      </c>
      <c r="S27" s="3"/>
      <c r="T27" s="7">
        <v>335.19301490384601</v>
      </c>
      <c r="U27" s="3"/>
      <c r="V27" s="8">
        <f t="shared" si="9"/>
        <v>0.11173100496794867</v>
      </c>
      <c r="W27" s="3"/>
      <c r="X27" s="7">
        <f t="shared" si="10"/>
        <v>-41.583014903845992</v>
      </c>
      <c r="Y27" s="3"/>
      <c r="Z27" s="8">
        <f t="shared" si="11"/>
        <v>-0.12405692557696812</v>
      </c>
    </row>
    <row r="28" spans="1:26" s="24" customFormat="1" hidden="1" outlineLevel="2" x14ac:dyDescent="0.25">
      <c r="A28" s="27"/>
      <c r="B28" s="12" t="str">
        <f>CONCATENATE("          ", "6113", " - ", "GROUP INSURANCE")</f>
        <v xml:space="preserve">          6113 - GROUP INSURANCE</v>
      </c>
      <c r="C28" s="12"/>
      <c r="D28" s="7">
        <v>2724.48</v>
      </c>
      <c r="E28" s="3"/>
      <c r="F28" s="8">
        <f t="shared" si="4"/>
        <v>0.56199526802492639</v>
      </c>
      <c r="G28" s="3"/>
      <c r="H28" s="7">
        <v>2645</v>
      </c>
      <c r="I28" s="3"/>
      <c r="J28" s="8">
        <f t="shared" si="5"/>
        <v>0.88166666666666671</v>
      </c>
      <c r="K28" s="3"/>
      <c r="L28" s="7">
        <f t="shared" si="6"/>
        <v>79.480000000000018</v>
      </c>
      <c r="M28" s="3"/>
      <c r="N28" s="8">
        <f t="shared" si="7"/>
        <v>3.0049149338374298E-2</v>
      </c>
      <c r="O28" s="12"/>
      <c r="P28" s="7">
        <v>2724.48</v>
      </c>
      <c r="Q28" s="3"/>
      <c r="R28" s="8">
        <f t="shared" si="8"/>
        <v>0.56199526802492639</v>
      </c>
      <c r="S28" s="3"/>
      <c r="T28" s="7">
        <v>2645</v>
      </c>
      <c r="U28" s="3"/>
      <c r="V28" s="8">
        <f t="shared" si="9"/>
        <v>0.88166666666666671</v>
      </c>
      <c r="W28" s="3"/>
      <c r="X28" s="7">
        <f t="shared" si="10"/>
        <v>79.480000000000018</v>
      </c>
      <c r="Y28" s="3"/>
      <c r="Z28" s="8">
        <f t="shared" si="11"/>
        <v>3.0049149338374298E-2</v>
      </c>
    </row>
    <row r="29" spans="1:26" s="24" customFormat="1" hidden="1" outlineLevel="2" x14ac:dyDescent="0.25">
      <c r="A29" s="27"/>
      <c r="B29" s="12" t="str">
        <f>CONCATENATE("          ", "6114", " - ", "STATE UNEMPLOYMENT INSURANCE")</f>
        <v xml:space="preserve">          6114 - STATE UNEMPLOYMENT INSURANCE</v>
      </c>
      <c r="C29" s="12"/>
      <c r="D29" s="7">
        <v>41.26</v>
      </c>
      <c r="E29" s="3"/>
      <c r="F29" s="8">
        <f t="shared" si="4"/>
        <v>8.5109542953915839E-3</v>
      </c>
      <c r="G29" s="3"/>
      <c r="H29" s="7">
        <v>47.108207499999999</v>
      </c>
      <c r="I29" s="3"/>
      <c r="J29" s="8">
        <f t="shared" si="5"/>
        <v>1.5702735833333332E-2</v>
      </c>
      <c r="K29" s="3"/>
      <c r="L29" s="7">
        <f t="shared" si="6"/>
        <v>-5.8482075000000009</v>
      </c>
      <c r="M29" s="3"/>
      <c r="N29" s="8">
        <f t="shared" si="7"/>
        <v>-0.12414413135969993</v>
      </c>
      <c r="O29" s="12"/>
      <c r="P29" s="7">
        <v>41.26</v>
      </c>
      <c r="Q29" s="3"/>
      <c r="R29" s="8">
        <f t="shared" si="8"/>
        <v>8.5109542953915839E-3</v>
      </c>
      <c r="S29" s="3"/>
      <c r="T29" s="7">
        <v>47.108207499999999</v>
      </c>
      <c r="U29" s="3"/>
      <c r="V29" s="8">
        <f t="shared" si="9"/>
        <v>1.5702735833333332E-2</v>
      </c>
      <c r="W29" s="3"/>
      <c r="X29" s="7">
        <f t="shared" si="10"/>
        <v>-5.8482075000000009</v>
      </c>
      <c r="Y29" s="3"/>
      <c r="Z29" s="8">
        <f t="shared" si="11"/>
        <v>-0.12414413135969993</v>
      </c>
    </row>
    <row r="30" spans="1:26" s="24" customFormat="1" hidden="1" outlineLevel="2" x14ac:dyDescent="0.25">
      <c r="A30" s="27"/>
      <c r="B30" s="12" t="str">
        <f>CONCATENATE("          ", "6115", " - ", "P.E.R.S.")</f>
        <v xml:space="preserve">          6115 - P.E.R.S.</v>
      </c>
      <c r="C30" s="12"/>
      <c r="D30" s="7">
        <v>2066.46</v>
      </c>
      <c r="E30" s="3"/>
      <c r="F30" s="8">
        <f t="shared" si="4"/>
        <v>0.42626143027762708</v>
      </c>
      <c r="G30" s="3"/>
      <c r="H30" s="7">
        <v>1239.9085557692301</v>
      </c>
      <c r="I30" s="3"/>
      <c r="J30" s="8">
        <f t="shared" si="5"/>
        <v>0.4133028519230767</v>
      </c>
      <c r="K30" s="3"/>
      <c r="L30" s="7">
        <f t="shared" si="6"/>
        <v>826.5514442307699</v>
      </c>
      <c r="M30" s="3"/>
      <c r="N30" s="8">
        <f t="shared" si="7"/>
        <v>0.66662290568515636</v>
      </c>
      <c r="O30" s="12"/>
      <c r="P30" s="7">
        <v>2066.46</v>
      </c>
      <c r="Q30" s="3"/>
      <c r="R30" s="8">
        <f t="shared" si="8"/>
        <v>0.42626143027762708</v>
      </c>
      <c r="S30" s="3"/>
      <c r="T30" s="7">
        <v>1239.9085557692301</v>
      </c>
      <c r="U30" s="3"/>
      <c r="V30" s="8">
        <f t="shared" si="9"/>
        <v>0.4133028519230767</v>
      </c>
      <c r="W30" s="3"/>
      <c r="X30" s="7">
        <f t="shared" si="10"/>
        <v>826.5514442307699</v>
      </c>
      <c r="Y30" s="3"/>
      <c r="Z30" s="8">
        <f t="shared" si="11"/>
        <v>0.66662290568515636</v>
      </c>
    </row>
    <row r="31" spans="1:26" s="24" customFormat="1" hidden="1" outlineLevel="2" x14ac:dyDescent="0.25">
      <c r="A31" s="27"/>
      <c r="B31" s="12" t="str">
        <f>CONCATENATE("          ", "6116", " - ", "EDUCATIONAL BENEFITS")</f>
        <v xml:space="preserve">          6116 - EDUCATIONAL BENEFITS</v>
      </c>
      <c r="C31" s="12"/>
      <c r="D31" s="7"/>
      <c r="E31" s="3"/>
      <c r="F31" s="8">
        <f t="shared" si="4"/>
        <v>0</v>
      </c>
      <c r="G31" s="3"/>
      <c r="H31" s="7">
        <v>0</v>
      </c>
      <c r="I31" s="3"/>
      <c r="J31" s="8">
        <f t="shared" si="5"/>
        <v>0</v>
      </c>
      <c r="K31" s="3"/>
      <c r="L31" s="7">
        <f t="shared" si="6"/>
        <v>0</v>
      </c>
      <c r="M31" s="3"/>
      <c r="N31" s="8">
        <f t="shared" si="7"/>
        <v>0</v>
      </c>
      <c r="O31" s="12"/>
      <c r="P31" s="7"/>
      <c r="Q31" s="3"/>
      <c r="R31" s="8">
        <f t="shared" si="8"/>
        <v>0</v>
      </c>
      <c r="S31" s="3"/>
      <c r="T31" s="7">
        <v>0</v>
      </c>
      <c r="U31" s="3"/>
      <c r="V31" s="8">
        <f t="shared" si="9"/>
        <v>0</v>
      </c>
      <c r="W31" s="3"/>
      <c r="X31" s="7">
        <f t="shared" si="10"/>
        <v>0</v>
      </c>
      <c r="Y31" s="3"/>
      <c r="Z31" s="8">
        <f t="shared" si="11"/>
        <v>0</v>
      </c>
    </row>
    <row r="32" spans="1:26" s="24" customFormat="1" hidden="1" outlineLevel="2" x14ac:dyDescent="0.25">
      <c r="A32" s="27"/>
      <c r="B32" s="12" t="str">
        <f>CONCATENATE("          ", "6118", " - ", "VACATION")</f>
        <v xml:space="preserve">          6118 - VACATION</v>
      </c>
      <c r="C32" s="12"/>
      <c r="D32" s="7">
        <v>978.88</v>
      </c>
      <c r="E32" s="3"/>
      <c r="F32" s="8">
        <f t="shared" si="4"/>
        <v>0.201919605930027</v>
      </c>
      <c r="G32" s="3"/>
      <c r="H32" s="7">
        <v>1195.7663557692301</v>
      </c>
      <c r="I32" s="3"/>
      <c r="J32" s="8">
        <f t="shared" si="5"/>
        <v>0.39858878525641006</v>
      </c>
      <c r="K32" s="3"/>
      <c r="L32" s="7">
        <f t="shared" si="6"/>
        <v>-216.88635576923014</v>
      </c>
      <c r="M32" s="3"/>
      <c r="N32" s="8">
        <f t="shared" si="7"/>
        <v>-0.18137853998217596</v>
      </c>
      <c r="O32" s="12"/>
      <c r="P32" s="7">
        <v>978.88</v>
      </c>
      <c r="Q32" s="3"/>
      <c r="R32" s="8">
        <f t="shared" si="8"/>
        <v>0.201919605930027</v>
      </c>
      <c r="S32" s="3"/>
      <c r="T32" s="7">
        <v>1195.7663557692301</v>
      </c>
      <c r="U32" s="3"/>
      <c r="V32" s="8">
        <f t="shared" si="9"/>
        <v>0.39858878525641006</v>
      </c>
      <c r="W32" s="3"/>
      <c r="X32" s="7">
        <f t="shared" si="10"/>
        <v>-216.88635576923014</v>
      </c>
      <c r="Y32" s="3"/>
      <c r="Z32" s="8">
        <f t="shared" si="11"/>
        <v>-0.18137853998217596</v>
      </c>
    </row>
    <row r="33" spans="1:26" s="24" customFormat="1" hidden="1" outlineLevel="2" x14ac:dyDescent="0.25">
      <c r="A33" s="27"/>
      <c r="B33" s="12" t="str">
        <f>CONCATENATE("          ", "6119", " - ", "SICK LEAVE")</f>
        <v xml:space="preserve">          6119 - SICK LEAVE</v>
      </c>
      <c r="C33" s="12"/>
      <c r="D33" s="7">
        <v>632.52</v>
      </c>
      <c r="E33" s="3"/>
      <c r="F33" s="8">
        <f t="shared" si="4"/>
        <v>0.13047379570821824</v>
      </c>
      <c r="G33" s="3"/>
      <c r="H33" s="7">
        <v>543.04547115384594</v>
      </c>
      <c r="I33" s="3"/>
      <c r="J33" s="8">
        <f t="shared" si="5"/>
        <v>0.18101515705128199</v>
      </c>
      <c r="K33" s="3"/>
      <c r="L33" s="7">
        <f t="shared" si="6"/>
        <v>89.474528846154044</v>
      </c>
      <c r="M33" s="3"/>
      <c r="N33" s="8">
        <f t="shared" si="7"/>
        <v>0.16476434037105839</v>
      </c>
      <c r="O33" s="12"/>
      <c r="P33" s="7">
        <v>632.52</v>
      </c>
      <c r="Q33" s="3"/>
      <c r="R33" s="8">
        <f t="shared" si="8"/>
        <v>0.13047379570821824</v>
      </c>
      <c r="S33" s="3"/>
      <c r="T33" s="7">
        <v>543.04547115384594</v>
      </c>
      <c r="U33" s="3"/>
      <c r="V33" s="8">
        <f t="shared" si="9"/>
        <v>0.18101515705128199</v>
      </c>
      <c r="W33" s="3"/>
      <c r="X33" s="7">
        <f t="shared" si="10"/>
        <v>89.474528846154044</v>
      </c>
      <c r="Y33" s="3"/>
      <c r="Z33" s="8">
        <f t="shared" si="11"/>
        <v>0.16476434037105839</v>
      </c>
    </row>
    <row r="34" spans="1:26" s="24" customFormat="1" hidden="1" outlineLevel="2" x14ac:dyDescent="0.25">
      <c r="A34" s="27"/>
      <c r="B34" s="12" t="str">
        <f>CONCATENATE("          ", "6156", " - ", "EMPLOYEE MEALS")</f>
        <v xml:space="preserve">          6156 - EMPLOYEE MEALS</v>
      </c>
      <c r="C34" s="12"/>
      <c r="D34" s="7">
        <v>149.71</v>
      </c>
      <c r="E34" s="3"/>
      <c r="F34" s="8">
        <f t="shared" si="4"/>
        <v>3.0881603673365832E-2</v>
      </c>
      <c r="G34" s="3"/>
      <c r="H34" s="7"/>
      <c r="I34" s="3"/>
      <c r="J34" s="8">
        <f t="shared" si="5"/>
        <v>0</v>
      </c>
      <c r="K34" s="3"/>
      <c r="L34" s="7">
        <f t="shared" si="6"/>
        <v>149.71</v>
      </c>
      <c r="M34" s="3"/>
      <c r="N34" s="8">
        <f t="shared" si="7"/>
        <v>0</v>
      </c>
      <c r="O34" s="12"/>
      <c r="P34" s="7">
        <v>149.71</v>
      </c>
      <c r="Q34" s="3"/>
      <c r="R34" s="8">
        <f t="shared" si="8"/>
        <v>3.0881603673365832E-2</v>
      </c>
      <c r="S34" s="3"/>
      <c r="T34" s="7"/>
      <c r="U34" s="3"/>
      <c r="V34" s="8">
        <f t="shared" si="9"/>
        <v>0</v>
      </c>
      <c r="W34" s="3"/>
      <c r="X34" s="7">
        <f t="shared" si="10"/>
        <v>149.71</v>
      </c>
      <c r="Y34" s="3"/>
      <c r="Z34" s="8">
        <f t="shared" si="11"/>
        <v>0</v>
      </c>
    </row>
    <row r="35" spans="1:26" s="29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15059.94</v>
      </c>
      <c r="E35" s="1"/>
      <c r="F35" s="5">
        <f t="shared" ref="F35:F45" si="12">IF(D$12=0,0,D35/D$12)</f>
        <v>3.1065065688642641</v>
      </c>
      <c r="G35" s="1"/>
      <c r="H35" s="1">
        <f>SUM(OSRRefH22_1x_0)</f>
        <v>12746.8857019231</v>
      </c>
      <c r="I35" s="1"/>
      <c r="J35" s="5">
        <f t="shared" ref="J35:J45" si="13">IF(H$12=0,0,H35/H$12)</f>
        <v>4.2489619006410333</v>
      </c>
      <c r="K35" s="1"/>
      <c r="L35" s="1">
        <f t="shared" ref="L35:L45" si="14">+D35-H35</f>
        <v>2313.0542980769005</v>
      </c>
      <c r="M35" s="1"/>
      <c r="N35" s="5">
        <f t="shared" ref="N35:N45" si="15">IF(H35=0,0,L35/H35)</f>
        <v>0.18146034664199853</v>
      </c>
      <c r="O35" s="14"/>
      <c r="P35" s="1">
        <f>SUM(OSRRefP22_1x_0)</f>
        <v>15059.94</v>
      </c>
      <c r="Q35" s="1"/>
      <c r="R35" s="5">
        <f t="shared" ref="R35:R45" si="16">IF(P$12=0,0,P35/P$12)</f>
        <v>3.1065065688642641</v>
      </c>
      <c r="S35" s="1"/>
      <c r="T35" s="1">
        <f>SUM(OSRRefT22_1x_0)</f>
        <v>12746.8857019231</v>
      </c>
      <c r="U35" s="1"/>
      <c r="V35" s="5">
        <f t="shared" ref="V35:V45" si="17">IF(T$12=0,0,T35/T$12)</f>
        <v>4.2489619006410333</v>
      </c>
      <c r="W35" s="1"/>
      <c r="X35" s="1">
        <f t="shared" ref="X35:X45" si="18">+P35-T35</f>
        <v>2313.0542980769005</v>
      </c>
      <c r="Y35" s="1"/>
      <c r="Z35" s="5">
        <f t="shared" ref="Z35:Z45" si="19">IF(T35=0,0,X35/T35)</f>
        <v>0.18146034664199853</v>
      </c>
    </row>
    <row r="36" spans="1:26" s="24" customFormat="1" hidden="1" outlineLevel="2" x14ac:dyDescent="0.25">
      <c r="A36" s="27"/>
      <c r="B36" s="12" t="str">
        <f>CONCATENATE("          ", "6001", " - ", "ADMINISTRATIVE SALARIES")</f>
        <v xml:space="preserve">          6001 - ADMINISTRATIVE SALARIES</v>
      </c>
      <c r="C36" s="12"/>
      <c r="D36" s="7"/>
      <c r="E36" s="3"/>
      <c r="F36" s="8">
        <f t="shared" si="12"/>
        <v>0</v>
      </c>
      <c r="G36" s="3"/>
      <c r="H36" s="7">
        <v>0</v>
      </c>
      <c r="I36" s="3"/>
      <c r="J36" s="8">
        <f t="shared" si="13"/>
        <v>0</v>
      </c>
      <c r="K36" s="3"/>
      <c r="L36" s="7">
        <f t="shared" si="14"/>
        <v>0</v>
      </c>
      <c r="M36" s="3"/>
      <c r="N36" s="8">
        <f t="shared" si="15"/>
        <v>0</v>
      </c>
      <c r="O36" s="12"/>
      <c r="P36" s="7"/>
      <c r="Q36" s="3"/>
      <c r="R36" s="8">
        <f t="shared" si="16"/>
        <v>0</v>
      </c>
      <c r="S36" s="3"/>
      <c r="T36" s="7">
        <v>0</v>
      </c>
      <c r="U36" s="3"/>
      <c r="V36" s="8">
        <f t="shared" si="17"/>
        <v>0</v>
      </c>
      <c r="W36" s="3"/>
      <c r="X36" s="7">
        <f t="shared" si="18"/>
        <v>0</v>
      </c>
      <c r="Y36" s="3"/>
      <c r="Z36" s="8">
        <f t="shared" si="19"/>
        <v>0</v>
      </c>
    </row>
    <row r="37" spans="1:26" s="24" customFormat="1" hidden="1" outlineLevel="2" x14ac:dyDescent="0.25">
      <c r="A37" s="27"/>
      <c r="B37" s="12" t="str">
        <f>CONCATENATE("          ", "6002", " - ", "STAFF SALARIES")</f>
        <v xml:space="preserve">          6002 - STAFF SALARIES</v>
      </c>
      <c r="C37" s="12"/>
      <c r="D37" s="7">
        <v>15059.94</v>
      </c>
      <c r="E37" s="3"/>
      <c r="F37" s="8">
        <f t="shared" si="12"/>
        <v>3.1065065688642641</v>
      </c>
      <c r="G37" s="3"/>
      <c r="H37" s="7">
        <v>12746.8857019231</v>
      </c>
      <c r="I37" s="3"/>
      <c r="J37" s="8">
        <f t="shared" si="13"/>
        <v>4.2489619006410333</v>
      </c>
      <c r="K37" s="3"/>
      <c r="L37" s="7">
        <f t="shared" si="14"/>
        <v>2313.0542980769005</v>
      </c>
      <c r="M37" s="3"/>
      <c r="N37" s="8">
        <f t="shared" si="15"/>
        <v>0.18146034664199853</v>
      </c>
      <c r="O37" s="12"/>
      <c r="P37" s="7">
        <v>15059.94</v>
      </c>
      <c r="Q37" s="3"/>
      <c r="R37" s="8">
        <f t="shared" si="16"/>
        <v>3.1065065688642641</v>
      </c>
      <c r="S37" s="3"/>
      <c r="T37" s="7">
        <v>12746.8857019231</v>
      </c>
      <c r="U37" s="3"/>
      <c r="V37" s="8">
        <f t="shared" si="17"/>
        <v>4.2489619006410333</v>
      </c>
      <c r="W37" s="3"/>
      <c r="X37" s="7">
        <f t="shared" si="18"/>
        <v>2313.0542980769005</v>
      </c>
      <c r="Y37" s="3"/>
      <c r="Z37" s="8">
        <f t="shared" si="19"/>
        <v>0.18146034664199853</v>
      </c>
    </row>
    <row r="38" spans="1:26" s="24" customFormat="1" hidden="1" outlineLevel="2" x14ac:dyDescent="0.25">
      <c r="A38" s="27"/>
      <c r="B38" s="12" t="str">
        <f>CONCATENATE("          ", "6003", " - ", "STAFF HOURLY-9 MONTH")</f>
        <v xml:space="preserve">          6003 - STAFF HOURLY-9 MONTH</v>
      </c>
      <c r="C38" s="12"/>
      <c r="D38" s="7"/>
      <c r="E38" s="3"/>
      <c r="F38" s="8">
        <f t="shared" si="12"/>
        <v>0</v>
      </c>
      <c r="G38" s="3"/>
      <c r="H38" s="7">
        <v>0</v>
      </c>
      <c r="I38" s="3"/>
      <c r="J38" s="8">
        <f t="shared" si="13"/>
        <v>0</v>
      </c>
      <c r="K38" s="3"/>
      <c r="L38" s="7">
        <f t="shared" si="14"/>
        <v>0</v>
      </c>
      <c r="M38" s="3"/>
      <c r="N38" s="8">
        <f t="shared" si="15"/>
        <v>0</v>
      </c>
      <c r="O38" s="12"/>
      <c r="P38" s="7"/>
      <c r="Q38" s="3"/>
      <c r="R38" s="8">
        <f t="shared" si="16"/>
        <v>0</v>
      </c>
      <c r="S38" s="3"/>
      <c r="T38" s="7">
        <v>0</v>
      </c>
      <c r="U38" s="3"/>
      <c r="V38" s="8">
        <f t="shared" si="17"/>
        <v>0</v>
      </c>
      <c r="W38" s="3"/>
      <c r="X38" s="7">
        <f t="shared" si="18"/>
        <v>0</v>
      </c>
      <c r="Y38" s="3"/>
      <c r="Z38" s="8">
        <f t="shared" si="19"/>
        <v>0</v>
      </c>
    </row>
    <row r="39" spans="1:26" s="24" customFormat="1" hidden="1" outlineLevel="2" x14ac:dyDescent="0.25">
      <c r="A39" s="27"/>
      <c r="B39" s="12" t="str">
        <f>CONCATENATE("          ", "6004", " - ", "STAFF HOURLY")</f>
        <v xml:space="preserve">          6004 - STAFF HOURLY</v>
      </c>
      <c r="C39" s="12"/>
      <c r="D39" s="7"/>
      <c r="E39" s="3"/>
      <c r="F39" s="8">
        <f t="shared" si="12"/>
        <v>0</v>
      </c>
      <c r="G39" s="3"/>
      <c r="H39" s="7">
        <v>0</v>
      </c>
      <c r="I39" s="3"/>
      <c r="J39" s="8">
        <f t="shared" si="13"/>
        <v>0</v>
      </c>
      <c r="K39" s="3"/>
      <c r="L39" s="7">
        <f t="shared" si="14"/>
        <v>0</v>
      </c>
      <c r="M39" s="3"/>
      <c r="N39" s="8">
        <f t="shared" si="15"/>
        <v>0</v>
      </c>
      <c r="O39" s="12"/>
      <c r="P39" s="7"/>
      <c r="Q39" s="3"/>
      <c r="R39" s="8">
        <f t="shared" si="16"/>
        <v>0</v>
      </c>
      <c r="S39" s="3"/>
      <c r="T39" s="7">
        <v>0</v>
      </c>
      <c r="U39" s="3"/>
      <c r="V39" s="8">
        <f t="shared" si="17"/>
        <v>0</v>
      </c>
      <c r="W39" s="3"/>
      <c r="X39" s="7">
        <f t="shared" si="18"/>
        <v>0</v>
      </c>
      <c r="Y39" s="3"/>
      <c r="Z39" s="8">
        <f t="shared" si="19"/>
        <v>0</v>
      </c>
    </row>
    <row r="40" spans="1:26" s="24" customFormat="1" hidden="1" outlineLevel="2" x14ac:dyDescent="0.25">
      <c r="A40" s="27"/>
      <c r="B40" s="12" t="str">
        <f>CONCATENATE("          ", "6005", " - ", "TEMPORARY WAGES-HOURLY")</f>
        <v xml:space="preserve">          6005 - TEMPORARY WAGES-HOURLY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24" customFormat="1" hidden="1" outlineLevel="2" x14ac:dyDescent="0.25">
      <c r="A41" s="27"/>
      <c r="B41" s="12" t="str">
        <f>CONCATENATE("          ", "6006", " - ", "TEMPORARY PART TIME")</f>
        <v xml:space="preserve">          6006 - TEMPORARY PART TIME</v>
      </c>
      <c r="C41" s="12"/>
      <c r="D41" s="7"/>
      <c r="E41" s="3"/>
      <c r="F41" s="8">
        <f t="shared" si="12"/>
        <v>0</v>
      </c>
      <c r="G41" s="3"/>
      <c r="H41" s="7">
        <v>0</v>
      </c>
      <c r="I41" s="3"/>
      <c r="J41" s="8">
        <f t="shared" si="13"/>
        <v>0</v>
      </c>
      <c r="K41" s="3"/>
      <c r="L41" s="7">
        <f t="shared" si="14"/>
        <v>0</v>
      </c>
      <c r="M41" s="3"/>
      <c r="N41" s="8">
        <f t="shared" si="15"/>
        <v>0</v>
      </c>
      <c r="O41" s="12"/>
      <c r="P41" s="7"/>
      <c r="Q41" s="3"/>
      <c r="R41" s="8">
        <f t="shared" si="16"/>
        <v>0</v>
      </c>
      <c r="S41" s="3"/>
      <c r="T41" s="7">
        <v>0</v>
      </c>
      <c r="U41" s="3"/>
      <c r="V41" s="8">
        <f t="shared" si="17"/>
        <v>0</v>
      </c>
      <c r="W41" s="3"/>
      <c r="X41" s="7">
        <f t="shared" si="18"/>
        <v>0</v>
      </c>
      <c r="Y41" s="3"/>
      <c r="Z41" s="8">
        <f t="shared" si="19"/>
        <v>0</v>
      </c>
    </row>
    <row r="42" spans="1:26" s="24" customFormat="1" hidden="1" outlineLevel="2" x14ac:dyDescent="0.25">
      <c r="A42" s="27"/>
      <c r="B42" s="12" t="str">
        <f>CONCATENATE("          ", "6007", " - ", "STUDENT HOURLY")</f>
        <v xml:space="preserve">          6007 - STUDENT HOURLY</v>
      </c>
      <c r="C42" s="12"/>
      <c r="D42" s="7"/>
      <c r="E42" s="3"/>
      <c r="F42" s="8">
        <f t="shared" si="12"/>
        <v>0</v>
      </c>
      <c r="G42" s="3"/>
      <c r="H42" s="7">
        <v>0</v>
      </c>
      <c r="I42" s="3"/>
      <c r="J42" s="8">
        <f t="shared" si="13"/>
        <v>0</v>
      </c>
      <c r="K42" s="3"/>
      <c r="L42" s="7">
        <f t="shared" si="14"/>
        <v>0</v>
      </c>
      <c r="M42" s="3"/>
      <c r="N42" s="8">
        <f t="shared" si="15"/>
        <v>0</v>
      </c>
      <c r="O42" s="12"/>
      <c r="P42" s="7"/>
      <c r="Q42" s="3"/>
      <c r="R42" s="8">
        <f t="shared" si="16"/>
        <v>0</v>
      </c>
      <c r="S42" s="3"/>
      <c r="T42" s="7">
        <v>0</v>
      </c>
      <c r="U42" s="3"/>
      <c r="V42" s="8">
        <f t="shared" si="17"/>
        <v>0</v>
      </c>
      <c r="W42" s="3"/>
      <c r="X42" s="7">
        <f t="shared" si="18"/>
        <v>0</v>
      </c>
      <c r="Y42" s="3"/>
      <c r="Z42" s="8">
        <f t="shared" si="19"/>
        <v>0</v>
      </c>
    </row>
    <row r="43" spans="1:26" s="24" customFormat="1" hidden="1" outlineLevel="2" x14ac:dyDescent="0.25">
      <c r="A43" s="27"/>
      <c r="B43" s="12" t="str">
        <f>CONCATENATE("          ", "6008", " - ", "STUDENT HOURLY-FICA EXEMPT")</f>
        <v xml:space="preserve">          6008 - STUDENT HOURLY-FICA EXEMPT</v>
      </c>
      <c r="C43" s="12"/>
      <c r="D43" s="7"/>
      <c r="E43" s="3"/>
      <c r="F43" s="8">
        <f t="shared" si="12"/>
        <v>0</v>
      </c>
      <c r="G43" s="3"/>
      <c r="H43" s="7">
        <v>0</v>
      </c>
      <c r="I43" s="3"/>
      <c r="J43" s="8">
        <f t="shared" si="13"/>
        <v>0</v>
      </c>
      <c r="K43" s="3"/>
      <c r="L43" s="7">
        <f t="shared" si="14"/>
        <v>0</v>
      </c>
      <c r="M43" s="3"/>
      <c r="N43" s="8">
        <f t="shared" si="15"/>
        <v>0</v>
      </c>
      <c r="O43" s="12"/>
      <c r="P43" s="7"/>
      <c r="Q43" s="3"/>
      <c r="R43" s="8">
        <f t="shared" si="16"/>
        <v>0</v>
      </c>
      <c r="S43" s="3"/>
      <c r="T43" s="7">
        <v>0</v>
      </c>
      <c r="U43" s="3"/>
      <c r="V43" s="8">
        <f t="shared" si="17"/>
        <v>0</v>
      </c>
      <c r="W43" s="3"/>
      <c r="X43" s="7">
        <f t="shared" si="18"/>
        <v>0</v>
      </c>
      <c r="Y43" s="3"/>
      <c r="Z43" s="8">
        <f t="shared" si="19"/>
        <v>0</v>
      </c>
    </row>
    <row r="44" spans="1:26" s="24" customFormat="1" hidden="1" outlineLevel="2" x14ac:dyDescent="0.25">
      <c r="A44" s="27"/>
      <c r="B44" s="12" t="str">
        <f>CONCATENATE("          ", "6009", " - ", "TEMPORARY-SEASONAL")</f>
        <v xml:space="preserve">          6009 - TEMPORARY-SEASONAL</v>
      </c>
      <c r="C44" s="12"/>
      <c r="D44" s="7"/>
      <c r="E44" s="3"/>
      <c r="F44" s="8">
        <f t="shared" si="12"/>
        <v>0</v>
      </c>
      <c r="G44" s="3"/>
      <c r="H44" s="7">
        <v>0</v>
      </c>
      <c r="I44" s="3"/>
      <c r="J44" s="8">
        <f t="shared" si="13"/>
        <v>0</v>
      </c>
      <c r="K44" s="3"/>
      <c r="L44" s="7">
        <f t="shared" si="14"/>
        <v>0</v>
      </c>
      <c r="M44" s="3"/>
      <c r="N44" s="8">
        <f t="shared" si="15"/>
        <v>0</v>
      </c>
      <c r="O44" s="12"/>
      <c r="P44" s="7"/>
      <c r="Q44" s="3"/>
      <c r="R44" s="8">
        <f t="shared" si="16"/>
        <v>0</v>
      </c>
      <c r="S44" s="3"/>
      <c r="T44" s="7">
        <v>0</v>
      </c>
      <c r="U44" s="3"/>
      <c r="V44" s="8">
        <f t="shared" si="17"/>
        <v>0</v>
      </c>
      <c r="W44" s="3"/>
      <c r="X44" s="7">
        <f t="shared" si="18"/>
        <v>0</v>
      </c>
      <c r="Y44" s="3"/>
      <c r="Z44" s="8">
        <f t="shared" si="19"/>
        <v>0</v>
      </c>
    </row>
    <row r="45" spans="1:26" s="24" customFormat="1" hidden="1" outlineLevel="2" x14ac:dyDescent="0.25">
      <c r="A45" s="27"/>
      <c r="B45" s="12" t="str">
        <f>CONCATENATE("          ", "6010", " - ", "GRATUITY")</f>
        <v xml:space="preserve">          6010 - GRATUITY</v>
      </c>
      <c r="C45" s="12"/>
      <c r="D45" s="7"/>
      <c r="E45" s="3"/>
      <c r="F45" s="8">
        <f t="shared" si="12"/>
        <v>0</v>
      </c>
      <c r="G45" s="3"/>
      <c r="H45" s="7">
        <v>0</v>
      </c>
      <c r="I45" s="3"/>
      <c r="J45" s="8">
        <f t="shared" si="13"/>
        <v>0</v>
      </c>
      <c r="K45" s="3"/>
      <c r="L45" s="7">
        <f t="shared" si="14"/>
        <v>0</v>
      </c>
      <c r="M45" s="3"/>
      <c r="N45" s="8">
        <f t="shared" si="15"/>
        <v>0</v>
      </c>
      <c r="O45" s="12"/>
      <c r="P45" s="7"/>
      <c r="Q45" s="3"/>
      <c r="R45" s="8">
        <f t="shared" si="16"/>
        <v>0</v>
      </c>
      <c r="S45" s="3"/>
      <c r="T45" s="7">
        <v>0</v>
      </c>
      <c r="U45" s="3"/>
      <c r="V45" s="8">
        <f t="shared" si="17"/>
        <v>0</v>
      </c>
      <c r="W45" s="3"/>
      <c r="X45" s="7">
        <f t="shared" si="18"/>
        <v>0</v>
      </c>
      <c r="Y45" s="3"/>
      <c r="Z45" s="8">
        <f t="shared" si="19"/>
        <v>0</v>
      </c>
    </row>
    <row r="46" spans="1:26" s="29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6" si="20">IF(D$12=0,0,D46/D$12)</f>
        <v>0</v>
      </c>
      <c r="G46" s="1"/>
      <c r="H46" s="1">
        <f>SUM(OSRRefH22_2x_0)</f>
        <v>50</v>
      </c>
      <c r="I46" s="1"/>
      <c r="J46" s="5">
        <f t="shared" ref="J46:J56" si="21">IF(H$12=0,0,H46/H$12)</f>
        <v>1.6666666666666666E-2</v>
      </c>
      <c r="K46" s="1"/>
      <c r="L46" s="1">
        <f t="shared" ref="L46:L56" si="22">+D46-H46</f>
        <v>-50</v>
      </c>
      <c r="M46" s="1"/>
      <c r="N46" s="5">
        <f t="shared" ref="N46:N56" si="23">IF(H46=0,0,L46/H46)</f>
        <v>-1</v>
      </c>
      <c r="O46" s="14"/>
      <c r="P46" s="1">
        <f>SUM(OSRRefP22_2x_0)</f>
        <v>0</v>
      </c>
      <c r="Q46" s="1"/>
      <c r="R46" s="5">
        <f t="shared" ref="R46:R56" si="24">IF(P$12=0,0,P46/P$12)</f>
        <v>0</v>
      </c>
      <c r="S46" s="1"/>
      <c r="T46" s="1">
        <f>SUM(OSRRefT22_2x_0)</f>
        <v>50</v>
      </c>
      <c r="U46" s="1"/>
      <c r="V46" s="5">
        <f t="shared" ref="V46:V56" si="25">IF(T$12=0,0,T46/T$12)</f>
        <v>1.6666666666666666E-2</v>
      </c>
      <c r="W46" s="1"/>
      <c r="X46" s="1">
        <f t="shared" ref="X46:X56" si="26">+P46-T46</f>
        <v>-50</v>
      </c>
      <c r="Y46" s="1"/>
      <c r="Z46" s="5">
        <f t="shared" ref="Z46:Z56" si="27">IF(T46=0,0,X46/T46)</f>
        <v>-1</v>
      </c>
    </row>
    <row r="47" spans="1:26" s="24" customFormat="1" hidden="1" outlineLevel="2" x14ac:dyDescent="0.25">
      <c r="A47" s="27"/>
      <c r="B47" s="12" t="str">
        <f>CONCATENATE("          ", "6362", " - ", "ADVERTISING EXPENSE")</f>
        <v xml:space="preserve">          6362 - ADVERTISING EXPENSE</v>
      </c>
      <c r="C47" s="12"/>
      <c r="D47" s="7"/>
      <c r="E47" s="3"/>
      <c r="F47" s="8">
        <f t="shared" si="20"/>
        <v>0</v>
      </c>
      <c r="G47" s="3"/>
      <c r="H47" s="7">
        <v>50</v>
      </c>
      <c r="I47" s="3"/>
      <c r="J47" s="8">
        <f t="shared" si="21"/>
        <v>1.6666666666666666E-2</v>
      </c>
      <c r="K47" s="3"/>
      <c r="L47" s="7">
        <f t="shared" si="22"/>
        <v>-50</v>
      </c>
      <c r="M47" s="3"/>
      <c r="N47" s="8">
        <f t="shared" si="23"/>
        <v>-1</v>
      </c>
      <c r="O47" s="12"/>
      <c r="P47" s="7"/>
      <c r="Q47" s="3"/>
      <c r="R47" s="8">
        <f t="shared" si="24"/>
        <v>0</v>
      </c>
      <c r="S47" s="3"/>
      <c r="T47" s="7">
        <v>50</v>
      </c>
      <c r="U47" s="3"/>
      <c r="V47" s="8">
        <f t="shared" si="25"/>
        <v>1.6666666666666666E-2</v>
      </c>
      <c r="W47" s="3"/>
      <c r="X47" s="7">
        <f t="shared" si="26"/>
        <v>-50</v>
      </c>
      <c r="Y47" s="3"/>
      <c r="Z47" s="8">
        <f t="shared" si="27"/>
        <v>-1</v>
      </c>
    </row>
    <row r="48" spans="1:26" s="29" customFormat="1" outlineLevel="1" collapsed="1" x14ac:dyDescent="0.25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20"/>
        <v>3.5042193788199769E-2</v>
      </c>
      <c r="G48" s="1"/>
      <c r="H48" s="1">
        <f>SUM(OSRRefH22_3x_0)</f>
        <v>170</v>
      </c>
      <c r="I48" s="1"/>
      <c r="J48" s="5">
        <f t="shared" si="21"/>
        <v>5.6666666666666664E-2</v>
      </c>
      <c r="K48" s="1"/>
      <c r="L48" s="1">
        <f t="shared" si="22"/>
        <v>-0.12000000000000455</v>
      </c>
      <c r="M48" s="1"/>
      <c r="N48" s="5">
        <f t="shared" si="23"/>
        <v>-7.0588235294120319E-4</v>
      </c>
      <c r="O48" s="14"/>
      <c r="P48" s="1">
        <f>SUM(OSRRefP22_3x_0)</f>
        <v>169.88</v>
      </c>
      <c r="Q48" s="1"/>
      <c r="R48" s="5">
        <f t="shared" si="24"/>
        <v>3.5042193788199769E-2</v>
      </c>
      <c r="S48" s="1"/>
      <c r="T48" s="1">
        <f>SUM(OSRRefT22_3x_0)</f>
        <v>170</v>
      </c>
      <c r="U48" s="1"/>
      <c r="V48" s="5">
        <f t="shared" si="25"/>
        <v>5.6666666666666664E-2</v>
      </c>
      <c r="W48" s="1"/>
      <c r="X48" s="1">
        <f t="shared" si="26"/>
        <v>-0.12000000000000455</v>
      </c>
      <c r="Y48" s="1"/>
      <c r="Z48" s="5">
        <f t="shared" si="27"/>
        <v>-7.0588235294120319E-4</v>
      </c>
    </row>
    <row r="49" spans="1:26" s="24" customFormat="1" hidden="1" outlineLevel="2" x14ac:dyDescent="0.25">
      <c r="A49" s="27"/>
      <c r="B49" s="12" t="str">
        <f>CONCATENATE("          ", "6322", " - ", "EQUIPMENT DEPRECIATION EXPENSE")</f>
        <v xml:space="preserve">          6322 - EQUIPMENT DEPRECIATION EXPENSE</v>
      </c>
      <c r="C49" s="12"/>
      <c r="D49" s="7">
        <v>169.88</v>
      </c>
      <c r="E49" s="3"/>
      <c r="F49" s="8">
        <f t="shared" si="20"/>
        <v>3.5042193788199769E-2</v>
      </c>
      <c r="G49" s="3"/>
      <c r="H49" s="7">
        <v>170</v>
      </c>
      <c r="I49" s="3"/>
      <c r="J49" s="8">
        <f t="shared" si="21"/>
        <v>5.6666666666666664E-2</v>
      </c>
      <c r="K49" s="3"/>
      <c r="L49" s="7">
        <f t="shared" si="22"/>
        <v>-0.12000000000000455</v>
      </c>
      <c r="M49" s="3"/>
      <c r="N49" s="8">
        <f t="shared" si="23"/>
        <v>-7.0588235294120319E-4</v>
      </c>
      <c r="O49" s="12"/>
      <c r="P49" s="7">
        <v>169.88</v>
      </c>
      <c r="Q49" s="3"/>
      <c r="R49" s="8">
        <f t="shared" si="24"/>
        <v>3.5042193788199769E-2</v>
      </c>
      <c r="S49" s="3"/>
      <c r="T49" s="7">
        <v>170</v>
      </c>
      <c r="U49" s="3"/>
      <c r="V49" s="8">
        <f t="shared" si="25"/>
        <v>5.6666666666666664E-2</v>
      </c>
      <c r="W49" s="3"/>
      <c r="X49" s="7">
        <f t="shared" si="26"/>
        <v>-0.12000000000000455</v>
      </c>
      <c r="Y49" s="3"/>
      <c r="Z49" s="8">
        <f t="shared" si="27"/>
        <v>-7.0588235294120319E-4</v>
      </c>
    </row>
    <row r="50" spans="1:26" s="29" customFormat="1" outlineLevel="1" collapsed="1" x14ac:dyDescent="0.25">
      <c r="A50" s="28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SUM(OSRRefD22_4x_0)</f>
        <v>0</v>
      </c>
      <c r="E50" s="1"/>
      <c r="F50" s="5">
        <f t="shared" si="20"/>
        <v>0</v>
      </c>
      <c r="G50" s="1"/>
      <c r="H50" s="1">
        <f>SUM(OSRRefH22_4x_0)</f>
        <v>50</v>
      </c>
      <c r="I50" s="1"/>
      <c r="J50" s="5">
        <f t="shared" si="21"/>
        <v>1.6666666666666666E-2</v>
      </c>
      <c r="K50" s="1"/>
      <c r="L50" s="1">
        <f t="shared" si="22"/>
        <v>-50</v>
      </c>
      <c r="M50" s="1"/>
      <c r="N50" s="5">
        <f t="shared" si="23"/>
        <v>-1</v>
      </c>
      <c r="O50" s="14"/>
      <c r="P50" s="1">
        <f>SUM(OSRRefP22_4x_0)</f>
        <v>0</v>
      </c>
      <c r="Q50" s="1"/>
      <c r="R50" s="5">
        <f t="shared" si="24"/>
        <v>0</v>
      </c>
      <c r="S50" s="1"/>
      <c r="T50" s="1">
        <f>SUM(OSRRefT22_4x_0)</f>
        <v>50</v>
      </c>
      <c r="U50" s="1"/>
      <c r="V50" s="5">
        <f t="shared" si="25"/>
        <v>1.6666666666666666E-2</v>
      </c>
      <c r="W50" s="1"/>
      <c r="X50" s="1">
        <f t="shared" si="26"/>
        <v>-50</v>
      </c>
      <c r="Y50" s="1"/>
      <c r="Z50" s="5">
        <f t="shared" si="27"/>
        <v>-1</v>
      </c>
    </row>
    <row r="51" spans="1:26" s="24" customFormat="1" hidden="1" outlineLevel="2" x14ac:dyDescent="0.25">
      <c r="A51" s="27"/>
      <c r="B51" s="12" t="str">
        <f>CONCATENATE("          ", "6382", " - ", "DISCOUNTS/MARK DOWNS")</f>
        <v xml:space="preserve">          6382 - DISCOUNTS/MARK DOWNS</v>
      </c>
      <c r="C51" s="12"/>
      <c r="D51" s="7"/>
      <c r="E51" s="3"/>
      <c r="F51" s="8">
        <f t="shared" si="20"/>
        <v>0</v>
      </c>
      <c r="G51" s="3"/>
      <c r="H51" s="7">
        <v>50</v>
      </c>
      <c r="I51" s="3"/>
      <c r="J51" s="8">
        <f t="shared" si="21"/>
        <v>1.6666666666666666E-2</v>
      </c>
      <c r="K51" s="3"/>
      <c r="L51" s="7">
        <f t="shared" si="22"/>
        <v>-50</v>
      </c>
      <c r="M51" s="3"/>
      <c r="N51" s="8">
        <f t="shared" si="23"/>
        <v>-1</v>
      </c>
      <c r="O51" s="12"/>
      <c r="P51" s="7"/>
      <c r="Q51" s="3"/>
      <c r="R51" s="8">
        <f t="shared" si="24"/>
        <v>0</v>
      </c>
      <c r="S51" s="3"/>
      <c r="T51" s="7">
        <v>50</v>
      </c>
      <c r="U51" s="3"/>
      <c r="V51" s="8">
        <f t="shared" si="25"/>
        <v>1.6666666666666666E-2</v>
      </c>
      <c r="W51" s="3"/>
      <c r="X51" s="7">
        <f t="shared" si="26"/>
        <v>-50</v>
      </c>
      <c r="Y51" s="3"/>
      <c r="Z51" s="8">
        <f t="shared" si="27"/>
        <v>-1</v>
      </c>
    </row>
    <row r="52" spans="1:26" s="29" customFormat="1" outlineLevel="1" collapsed="1" x14ac:dyDescent="0.25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SUM(OSRRefD22_5x_0)</f>
        <v>1205.6400000000001</v>
      </c>
      <c r="E52" s="1"/>
      <c r="F52" s="5">
        <f t="shared" si="20"/>
        <v>0.24869478760775354</v>
      </c>
      <c r="G52" s="1"/>
      <c r="H52" s="1">
        <f>SUM(OSRRefH22_5x_0)</f>
        <v>1206</v>
      </c>
      <c r="I52" s="1"/>
      <c r="J52" s="5">
        <f t="shared" si="21"/>
        <v>0.40200000000000002</v>
      </c>
      <c r="K52" s="1"/>
      <c r="L52" s="1">
        <f t="shared" si="22"/>
        <v>-0.35999999999989996</v>
      </c>
      <c r="M52" s="1"/>
      <c r="N52" s="5">
        <f t="shared" si="23"/>
        <v>-2.9850746268648423E-4</v>
      </c>
      <c r="O52" s="14"/>
      <c r="P52" s="1">
        <f>SUM(OSRRefP22_5x_0)</f>
        <v>1205.6400000000001</v>
      </c>
      <c r="Q52" s="1"/>
      <c r="R52" s="5">
        <f t="shared" si="24"/>
        <v>0.24869478760775354</v>
      </c>
      <c r="S52" s="1"/>
      <c r="T52" s="1">
        <f>SUM(OSRRefT22_5x_0)</f>
        <v>1206</v>
      </c>
      <c r="U52" s="1"/>
      <c r="V52" s="5">
        <f t="shared" si="25"/>
        <v>0.40200000000000002</v>
      </c>
      <c r="W52" s="1"/>
      <c r="X52" s="1">
        <f t="shared" si="26"/>
        <v>-0.35999999999989996</v>
      </c>
      <c r="Y52" s="1"/>
      <c r="Z52" s="5">
        <f t="shared" si="27"/>
        <v>-2.9850746268648423E-4</v>
      </c>
    </row>
    <row r="53" spans="1:26" s="24" customFormat="1" hidden="1" outlineLevel="2" x14ac:dyDescent="0.25">
      <c r="A53" s="27"/>
      <c r="B53" s="12" t="str">
        <f>CONCATENATE("          ", "6351", " - ", "EQUIPMENT RENTAL")</f>
        <v xml:space="preserve">          6351 - EQUIPMENT RENTAL</v>
      </c>
      <c r="C53" s="12"/>
      <c r="D53" s="7">
        <v>1205.6400000000001</v>
      </c>
      <c r="E53" s="3"/>
      <c r="F53" s="8">
        <f t="shared" si="20"/>
        <v>0.24869478760775354</v>
      </c>
      <c r="G53" s="3"/>
      <c r="H53" s="7">
        <v>1206</v>
      </c>
      <c r="I53" s="3"/>
      <c r="J53" s="8">
        <f t="shared" si="21"/>
        <v>0.40200000000000002</v>
      </c>
      <c r="K53" s="3"/>
      <c r="L53" s="7">
        <f t="shared" si="22"/>
        <v>-0.35999999999989996</v>
      </c>
      <c r="M53" s="3"/>
      <c r="N53" s="8">
        <f t="shared" si="23"/>
        <v>-2.9850746268648423E-4</v>
      </c>
      <c r="O53" s="12"/>
      <c r="P53" s="7">
        <v>1205.6400000000001</v>
      </c>
      <c r="Q53" s="3"/>
      <c r="R53" s="8">
        <f t="shared" si="24"/>
        <v>0.24869478760775354</v>
      </c>
      <c r="S53" s="3"/>
      <c r="T53" s="7">
        <v>1206</v>
      </c>
      <c r="U53" s="3"/>
      <c r="V53" s="8">
        <f t="shared" si="25"/>
        <v>0.40200000000000002</v>
      </c>
      <c r="W53" s="3"/>
      <c r="X53" s="7">
        <f t="shared" si="26"/>
        <v>-0.35999999999989996</v>
      </c>
      <c r="Y53" s="3"/>
      <c r="Z53" s="8">
        <f t="shared" si="27"/>
        <v>-2.9850746268648423E-4</v>
      </c>
    </row>
    <row r="54" spans="1:26" s="29" customFormat="1" outlineLevel="1" collapsed="1" x14ac:dyDescent="0.25">
      <c r="A54" s="28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SUM(OSRRefD22_6x_0)</f>
        <v>8744.76</v>
      </c>
      <c r="E54" s="1"/>
      <c r="F54" s="5">
        <f t="shared" si="20"/>
        <v>1.8038354988892029</v>
      </c>
      <c r="G54" s="1"/>
      <c r="H54" s="1">
        <f>SUM(OSRRefH22_6x_0)</f>
        <v>4500</v>
      </c>
      <c r="I54" s="1"/>
      <c r="J54" s="5">
        <f t="shared" si="21"/>
        <v>1.5</v>
      </c>
      <c r="K54" s="1"/>
      <c r="L54" s="1">
        <f t="shared" si="22"/>
        <v>4244.76</v>
      </c>
      <c r="M54" s="1"/>
      <c r="N54" s="5">
        <f t="shared" si="23"/>
        <v>0.94328000000000001</v>
      </c>
      <c r="O54" s="14"/>
      <c r="P54" s="1">
        <f>SUM(OSRRefP22_6x_0)</f>
        <v>8744.76</v>
      </c>
      <c r="Q54" s="1"/>
      <c r="R54" s="5">
        <f t="shared" si="24"/>
        <v>1.8038354988892029</v>
      </c>
      <c r="S54" s="1"/>
      <c r="T54" s="1">
        <f>SUM(OSRRefT22_6x_0)</f>
        <v>4500</v>
      </c>
      <c r="U54" s="1"/>
      <c r="V54" s="5">
        <f t="shared" si="25"/>
        <v>1.5</v>
      </c>
      <c r="W54" s="1"/>
      <c r="X54" s="1">
        <f t="shared" si="26"/>
        <v>4244.76</v>
      </c>
      <c r="Y54" s="1"/>
      <c r="Z54" s="5">
        <f t="shared" si="27"/>
        <v>0.94328000000000001</v>
      </c>
    </row>
    <row r="55" spans="1:26" s="24" customFormat="1" hidden="1" outlineLevel="2" x14ac:dyDescent="0.25">
      <c r="A55" s="27"/>
      <c r="B55" s="12" t="str">
        <f>CONCATENATE("          ", "6305", " - ", "FREIGHT OUT")</f>
        <v xml:space="preserve">          6305 - FREIGHT OUT</v>
      </c>
      <c r="C55" s="12"/>
      <c r="D55" s="7">
        <v>11905.2</v>
      </c>
      <c r="E55" s="3"/>
      <c r="F55" s="8">
        <f t="shared" si="20"/>
        <v>2.4557589209281603</v>
      </c>
      <c r="G55" s="3"/>
      <c r="H55" s="7">
        <v>1000</v>
      </c>
      <c r="I55" s="3"/>
      <c r="J55" s="8">
        <f t="shared" si="21"/>
        <v>0.33333333333333331</v>
      </c>
      <c r="K55" s="3"/>
      <c r="L55" s="7">
        <f t="shared" si="22"/>
        <v>10905.2</v>
      </c>
      <c r="M55" s="3"/>
      <c r="N55" s="8">
        <f t="shared" si="23"/>
        <v>10.905200000000001</v>
      </c>
      <c r="O55" s="12"/>
      <c r="P55" s="7">
        <v>11905.2</v>
      </c>
      <c r="Q55" s="3"/>
      <c r="R55" s="8">
        <f t="shared" si="24"/>
        <v>2.4557589209281603</v>
      </c>
      <c r="S55" s="3"/>
      <c r="T55" s="7">
        <v>1000</v>
      </c>
      <c r="U55" s="3"/>
      <c r="V55" s="8">
        <f t="shared" si="25"/>
        <v>0.33333333333333331</v>
      </c>
      <c r="W55" s="3"/>
      <c r="X55" s="7">
        <f t="shared" si="26"/>
        <v>10905.2</v>
      </c>
      <c r="Y55" s="3"/>
      <c r="Z55" s="8">
        <f t="shared" si="27"/>
        <v>10.905200000000001</v>
      </c>
    </row>
    <row r="56" spans="1:26" s="24" customFormat="1" hidden="1" outlineLevel="2" x14ac:dyDescent="0.25">
      <c r="A56" s="27"/>
      <c r="B56" s="12" t="str">
        <f>CONCATENATE("          ", "6307", " - ", "POSTAGE")</f>
        <v xml:space="preserve">          6307 - POSTAGE</v>
      </c>
      <c r="C56" s="12"/>
      <c r="D56" s="7">
        <v>-3160.44</v>
      </c>
      <c r="E56" s="3"/>
      <c r="F56" s="8">
        <f t="shared" si="20"/>
        <v>-0.65192342203895737</v>
      </c>
      <c r="G56" s="3"/>
      <c r="H56" s="7">
        <v>3500</v>
      </c>
      <c r="I56" s="3"/>
      <c r="J56" s="8">
        <f t="shared" si="21"/>
        <v>1.1666666666666667</v>
      </c>
      <c r="K56" s="3"/>
      <c r="L56" s="7">
        <f t="shared" si="22"/>
        <v>-6660.4400000000005</v>
      </c>
      <c r="M56" s="3"/>
      <c r="N56" s="8">
        <f t="shared" si="23"/>
        <v>-1.9029828571428573</v>
      </c>
      <c r="O56" s="12"/>
      <c r="P56" s="7">
        <v>-3160.44</v>
      </c>
      <c r="Q56" s="3"/>
      <c r="R56" s="8">
        <f t="shared" si="24"/>
        <v>-0.65192342203895737</v>
      </c>
      <c r="S56" s="3"/>
      <c r="T56" s="7">
        <v>3500</v>
      </c>
      <c r="U56" s="3"/>
      <c r="V56" s="8">
        <f t="shared" si="25"/>
        <v>1.1666666666666667</v>
      </c>
      <c r="W56" s="3"/>
      <c r="X56" s="7">
        <f t="shared" si="26"/>
        <v>-6660.4400000000005</v>
      </c>
      <c r="Y56" s="3"/>
      <c r="Z56" s="8">
        <f t="shared" si="27"/>
        <v>-1.9029828571428573</v>
      </c>
    </row>
    <row r="57" spans="1:26" s="29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SUM(OSRRefD22_7x_0)</f>
        <v>6378.1</v>
      </c>
      <c r="E57" s="1"/>
      <c r="F57" s="5">
        <f t="shared" ref="F57:F65" si="28">IF(D$12=0,0,D57/D$12)</f>
        <v>1.3156499658612959</v>
      </c>
      <c r="G57" s="1"/>
      <c r="H57" s="1">
        <f>SUM(OSRRefH22_7x_0)</f>
        <v>2500</v>
      </c>
      <c r="I57" s="1"/>
      <c r="J57" s="5">
        <f t="shared" ref="J57:J65" si="29">IF(H$12=0,0,H57/H$12)</f>
        <v>0.83333333333333337</v>
      </c>
      <c r="K57" s="1"/>
      <c r="L57" s="1">
        <f t="shared" ref="L57:L65" si="30">+D57-H57</f>
        <v>3878.1000000000004</v>
      </c>
      <c r="M57" s="1"/>
      <c r="N57" s="5">
        <f t="shared" ref="N57:N65" si="31">IF(H57=0,0,L57/H57)</f>
        <v>1.5512400000000002</v>
      </c>
      <c r="O57" s="14"/>
      <c r="P57" s="1">
        <f>SUM(OSRRefP22_7x_0)</f>
        <v>6378.1</v>
      </c>
      <c r="Q57" s="1"/>
      <c r="R57" s="5">
        <f t="shared" ref="R57:R65" si="32">IF(P$12=0,0,P57/P$12)</f>
        <v>1.3156499658612959</v>
      </c>
      <c r="S57" s="1"/>
      <c r="T57" s="1">
        <f>SUM(OSRRefT22_7x_0)</f>
        <v>2500</v>
      </c>
      <c r="U57" s="1"/>
      <c r="V57" s="5">
        <f t="shared" ref="V57:V65" si="33">IF(T$12=0,0,T57/T$12)</f>
        <v>0.83333333333333337</v>
      </c>
      <c r="W57" s="1"/>
      <c r="X57" s="1">
        <f t="shared" ref="X57:X65" si="34">+P57-T57</f>
        <v>3878.1000000000004</v>
      </c>
      <c r="Y57" s="1"/>
      <c r="Z57" s="5">
        <f t="shared" ref="Z57:Z65" si="35">IF(T57=0,0,X57/T57)</f>
        <v>1.5512400000000002</v>
      </c>
    </row>
    <row r="58" spans="1:26" s="24" customFormat="1" hidden="1" outlineLevel="2" x14ac:dyDescent="0.25">
      <c r="A58" s="27"/>
      <c r="B58" s="12" t="str">
        <f>CONCATENATE("          ", "6373", " - ", "MAINTENANCE CONTRACTS")</f>
        <v xml:space="preserve">          6373 - MAINTENANCE CONTRACTS</v>
      </c>
      <c r="C58" s="12"/>
      <c r="D58" s="7">
        <v>6378.1</v>
      </c>
      <c r="E58" s="3"/>
      <c r="F58" s="8">
        <f t="shared" si="28"/>
        <v>1.3156499658612959</v>
      </c>
      <c r="G58" s="3"/>
      <c r="H58" s="7">
        <v>2500</v>
      </c>
      <c r="I58" s="3"/>
      <c r="J58" s="8">
        <f t="shared" si="29"/>
        <v>0.83333333333333337</v>
      </c>
      <c r="K58" s="3"/>
      <c r="L58" s="7">
        <f t="shared" si="30"/>
        <v>3878.1000000000004</v>
      </c>
      <c r="M58" s="3"/>
      <c r="N58" s="8">
        <f t="shared" si="31"/>
        <v>1.5512400000000002</v>
      </c>
      <c r="O58" s="12"/>
      <c r="P58" s="7">
        <v>6378.1</v>
      </c>
      <c r="Q58" s="3"/>
      <c r="R58" s="8">
        <f t="shared" si="32"/>
        <v>1.3156499658612959</v>
      </c>
      <c r="S58" s="3"/>
      <c r="T58" s="7">
        <v>2500</v>
      </c>
      <c r="U58" s="3"/>
      <c r="V58" s="8">
        <f t="shared" si="33"/>
        <v>0.83333333333333337</v>
      </c>
      <c r="W58" s="3"/>
      <c r="X58" s="7">
        <f t="shared" si="34"/>
        <v>3878.1000000000004</v>
      </c>
      <c r="Y58" s="3"/>
      <c r="Z58" s="8">
        <f t="shared" si="35"/>
        <v>1.5512400000000002</v>
      </c>
    </row>
    <row r="59" spans="1:26" s="29" customFormat="1" outlineLevel="1" collapsed="1" x14ac:dyDescent="0.25">
      <c r="A59" s="28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SUM(OSRRefD22_8x_0)</f>
        <v>5317.55</v>
      </c>
      <c r="E59" s="1"/>
      <c r="F59" s="5">
        <f t="shared" si="28"/>
        <v>1.0968837860751217</v>
      </c>
      <c r="G59" s="1"/>
      <c r="H59" s="1">
        <f>SUM(OSRRefH22_8x_0)</f>
        <v>150</v>
      </c>
      <c r="I59" s="1"/>
      <c r="J59" s="5">
        <f t="shared" si="29"/>
        <v>0.05</v>
      </c>
      <c r="K59" s="1"/>
      <c r="L59" s="1">
        <f t="shared" si="30"/>
        <v>5167.55</v>
      </c>
      <c r="M59" s="1"/>
      <c r="N59" s="5">
        <f t="shared" si="31"/>
        <v>34.450333333333333</v>
      </c>
      <c r="O59" s="14"/>
      <c r="P59" s="1">
        <f>SUM(OSRRefP22_8x_0)</f>
        <v>5317.55</v>
      </c>
      <c r="Q59" s="1"/>
      <c r="R59" s="5">
        <f t="shared" si="32"/>
        <v>1.0968837860751217</v>
      </c>
      <c r="S59" s="1"/>
      <c r="T59" s="1">
        <f>SUM(OSRRefT22_8x_0)</f>
        <v>150</v>
      </c>
      <c r="U59" s="1"/>
      <c r="V59" s="5">
        <f t="shared" si="33"/>
        <v>0.05</v>
      </c>
      <c r="W59" s="1"/>
      <c r="X59" s="1">
        <f t="shared" si="34"/>
        <v>5167.55</v>
      </c>
      <c r="Y59" s="1"/>
      <c r="Z59" s="5">
        <f t="shared" si="35"/>
        <v>34.450333333333333</v>
      </c>
    </row>
    <row r="60" spans="1:26" s="24" customFormat="1" hidden="1" outlineLevel="2" x14ac:dyDescent="0.25">
      <c r="A60" s="27"/>
      <c r="B60" s="12" t="str">
        <f>CONCATENATE("          ", "6259", " - ", "ROYALTY &amp; COMMISSIONS")</f>
        <v xml:space="preserve">          6259 - ROYALTY &amp; COMMISSIONS</v>
      </c>
      <c r="C60" s="12"/>
      <c r="D60" s="7">
        <v>5317.55</v>
      </c>
      <c r="E60" s="3"/>
      <c r="F60" s="8">
        <f t="shared" si="28"/>
        <v>1.0968837860751217</v>
      </c>
      <c r="G60" s="3"/>
      <c r="H60" s="7">
        <v>150</v>
      </c>
      <c r="I60" s="3"/>
      <c r="J60" s="8">
        <f t="shared" si="29"/>
        <v>0.05</v>
      </c>
      <c r="K60" s="3"/>
      <c r="L60" s="7">
        <f t="shared" si="30"/>
        <v>5167.55</v>
      </c>
      <c r="M60" s="3"/>
      <c r="N60" s="8">
        <f t="shared" si="31"/>
        <v>34.450333333333333</v>
      </c>
      <c r="O60" s="12"/>
      <c r="P60" s="7">
        <v>5317.55</v>
      </c>
      <c r="Q60" s="3"/>
      <c r="R60" s="8">
        <f t="shared" si="32"/>
        <v>1.0968837860751217</v>
      </c>
      <c r="S60" s="3"/>
      <c r="T60" s="7">
        <v>150</v>
      </c>
      <c r="U60" s="3"/>
      <c r="V60" s="8">
        <f t="shared" si="33"/>
        <v>0.05</v>
      </c>
      <c r="W60" s="3"/>
      <c r="X60" s="7">
        <f t="shared" si="34"/>
        <v>5167.55</v>
      </c>
      <c r="Y60" s="3"/>
      <c r="Z60" s="8">
        <f t="shared" si="35"/>
        <v>34.450333333333333</v>
      </c>
    </row>
    <row r="61" spans="1:26" s="29" customFormat="1" outlineLevel="1" collapsed="1" x14ac:dyDescent="0.25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SUM(OSRRefD22_9x_0)</f>
        <v>4147.8</v>
      </c>
      <c r="E61" s="1"/>
      <c r="F61" s="5">
        <f t="shared" si="28"/>
        <v>0.85559224979217685</v>
      </c>
      <c r="G61" s="1"/>
      <c r="H61" s="1">
        <f>SUM(OSRRefH22_9x_0)</f>
        <v>950</v>
      </c>
      <c r="I61" s="1"/>
      <c r="J61" s="5">
        <f t="shared" si="29"/>
        <v>0.31666666666666665</v>
      </c>
      <c r="K61" s="1"/>
      <c r="L61" s="1">
        <f t="shared" si="30"/>
        <v>3197.8</v>
      </c>
      <c r="M61" s="1"/>
      <c r="N61" s="5">
        <f t="shared" si="31"/>
        <v>3.3661052631578947</v>
      </c>
      <c r="O61" s="14"/>
      <c r="P61" s="1">
        <f>SUM(OSRRefP22_9x_0)</f>
        <v>4147.8</v>
      </c>
      <c r="Q61" s="1"/>
      <c r="R61" s="5">
        <f t="shared" si="32"/>
        <v>0.85559224979217685</v>
      </c>
      <c r="S61" s="1"/>
      <c r="T61" s="1">
        <f>SUM(OSRRefT22_9x_0)</f>
        <v>950</v>
      </c>
      <c r="U61" s="1"/>
      <c r="V61" s="5">
        <f t="shared" si="33"/>
        <v>0.31666666666666665</v>
      </c>
      <c r="W61" s="1"/>
      <c r="X61" s="1">
        <f t="shared" si="34"/>
        <v>3197.8</v>
      </c>
      <c r="Y61" s="1"/>
      <c r="Z61" s="5">
        <f t="shared" si="35"/>
        <v>3.3661052631578947</v>
      </c>
    </row>
    <row r="62" spans="1:26" s="24" customFormat="1" hidden="1" outlineLevel="2" x14ac:dyDescent="0.25">
      <c r="A62" s="27"/>
      <c r="B62" s="12" t="str">
        <f>CONCATENATE("          ", "6235", " - ", "COVID-19 EXPENSES")</f>
        <v xml:space="preserve">          6235 - COVID-19 EXPENSES</v>
      </c>
      <c r="C62" s="12"/>
      <c r="D62" s="7">
        <v>310.91000000000003</v>
      </c>
      <c r="E62" s="3"/>
      <c r="F62" s="8">
        <f t="shared" si="28"/>
        <v>6.4133320406694075E-2</v>
      </c>
      <c r="G62" s="3"/>
      <c r="H62" s="7"/>
      <c r="I62" s="3"/>
      <c r="J62" s="8">
        <f t="shared" si="29"/>
        <v>0</v>
      </c>
      <c r="K62" s="3"/>
      <c r="L62" s="7">
        <f t="shared" si="30"/>
        <v>310.91000000000003</v>
      </c>
      <c r="M62" s="3"/>
      <c r="N62" s="8">
        <f t="shared" si="31"/>
        <v>0</v>
      </c>
      <c r="O62" s="12"/>
      <c r="P62" s="7">
        <v>310.91000000000003</v>
      </c>
      <c r="Q62" s="3"/>
      <c r="R62" s="8">
        <f t="shared" si="32"/>
        <v>6.4133320406694075E-2</v>
      </c>
      <c r="S62" s="3"/>
      <c r="T62" s="7"/>
      <c r="U62" s="3"/>
      <c r="V62" s="8">
        <f t="shared" si="33"/>
        <v>0</v>
      </c>
      <c r="W62" s="3"/>
      <c r="X62" s="7">
        <f t="shared" si="34"/>
        <v>310.91000000000003</v>
      </c>
      <c r="Y62" s="3"/>
      <c r="Z62" s="8">
        <f t="shared" si="35"/>
        <v>0</v>
      </c>
    </row>
    <row r="63" spans="1:26" s="24" customFormat="1" hidden="1" outlineLevel="2" x14ac:dyDescent="0.25">
      <c r="A63" s="27"/>
      <c r="B63" s="12" t="str">
        <f>CONCATENATE("          ", "6243", " - ", "PAPER SUPPLIES")</f>
        <v xml:space="preserve">          6243 - PAPER SUPPLIES</v>
      </c>
      <c r="C63" s="12"/>
      <c r="D63" s="7">
        <v>1080</v>
      </c>
      <c r="E63" s="3"/>
      <c r="F63" s="8">
        <f t="shared" si="28"/>
        <v>0.22277825106696345</v>
      </c>
      <c r="G63" s="3"/>
      <c r="H63" s="7">
        <v>700</v>
      </c>
      <c r="I63" s="3"/>
      <c r="J63" s="8">
        <f t="shared" si="29"/>
        <v>0.23333333333333334</v>
      </c>
      <c r="K63" s="3"/>
      <c r="L63" s="7">
        <f t="shared" si="30"/>
        <v>380</v>
      </c>
      <c r="M63" s="3"/>
      <c r="N63" s="8">
        <f t="shared" si="31"/>
        <v>0.54285714285714282</v>
      </c>
      <c r="O63" s="12"/>
      <c r="P63" s="7">
        <v>1080</v>
      </c>
      <c r="Q63" s="3"/>
      <c r="R63" s="8">
        <f t="shared" si="32"/>
        <v>0.22277825106696345</v>
      </c>
      <c r="S63" s="3"/>
      <c r="T63" s="7">
        <v>700</v>
      </c>
      <c r="U63" s="3"/>
      <c r="V63" s="8">
        <f t="shared" si="33"/>
        <v>0.23333333333333334</v>
      </c>
      <c r="W63" s="3"/>
      <c r="X63" s="7">
        <f t="shared" si="34"/>
        <v>380</v>
      </c>
      <c r="Y63" s="3"/>
      <c r="Z63" s="8">
        <f t="shared" si="35"/>
        <v>0.54285714285714282</v>
      </c>
    </row>
    <row r="64" spans="1:26" s="24" customFormat="1" hidden="1" outlineLevel="2" x14ac:dyDescent="0.25">
      <c r="A64" s="27"/>
      <c r="B64" s="12" t="str">
        <f>CONCATENATE("          ", "6245", " - ", "PRINTING")</f>
        <v xml:space="preserve">          6245 - PRINTING</v>
      </c>
      <c r="C64" s="12"/>
      <c r="D64" s="7">
        <v>-1543.5</v>
      </c>
      <c r="E64" s="3"/>
      <c r="F64" s="8">
        <f t="shared" si="28"/>
        <v>-0.31838725048320193</v>
      </c>
      <c r="G64" s="3"/>
      <c r="H64" s="7">
        <v>200</v>
      </c>
      <c r="I64" s="3"/>
      <c r="J64" s="8">
        <f t="shared" si="29"/>
        <v>6.6666666666666666E-2</v>
      </c>
      <c r="K64" s="3"/>
      <c r="L64" s="7">
        <f t="shared" si="30"/>
        <v>-1743.5</v>
      </c>
      <c r="M64" s="3"/>
      <c r="N64" s="8">
        <f t="shared" si="31"/>
        <v>-8.7174999999999994</v>
      </c>
      <c r="O64" s="12"/>
      <c r="P64" s="7">
        <v>-1543.5</v>
      </c>
      <c r="Q64" s="3"/>
      <c r="R64" s="8">
        <f t="shared" si="32"/>
        <v>-0.31838725048320193</v>
      </c>
      <c r="S64" s="3"/>
      <c r="T64" s="7">
        <v>200</v>
      </c>
      <c r="U64" s="3"/>
      <c r="V64" s="8">
        <f t="shared" si="33"/>
        <v>6.6666666666666666E-2</v>
      </c>
      <c r="W64" s="3"/>
      <c r="X64" s="7">
        <f t="shared" si="34"/>
        <v>-1743.5</v>
      </c>
      <c r="Y64" s="3"/>
      <c r="Z64" s="8">
        <f t="shared" si="35"/>
        <v>-8.7174999999999994</v>
      </c>
    </row>
    <row r="65" spans="1:26" s="24" customFormat="1" hidden="1" outlineLevel="2" x14ac:dyDescent="0.25">
      <c r="A65" s="27"/>
      <c r="B65" s="12" t="str">
        <f>CONCATENATE("          ", "6247", " - ", "STORE SUPPLIES")</f>
        <v xml:space="preserve">          6247 - STORE SUPPLIES</v>
      </c>
      <c r="C65" s="12"/>
      <c r="D65" s="7">
        <v>4300.3900000000003</v>
      </c>
      <c r="E65" s="3"/>
      <c r="F65" s="8">
        <f t="shared" si="28"/>
        <v>0.88706792880172125</v>
      </c>
      <c r="G65" s="3"/>
      <c r="H65" s="7">
        <v>50</v>
      </c>
      <c r="I65" s="3"/>
      <c r="J65" s="8">
        <f t="shared" si="29"/>
        <v>1.6666666666666666E-2</v>
      </c>
      <c r="K65" s="3"/>
      <c r="L65" s="7">
        <f t="shared" si="30"/>
        <v>4250.3900000000003</v>
      </c>
      <c r="M65" s="3"/>
      <c r="N65" s="8">
        <f t="shared" si="31"/>
        <v>85.007800000000003</v>
      </c>
      <c r="O65" s="12"/>
      <c r="P65" s="7">
        <v>4300.3900000000003</v>
      </c>
      <c r="Q65" s="3"/>
      <c r="R65" s="8">
        <f t="shared" si="32"/>
        <v>0.88706792880172125</v>
      </c>
      <c r="S65" s="3"/>
      <c r="T65" s="7">
        <v>50</v>
      </c>
      <c r="U65" s="3"/>
      <c r="V65" s="8">
        <f t="shared" si="33"/>
        <v>1.6666666666666666E-2</v>
      </c>
      <c r="W65" s="3"/>
      <c r="X65" s="7">
        <f t="shared" si="34"/>
        <v>4250.3900000000003</v>
      </c>
      <c r="Y65" s="3"/>
      <c r="Z65" s="8">
        <f t="shared" si="35"/>
        <v>85.007800000000003</v>
      </c>
    </row>
    <row r="66" spans="1:26" s="29" customFormat="1" outlineLevel="1" collapsed="1" x14ac:dyDescent="0.25">
      <c r="A66" s="28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SUM(OSRRefD22_10x_0)</f>
        <v>200</v>
      </c>
      <c r="E66" s="1"/>
      <c r="F66" s="5">
        <f t="shared" ref="F66:F67" si="36">IF(D$12=0,0,D66/D$12)</f>
        <v>4.1255231679067306E-2</v>
      </c>
      <c r="G66" s="1"/>
      <c r="H66" s="1">
        <f>SUM(OSRRefH22_10x_0)</f>
        <v>165</v>
      </c>
      <c r="I66" s="1"/>
      <c r="J66" s="5">
        <f t="shared" ref="J66:J67" si="37">IF(H$12=0,0,H66/H$12)</f>
        <v>5.5E-2</v>
      </c>
      <c r="K66" s="1"/>
      <c r="L66" s="1">
        <f t="shared" ref="L66:L67" si="38">+D66-H66</f>
        <v>35</v>
      </c>
      <c r="M66" s="1"/>
      <c r="N66" s="5">
        <f t="shared" ref="N66:N67" si="39">IF(H66=0,0,L66/H66)</f>
        <v>0.21212121212121213</v>
      </c>
      <c r="O66" s="14"/>
      <c r="P66" s="1">
        <f>SUM(OSRRefP22_10x_0)</f>
        <v>200</v>
      </c>
      <c r="Q66" s="1"/>
      <c r="R66" s="5">
        <f t="shared" ref="R66:R67" si="40">IF(P$12=0,0,P66/P$12)</f>
        <v>4.1255231679067306E-2</v>
      </c>
      <c r="S66" s="1"/>
      <c r="T66" s="1">
        <f>SUM(OSRRefT22_10x_0)</f>
        <v>165</v>
      </c>
      <c r="U66" s="1"/>
      <c r="V66" s="5">
        <f t="shared" ref="V66:V67" si="41">IF(T$12=0,0,T66/T$12)</f>
        <v>5.5E-2</v>
      </c>
      <c r="W66" s="1"/>
      <c r="X66" s="1">
        <f t="shared" ref="X66:X67" si="42">+P66-T66</f>
        <v>35</v>
      </c>
      <c r="Y66" s="1"/>
      <c r="Z66" s="5">
        <f t="shared" ref="Z66:Z67" si="43">IF(T66=0,0,X66/T66)</f>
        <v>0.21212121212121213</v>
      </c>
    </row>
    <row r="67" spans="1:26" s="24" customFormat="1" hidden="1" outlineLevel="2" x14ac:dyDescent="0.25">
      <c r="A67" s="27"/>
      <c r="B67" s="12" t="str">
        <f>CONCATENATE("          ", "6309", " - ", "TELEPHONE")</f>
        <v xml:space="preserve">          6309 - TELEPHONE</v>
      </c>
      <c r="C67" s="12"/>
      <c r="D67" s="7">
        <v>200</v>
      </c>
      <c r="E67" s="3"/>
      <c r="F67" s="8">
        <f t="shared" si="36"/>
        <v>4.1255231679067306E-2</v>
      </c>
      <c r="G67" s="3"/>
      <c r="H67" s="7">
        <v>165</v>
      </c>
      <c r="I67" s="3"/>
      <c r="J67" s="8">
        <f t="shared" si="37"/>
        <v>5.5E-2</v>
      </c>
      <c r="K67" s="3"/>
      <c r="L67" s="7">
        <f t="shared" si="38"/>
        <v>35</v>
      </c>
      <c r="M67" s="3"/>
      <c r="N67" s="8">
        <f t="shared" si="39"/>
        <v>0.21212121212121213</v>
      </c>
      <c r="O67" s="12"/>
      <c r="P67" s="7">
        <v>200</v>
      </c>
      <c r="Q67" s="3"/>
      <c r="R67" s="8">
        <f t="shared" si="40"/>
        <v>4.1255231679067306E-2</v>
      </c>
      <c r="S67" s="3"/>
      <c r="T67" s="7">
        <v>165</v>
      </c>
      <c r="U67" s="3"/>
      <c r="V67" s="8">
        <f t="shared" si="41"/>
        <v>5.5E-2</v>
      </c>
      <c r="W67" s="3"/>
      <c r="X67" s="7">
        <f t="shared" si="42"/>
        <v>35</v>
      </c>
      <c r="Y67" s="3"/>
      <c r="Z67" s="8">
        <f t="shared" si="43"/>
        <v>0.21212121212121213</v>
      </c>
    </row>
    <row r="68" spans="1:26" s="54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2" customFormat="1" collapsed="1" x14ac:dyDescent="0.25">
      <c r="A69" s="10"/>
      <c r="B69" s="26" t="s">
        <v>0</v>
      </c>
      <c r="C69" s="10"/>
      <c r="D69" s="4">
        <f>SUM(OSRRefD25x_0)</f>
        <v>6782</v>
      </c>
      <c r="E69" s="4"/>
      <c r="F69" s="11">
        <f t="shared" ref="F69:F70" si="44">IF(D$12=0,0,D69/D$12)</f>
        <v>1.3989649062371723</v>
      </c>
      <c r="G69" s="4"/>
      <c r="H69" s="4">
        <f>SUM(OSRRefH25x_0)</f>
        <v>6875</v>
      </c>
      <c r="I69" s="4"/>
      <c r="J69" s="11">
        <f t="shared" ref="J69:J70" si="45">IF(H$12=0,0,H69/H$12)</f>
        <v>2.2916666666666665</v>
      </c>
      <c r="K69" s="4"/>
      <c r="L69" s="4">
        <f t="shared" ref="L69:L70" si="46">+D69-H69</f>
        <v>-93</v>
      </c>
      <c r="M69" s="4"/>
      <c r="N69" s="11">
        <f t="shared" ref="N69:N70" si="47">IF(H69=0,0,L69/H69)</f>
        <v>-1.3527272727272728E-2</v>
      </c>
      <c r="O69" s="10"/>
      <c r="P69" s="4">
        <f>SUM(OSRRefP25x_0)</f>
        <v>6782</v>
      </c>
      <c r="Q69" s="4"/>
      <c r="R69" s="11">
        <f t="shared" ref="R69:R70" si="48">IF(P$12=0,0,P69/P$12)</f>
        <v>1.3989649062371723</v>
      </c>
      <c r="S69" s="4"/>
      <c r="T69" s="4">
        <f>SUM(OSRRefT25x_0)</f>
        <v>6875</v>
      </c>
      <c r="U69" s="4"/>
      <c r="V69" s="11">
        <f t="shared" ref="V69:V70" si="49">IF(T$12=0,0,T69/T$12)</f>
        <v>2.2916666666666665</v>
      </c>
      <c r="W69" s="4"/>
      <c r="X69" s="4">
        <f t="shared" ref="X69:X70" si="50">+P69-T69</f>
        <v>-93</v>
      </c>
      <c r="Y69" s="4"/>
      <c r="Z69" s="11">
        <f t="shared" ref="Z69:Z70" si="51">IF(T69=0,0,X69/T69)</f>
        <v>-1.3527272727272728E-2</v>
      </c>
    </row>
    <row r="70" spans="1:26" s="24" customFormat="1" hidden="1" outlineLevel="1" x14ac:dyDescent="0.25">
      <c r="A70" s="51"/>
      <c r="B70" s="12" t="str">
        <f>CONCATENATE("          ", "9150", " - ", "MISC. INCOME")</f>
        <v xml:space="preserve">          9150 - MISC. INCOME</v>
      </c>
      <c r="C70" s="12"/>
      <c r="D70" s="3">
        <f>--6782</f>
        <v>6782</v>
      </c>
      <c r="E70" s="3"/>
      <c r="F70" s="23">
        <f t="shared" si="44"/>
        <v>1.3989649062371723</v>
      </c>
      <c r="G70" s="3"/>
      <c r="H70" s="3">
        <v>6875</v>
      </c>
      <c r="I70" s="3"/>
      <c r="J70" s="23">
        <f t="shared" si="45"/>
        <v>2.2916666666666665</v>
      </c>
      <c r="K70" s="3"/>
      <c r="L70" s="3">
        <f t="shared" si="46"/>
        <v>-93</v>
      </c>
      <c r="M70" s="3"/>
      <c r="N70" s="23">
        <f t="shared" si="47"/>
        <v>-1.3527272727272728E-2</v>
      </c>
      <c r="O70" s="12"/>
      <c r="P70" s="3">
        <f>--6782</f>
        <v>6782</v>
      </c>
      <c r="Q70" s="3"/>
      <c r="R70" s="23">
        <f t="shared" si="48"/>
        <v>1.3989649062371723</v>
      </c>
      <c r="S70" s="3"/>
      <c r="T70" s="3">
        <v>6875</v>
      </c>
      <c r="U70" s="3"/>
      <c r="V70" s="23">
        <f t="shared" si="49"/>
        <v>2.2916666666666665</v>
      </c>
      <c r="W70" s="3"/>
      <c r="X70" s="3">
        <f t="shared" si="50"/>
        <v>-93</v>
      </c>
      <c r="Y70" s="3"/>
      <c r="Z70" s="23">
        <f t="shared" si="51"/>
        <v>-1.3527272727272728E-2</v>
      </c>
    </row>
    <row r="71" spans="1:26" x14ac:dyDescent="0.25">
      <c r="A71" s="9"/>
      <c r="B71" s="10"/>
      <c r="C71" s="10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10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2" customFormat="1" x14ac:dyDescent="0.25">
      <c r="A72" s="10"/>
      <c r="B72" s="25" t="s">
        <v>3</v>
      </c>
      <c r="C72" s="25"/>
      <c r="D72" s="21">
        <f>+D22-D24+D69</f>
        <v>-37524.080000000002</v>
      </c>
      <c r="E72" s="13"/>
      <c r="F72" s="20">
        <f>IF(D$12=0,0,D72/D$12)</f>
        <v>-7.7403230697192793</v>
      </c>
      <c r="G72" s="13"/>
      <c r="H72" s="21">
        <f>+H22-H24+H69</f>
        <v>-20005.519276240404</v>
      </c>
      <c r="I72" s="13"/>
      <c r="J72" s="20">
        <f>IF(H$12=0,0,H72/H$12)</f>
        <v>-6.6685064254134678</v>
      </c>
      <c r="K72" s="15"/>
      <c r="L72" s="21">
        <f>+D72-H72</f>
        <v>-17518.560723759598</v>
      </c>
      <c r="M72" s="15"/>
      <c r="N72" s="20">
        <f>IF(H72=0,0,L72/H72)</f>
        <v>0.87568637843685226</v>
      </c>
      <c r="O72" s="26"/>
      <c r="P72" s="21">
        <f>+P22-P24+P69</f>
        <v>-37524.080000000002</v>
      </c>
      <c r="Q72" s="13"/>
      <c r="R72" s="20">
        <f>IF(P$12=0,0,P72/P$12)</f>
        <v>-7.7403230697192793</v>
      </c>
      <c r="S72" s="13"/>
      <c r="T72" s="21">
        <f>+T22-T24+T69</f>
        <v>-20005.519276240404</v>
      </c>
      <c r="U72" s="13"/>
      <c r="V72" s="20">
        <f>IF(T$12=0,0,T72/T$12)</f>
        <v>-6.6685064254134678</v>
      </c>
      <c r="W72" s="15"/>
      <c r="X72" s="21">
        <f>+P72-T72</f>
        <v>-17518.560723759598</v>
      </c>
      <c r="Y72" s="15"/>
      <c r="Z72" s="20">
        <f>IF(T72=0,0,X72/T72)</f>
        <v>0.87568637843685226</v>
      </c>
    </row>
    <row r="73" spans="1:26" x14ac:dyDescent="0.25">
      <c r="A73" s="9"/>
      <c r="B73" s="10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2" customFormat="1" x14ac:dyDescent="0.25">
      <c r="A74" s="52"/>
      <c r="B74" s="10" t="s">
        <v>14</v>
      </c>
      <c r="C74" s="10"/>
      <c r="D74" s="4">
        <v>2331.5700000000002</v>
      </c>
      <c r="E74" s="4"/>
      <c r="F74" s="11">
        <f>IF(D$12=0,0,D74/D$12)</f>
        <v>0.48094730262981478</v>
      </c>
      <c r="G74" s="4"/>
      <c r="H74" s="4">
        <v>1457</v>
      </c>
      <c r="I74" s="4"/>
      <c r="J74" s="11">
        <f>IF(H$12=0,0,H74/H$12)</f>
        <v>0.48566666666666669</v>
      </c>
      <c r="K74" s="4"/>
      <c r="L74" s="4">
        <f>+D74-H74</f>
        <v>874.57000000000016</v>
      </c>
      <c r="M74" s="4"/>
      <c r="N74" s="11">
        <f>IF(H74=0,0,L74/H74)</f>
        <v>0.6002539464653398</v>
      </c>
      <c r="O74" s="10"/>
      <c r="P74" s="4">
        <v>2331.5700000000002</v>
      </c>
      <c r="Q74" s="4"/>
      <c r="R74" s="11">
        <f>IF(P$12=0,0,P74/P$12)</f>
        <v>0.48094730262981478</v>
      </c>
      <c r="S74" s="4"/>
      <c r="T74" s="4">
        <v>1457</v>
      </c>
      <c r="U74" s="4"/>
      <c r="V74" s="11">
        <f>IF(T$12=0,0,T74/T$12)</f>
        <v>0.48566666666666669</v>
      </c>
      <c r="W74" s="4"/>
      <c r="X74" s="4">
        <f>+P74-T74</f>
        <v>874.57000000000016</v>
      </c>
      <c r="Y74" s="4"/>
      <c r="Z74" s="11">
        <f>IF(T74=0,0,X74/T74)</f>
        <v>0.6002539464653398</v>
      </c>
    </row>
    <row r="75" spans="1:26" x14ac:dyDescent="0.25">
      <c r="A75" s="9"/>
      <c r="B75" s="10"/>
      <c r="C75" s="10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10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2" customFormat="1" ht="15.75" thickBot="1" x14ac:dyDescent="0.3">
      <c r="A76" s="10"/>
      <c r="B76" s="25" t="s">
        <v>4</v>
      </c>
      <c r="C76" s="25"/>
      <c r="D76" s="34">
        <f>+D72-D74</f>
        <v>-39855.65</v>
      </c>
      <c r="E76" s="13"/>
      <c r="F76" s="30">
        <f>IF(D$12=0,0,D76/D$12)</f>
        <v>-8.2212703723490943</v>
      </c>
      <c r="G76" s="13"/>
      <c r="H76" s="34">
        <f>+H72-H74</f>
        <v>-21462.519276240404</v>
      </c>
      <c r="I76" s="13"/>
      <c r="J76" s="30">
        <f>IF(H$12=0,0,H76/H$12)</f>
        <v>-7.1541730920801347</v>
      </c>
      <c r="K76" s="15"/>
      <c r="L76" s="34">
        <f>D76-H76</f>
        <v>-18393.130723759597</v>
      </c>
      <c r="M76" s="15"/>
      <c r="N76" s="30">
        <f>IF(H76=0,0,L76/H76)</f>
        <v>0.85698843118204193</v>
      </c>
      <c r="O76" s="26"/>
      <c r="P76" s="34">
        <f>+P72-P74</f>
        <v>-39855.65</v>
      </c>
      <c r="Q76" s="13"/>
      <c r="R76" s="30">
        <f>IF(P$12=0,0,P76/P$12)</f>
        <v>-8.2212703723490943</v>
      </c>
      <c r="S76" s="13"/>
      <c r="T76" s="34">
        <f>+T72-T74</f>
        <v>-21462.519276240404</v>
      </c>
      <c r="U76" s="13"/>
      <c r="V76" s="30">
        <f>IF(T$12=0,0,T76/T$12)</f>
        <v>-7.1541730920801347</v>
      </c>
      <c r="W76" s="15"/>
      <c r="X76" s="34">
        <f>P76-T76</f>
        <v>-18393.130723759597</v>
      </c>
      <c r="Y76" s="15"/>
      <c r="Z76" s="30">
        <f>IF(T76=0,0,X76/T76)</f>
        <v>0.85698843118204193</v>
      </c>
    </row>
    <row r="77" spans="1:26" ht="15.75" thickTop="1" x14ac:dyDescent="0.25">
      <c r="A77" s="9"/>
      <c r="B77" s="9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x14ac:dyDescent="0.25">
      <c r="A78" s="9"/>
      <c r="B78" s="9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2" customFormat="1" ht="15.75" thickBot="1" x14ac:dyDescent="0.3">
      <c r="A79" s="10"/>
      <c r="B79" s="25" t="s">
        <v>5</v>
      </c>
      <c r="C79" s="25"/>
      <c r="D79" s="32">
        <f>SUM(D76:D78)</f>
        <v>-39855.65</v>
      </c>
      <c r="E79" s="13"/>
      <c r="F79" s="33">
        <f>IF(D$12=0,0,D79/D$12)</f>
        <v>-8.2212703723490943</v>
      </c>
      <c r="G79" s="13"/>
      <c r="H79" s="32">
        <f>SUM(H76:H78)</f>
        <v>-21462.519276240404</v>
      </c>
      <c r="I79" s="13"/>
      <c r="J79" s="33">
        <f>IF(H$12=0,0,H79/H$12)</f>
        <v>-7.1541730920801347</v>
      </c>
      <c r="K79" s="15"/>
      <c r="L79" s="32">
        <f>+D79-H79</f>
        <v>-18393.130723759597</v>
      </c>
      <c r="M79" s="15"/>
      <c r="N79" s="33">
        <f>IF(H79=0,0,L79/H79)</f>
        <v>0.85698843118204193</v>
      </c>
      <c r="O79" s="26"/>
      <c r="P79" s="32">
        <f>SUM(P76:P78)</f>
        <v>-39855.65</v>
      </c>
      <c r="Q79" s="13"/>
      <c r="R79" s="33">
        <f>IF(P$12=0,0,P79/P$12)</f>
        <v>-8.2212703723490943</v>
      </c>
      <c r="S79" s="13"/>
      <c r="T79" s="32">
        <f>SUM(T76:T78)</f>
        <v>-21462.519276240404</v>
      </c>
      <c r="U79" s="13"/>
      <c r="V79" s="33">
        <f>IF(T$12=0,0,T79/T$12)</f>
        <v>-7.1541730920801347</v>
      </c>
      <c r="W79" s="15"/>
      <c r="X79" s="32">
        <f>+P79-T79</f>
        <v>-18393.130723759597</v>
      </c>
      <c r="Y79" s="15"/>
      <c r="Z79" s="33">
        <f>IF(T79=0,0,X79/T79)</f>
        <v>0.85698843118204193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8">
        <v>44104.686026469906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6" t="s">
        <v>314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62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207967.07</v>
      </c>
      <c r="E12" s="4"/>
      <c r="F12" s="11"/>
      <c r="G12" s="4"/>
      <c r="H12" s="4">
        <f>SUM(OSRRefH13x_0)</f>
        <v>333304</v>
      </c>
      <c r="I12" s="4"/>
      <c r="J12" s="11"/>
      <c r="K12" s="4"/>
      <c r="L12" s="4">
        <f t="shared" ref="L12:L27" si="0">+D12-H12</f>
        <v>-125336.93</v>
      </c>
      <c r="M12" s="4"/>
      <c r="N12" s="11">
        <f t="shared" ref="N12:N27" si="1">IF(H12=0,0,L12/H12)</f>
        <v>-0.37604388186160381</v>
      </c>
      <c r="O12" s="10"/>
      <c r="P12" s="4">
        <f>SUM(OSRRefP13x_0)</f>
        <v>207967.07</v>
      </c>
      <c r="Q12" s="4"/>
      <c r="R12" s="11"/>
      <c r="S12" s="4"/>
      <c r="T12" s="4">
        <f>SUM(OSRRefT13x_0)</f>
        <v>333304</v>
      </c>
      <c r="U12" s="4"/>
      <c r="V12" s="11"/>
      <c r="W12" s="4"/>
      <c r="X12" s="4">
        <f t="shared" ref="X12:X27" si="2">+P12-T12</f>
        <v>-125336.93</v>
      </c>
      <c r="Y12" s="4"/>
      <c r="Z12" s="11">
        <f t="shared" ref="Z12:Z27" si="3">IF(T12=0,0,X12/T12)</f>
        <v>-0.37604388186160381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-370.91</f>
        <v>-370.91</v>
      </c>
      <c r="E13" s="3"/>
      <c r="F13" s="23"/>
      <c r="G13" s="3"/>
      <c r="H13" s="3">
        <v>321573</v>
      </c>
      <c r="I13" s="3"/>
      <c r="J13" s="23"/>
      <c r="K13" s="3"/>
      <c r="L13" s="3">
        <f t="shared" si="0"/>
        <v>-321943.90999999997</v>
      </c>
      <c r="M13" s="3"/>
      <c r="N13" s="23">
        <f t="shared" si="1"/>
        <v>-1.0011534239503939</v>
      </c>
      <c r="O13" s="12"/>
      <c r="P13" s="3">
        <f>-370.91</f>
        <v>-370.91</v>
      </c>
      <c r="Q13" s="3"/>
      <c r="R13" s="23"/>
      <c r="S13" s="3"/>
      <c r="T13" s="3">
        <v>321573</v>
      </c>
      <c r="U13" s="3"/>
      <c r="V13" s="23"/>
      <c r="W13" s="3"/>
      <c r="X13" s="3">
        <f t="shared" si="2"/>
        <v>-321943.90999999997</v>
      </c>
      <c r="Y13" s="3"/>
      <c r="Z13" s="23">
        <f t="shared" si="3"/>
        <v>-1.0011534239503939</v>
      </c>
    </row>
    <row r="14" spans="1:26" s="24" customFormat="1" hidden="1" outlineLevel="1" x14ac:dyDescent="0.25">
      <c r="A14" s="51"/>
      <c r="B14" s="12" t="str">
        <f>CONCATENATE("          ", "4081", " - ", "TAXABLE SALES-ELECTRONICS")</f>
        <v xml:space="preserve">          4081 - TAXABLE SALES-ELECTRONICS</v>
      </c>
      <c r="C14" s="12"/>
      <c r="D14" s="3">
        <f>--21557.16</f>
        <v>21557.16</v>
      </c>
      <c r="E14" s="3"/>
      <c r="F14" s="23"/>
      <c r="G14" s="3"/>
      <c r="H14" s="3"/>
      <c r="I14" s="3"/>
      <c r="J14" s="23"/>
      <c r="K14" s="3"/>
      <c r="L14" s="3">
        <f t="shared" si="0"/>
        <v>21557.16</v>
      </c>
      <c r="M14" s="3"/>
      <c r="N14" s="23">
        <f t="shared" si="1"/>
        <v>0</v>
      </c>
      <c r="O14" s="12"/>
      <c r="P14" s="3">
        <f>--21557.16</f>
        <v>21557.16</v>
      </c>
      <c r="Q14" s="3"/>
      <c r="R14" s="23"/>
      <c r="S14" s="3"/>
      <c r="T14" s="3"/>
      <c r="U14" s="3"/>
      <c r="V14" s="23"/>
      <c r="W14" s="3"/>
      <c r="X14" s="3">
        <f t="shared" si="2"/>
        <v>21557.16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"4082", " - ", "TAXABLE SALES-COMPUTER HARDWAR")</f>
        <v xml:space="preserve">          4082 - TAXABLE SALES-COMPUTER HARDWAR</v>
      </c>
      <c r="C15" s="12"/>
      <c r="D15" s="3">
        <f>--137228.87</f>
        <v>137228.87</v>
      </c>
      <c r="E15" s="3"/>
      <c r="F15" s="23"/>
      <c r="G15" s="3"/>
      <c r="H15" s="3"/>
      <c r="I15" s="3"/>
      <c r="J15" s="23"/>
      <c r="K15" s="3"/>
      <c r="L15" s="3">
        <f t="shared" si="0"/>
        <v>137228.87</v>
      </c>
      <c r="M15" s="3"/>
      <c r="N15" s="23">
        <f t="shared" si="1"/>
        <v>0</v>
      </c>
      <c r="O15" s="12"/>
      <c r="P15" s="3">
        <f>--137228.87</f>
        <v>137228.87</v>
      </c>
      <c r="Q15" s="3"/>
      <c r="R15" s="23"/>
      <c r="S15" s="3"/>
      <c r="T15" s="3"/>
      <c r="U15" s="3"/>
      <c r="V15" s="23"/>
      <c r="W15" s="3"/>
      <c r="X15" s="3">
        <f t="shared" si="2"/>
        <v>137228.87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"4083", " - ", "TAXABLE SALES-COMPUTER EQUIPME")</f>
        <v xml:space="preserve">          4083 - TAXABLE SALES-COMPUTER EQUIPME</v>
      </c>
      <c r="C16" s="12"/>
      <c r="D16" s="3">
        <f>--6790.15</f>
        <v>6790.15</v>
      </c>
      <c r="E16" s="3"/>
      <c r="F16" s="23"/>
      <c r="G16" s="3"/>
      <c r="H16" s="3"/>
      <c r="I16" s="3"/>
      <c r="J16" s="23"/>
      <c r="K16" s="3"/>
      <c r="L16" s="3">
        <f t="shared" si="0"/>
        <v>6790.15</v>
      </c>
      <c r="M16" s="3"/>
      <c r="N16" s="23">
        <f t="shared" si="1"/>
        <v>0</v>
      </c>
      <c r="O16" s="12"/>
      <c r="P16" s="3">
        <f>--6790.15</f>
        <v>6790.15</v>
      </c>
      <c r="Q16" s="3"/>
      <c r="R16" s="23"/>
      <c r="S16" s="3"/>
      <c r="T16" s="3"/>
      <c r="U16" s="3"/>
      <c r="V16" s="23"/>
      <c r="W16" s="3"/>
      <c r="X16" s="3">
        <f t="shared" si="2"/>
        <v>6790.15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"4086", " - ", "TAXABLE SALES-COMPUTER SUPPLIE")</f>
        <v xml:space="preserve">          4086 - TAXABLE SALES-COMPUTER SUPPLIE</v>
      </c>
      <c r="C17" s="12"/>
      <c r="D17" s="3">
        <f>--25959.21</f>
        <v>25959.21</v>
      </c>
      <c r="E17" s="3"/>
      <c r="F17" s="23"/>
      <c r="G17" s="3"/>
      <c r="H17" s="3"/>
      <c r="I17" s="3"/>
      <c r="J17" s="23"/>
      <c r="K17" s="3"/>
      <c r="L17" s="3">
        <f t="shared" si="0"/>
        <v>25959.21</v>
      </c>
      <c r="M17" s="3"/>
      <c r="N17" s="23">
        <f t="shared" si="1"/>
        <v>0</v>
      </c>
      <c r="O17" s="12"/>
      <c r="P17" s="3">
        <f>--25959.21</f>
        <v>25959.21</v>
      </c>
      <c r="Q17" s="3"/>
      <c r="R17" s="23"/>
      <c r="S17" s="3"/>
      <c r="T17" s="3"/>
      <c r="U17" s="3"/>
      <c r="V17" s="23"/>
      <c r="W17" s="3"/>
      <c r="X17" s="3">
        <f t="shared" si="2"/>
        <v>25959.21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"4100", " - ", "NON-TAXABLE SALES")</f>
        <v xml:space="preserve">          4100 - NON-TAXABLE SALES</v>
      </c>
      <c r="C18" s="12"/>
      <c r="D18" s="3">
        <f>0</f>
        <v>0</v>
      </c>
      <c r="E18" s="3"/>
      <c r="F18" s="23"/>
      <c r="G18" s="3"/>
      <c r="H18" s="3">
        <v>11731</v>
      </c>
      <c r="I18" s="3"/>
      <c r="J18" s="23"/>
      <c r="K18" s="3"/>
      <c r="L18" s="3">
        <f t="shared" si="0"/>
        <v>-11731</v>
      </c>
      <c r="M18" s="3"/>
      <c r="N18" s="23">
        <f t="shared" si="1"/>
        <v>-1</v>
      </c>
      <c r="O18" s="12"/>
      <c r="P18" s="3">
        <f>0</f>
        <v>0</v>
      </c>
      <c r="Q18" s="3"/>
      <c r="R18" s="23"/>
      <c r="S18" s="3"/>
      <c r="T18" s="3">
        <v>11731</v>
      </c>
      <c r="U18" s="3"/>
      <c r="V18" s="23"/>
      <c r="W18" s="3"/>
      <c r="X18" s="3">
        <f t="shared" si="2"/>
        <v>-11731</v>
      </c>
      <c r="Y18" s="3"/>
      <c r="Z18" s="23">
        <f t="shared" si="3"/>
        <v>-1</v>
      </c>
    </row>
    <row r="19" spans="1:26" s="24" customFormat="1" hidden="1" outlineLevel="1" x14ac:dyDescent="0.25">
      <c r="A19" s="51"/>
      <c r="B19" s="12" t="str">
        <f>CONCATENATE("          ", "4181", " - ", "NON-TAXABLE SALES-ELECTRONICS")</f>
        <v xml:space="preserve">          4181 - NON-TAXABLE SALES-ELECTRONICS</v>
      </c>
      <c r="C19" s="12"/>
      <c r="D19" s="3">
        <f>--289.98</f>
        <v>289.98</v>
      </c>
      <c r="E19" s="3"/>
      <c r="F19" s="23"/>
      <c r="G19" s="3"/>
      <c r="H19" s="3"/>
      <c r="I19" s="3"/>
      <c r="J19" s="23"/>
      <c r="K19" s="3"/>
      <c r="L19" s="3">
        <f t="shared" si="0"/>
        <v>289.98</v>
      </c>
      <c r="M19" s="3"/>
      <c r="N19" s="23">
        <f t="shared" si="1"/>
        <v>0</v>
      </c>
      <c r="O19" s="12"/>
      <c r="P19" s="3">
        <f>--289.98</f>
        <v>289.98</v>
      </c>
      <c r="Q19" s="3"/>
      <c r="R19" s="23"/>
      <c r="S19" s="3"/>
      <c r="T19" s="3"/>
      <c r="U19" s="3"/>
      <c r="V19" s="23"/>
      <c r="W19" s="3"/>
      <c r="X19" s="3">
        <f t="shared" si="2"/>
        <v>289.98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"4182", " - ", "NON-TAXABLE SALES-COMPUTER HAR")</f>
        <v xml:space="preserve">          4182 - NON-TAXABLE SALES-COMPUTER HAR</v>
      </c>
      <c r="C20" s="12"/>
      <c r="D20" s="3">
        <f>--35876.99</f>
        <v>35876.99</v>
      </c>
      <c r="E20" s="3"/>
      <c r="F20" s="23"/>
      <c r="G20" s="3"/>
      <c r="H20" s="3"/>
      <c r="I20" s="3"/>
      <c r="J20" s="23"/>
      <c r="K20" s="3"/>
      <c r="L20" s="3">
        <f t="shared" si="0"/>
        <v>35876.99</v>
      </c>
      <c r="M20" s="3"/>
      <c r="N20" s="23">
        <f t="shared" si="1"/>
        <v>0</v>
      </c>
      <c r="O20" s="12"/>
      <c r="P20" s="3">
        <f>--35876.99</f>
        <v>35876.99</v>
      </c>
      <c r="Q20" s="3"/>
      <c r="R20" s="23"/>
      <c r="S20" s="3"/>
      <c r="T20" s="3"/>
      <c r="U20" s="3"/>
      <c r="V20" s="23"/>
      <c r="W20" s="3"/>
      <c r="X20" s="3">
        <f t="shared" si="2"/>
        <v>35876.99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"4183", " - ", "NON-TAXABLE SALES-COMPUTER EQU")</f>
        <v xml:space="preserve">          4183 - NON-TAXABLE SALES-COMPUTER EQU</v>
      </c>
      <c r="C21" s="12"/>
      <c r="D21" s="3">
        <f>--1359.85</f>
        <v>1359.85</v>
      </c>
      <c r="E21" s="3"/>
      <c r="F21" s="23"/>
      <c r="G21" s="3"/>
      <c r="H21" s="3"/>
      <c r="I21" s="3"/>
      <c r="J21" s="23"/>
      <c r="K21" s="3"/>
      <c r="L21" s="3">
        <f t="shared" si="0"/>
        <v>1359.85</v>
      </c>
      <c r="M21" s="3"/>
      <c r="N21" s="23">
        <f t="shared" si="1"/>
        <v>0</v>
      </c>
      <c r="O21" s="12"/>
      <c r="P21" s="3">
        <f>--1359.85</f>
        <v>1359.85</v>
      </c>
      <c r="Q21" s="3"/>
      <c r="R21" s="23"/>
      <c r="S21" s="3"/>
      <c r="T21" s="3"/>
      <c r="U21" s="3"/>
      <c r="V21" s="23"/>
      <c r="W21" s="3"/>
      <c r="X21" s="3">
        <f t="shared" si="2"/>
        <v>1359.85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"4185", " - ", "NON-TAXABLE SALES-SOFTWARE")</f>
        <v xml:space="preserve">          4185 - NON-TAXABLE SALES-SOFTWARE</v>
      </c>
      <c r="C22" s="12"/>
      <c r="D22" s="3">
        <f>--6187.74</f>
        <v>6187.74</v>
      </c>
      <c r="E22" s="3"/>
      <c r="F22" s="23"/>
      <c r="G22" s="3"/>
      <c r="H22" s="3"/>
      <c r="I22" s="3"/>
      <c r="J22" s="23"/>
      <c r="K22" s="3"/>
      <c r="L22" s="3">
        <f t="shared" si="0"/>
        <v>6187.74</v>
      </c>
      <c r="M22" s="3"/>
      <c r="N22" s="23">
        <f t="shared" si="1"/>
        <v>0</v>
      </c>
      <c r="O22" s="12"/>
      <c r="P22" s="3">
        <f>--6187.74</f>
        <v>6187.74</v>
      </c>
      <c r="Q22" s="3"/>
      <c r="R22" s="23"/>
      <c r="S22" s="3"/>
      <c r="T22" s="3"/>
      <c r="U22" s="3"/>
      <c r="V22" s="23"/>
      <c r="W22" s="3"/>
      <c r="X22" s="3">
        <f t="shared" si="2"/>
        <v>6187.74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"4186", " - ", "NON-TAXABLE SALES-COMPUTER SUP")</f>
        <v xml:space="preserve">          4186 - NON-TAXABLE SALES-COMPUTER SUP</v>
      </c>
      <c r="C23" s="12"/>
      <c r="D23" s="3">
        <f>--154.95</f>
        <v>154.94999999999999</v>
      </c>
      <c r="E23" s="3"/>
      <c r="F23" s="23"/>
      <c r="G23" s="3"/>
      <c r="H23" s="3"/>
      <c r="I23" s="3"/>
      <c r="J23" s="23"/>
      <c r="K23" s="3"/>
      <c r="L23" s="3">
        <f t="shared" si="0"/>
        <v>154.94999999999999</v>
      </c>
      <c r="M23" s="3"/>
      <c r="N23" s="23">
        <f t="shared" si="1"/>
        <v>0</v>
      </c>
      <c r="O23" s="12"/>
      <c r="P23" s="3">
        <f>--154.95</f>
        <v>154.94999999999999</v>
      </c>
      <c r="Q23" s="3"/>
      <c r="R23" s="23"/>
      <c r="S23" s="3"/>
      <c r="T23" s="3"/>
      <c r="U23" s="3"/>
      <c r="V23" s="23"/>
      <c r="W23" s="3"/>
      <c r="X23" s="3">
        <f t="shared" si="2"/>
        <v>154.94999999999999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"4281", " - ", "SALES RETURN TAXABLE-ELECTRONI")</f>
        <v xml:space="preserve">          4281 - SALES RETURN TAXABLE-ELECTRONI</v>
      </c>
      <c r="C24" s="12"/>
      <c r="D24" s="3">
        <f>-6291.99</f>
        <v>-6291.99</v>
      </c>
      <c r="E24" s="3"/>
      <c r="F24" s="23"/>
      <c r="G24" s="3"/>
      <c r="H24" s="3"/>
      <c r="I24" s="3"/>
      <c r="J24" s="23"/>
      <c r="K24" s="3"/>
      <c r="L24" s="3">
        <f t="shared" si="0"/>
        <v>-6291.99</v>
      </c>
      <c r="M24" s="3"/>
      <c r="N24" s="23">
        <f t="shared" si="1"/>
        <v>0</v>
      </c>
      <c r="O24" s="12"/>
      <c r="P24" s="3">
        <f>-6291.99</f>
        <v>-6291.99</v>
      </c>
      <c r="Q24" s="3"/>
      <c r="R24" s="23"/>
      <c r="S24" s="3"/>
      <c r="T24" s="3"/>
      <c r="U24" s="3"/>
      <c r="V24" s="23"/>
      <c r="W24" s="3"/>
      <c r="X24" s="3">
        <f t="shared" si="2"/>
        <v>-6291.99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"4282", " - ", "SALES RETURN TAXABLE-COMPUTER")</f>
        <v xml:space="preserve">          4282 - SALES RETURN TAXABLE-COMPUTER</v>
      </c>
      <c r="C25" s="12"/>
      <c r="D25" s="3">
        <f>-18207</f>
        <v>-18207</v>
      </c>
      <c r="E25" s="3"/>
      <c r="F25" s="23"/>
      <c r="G25" s="3"/>
      <c r="H25" s="3"/>
      <c r="I25" s="3"/>
      <c r="J25" s="23"/>
      <c r="K25" s="3"/>
      <c r="L25" s="3">
        <f t="shared" si="0"/>
        <v>-18207</v>
      </c>
      <c r="M25" s="3"/>
      <c r="N25" s="23">
        <f t="shared" si="1"/>
        <v>0</v>
      </c>
      <c r="O25" s="12"/>
      <c r="P25" s="3">
        <f>-18207</f>
        <v>-18207</v>
      </c>
      <c r="Q25" s="3"/>
      <c r="R25" s="23"/>
      <c r="S25" s="3"/>
      <c r="T25" s="3"/>
      <c r="U25" s="3"/>
      <c r="V25" s="23"/>
      <c r="W25" s="3"/>
      <c r="X25" s="3">
        <f t="shared" si="2"/>
        <v>-18207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"4283", " - ", "SALES RETURN TAXABLE-COMPUTER")</f>
        <v xml:space="preserve">          4283 - SALES RETURN TAXABLE-COMPUTER</v>
      </c>
      <c r="C26" s="12"/>
      <c r="D26" s="3">
        <f>-818.93</f>
        <v>-818.93</v>
      </c>
      <c r="E26" s="3"/>
      <c r="F26" s="23"/>
      <c r="G26" s="3"/>
      <c r="H26" s="3"/>
      <c r="I26" s="3"/>
      <c r="J26" s="23"/>
      <c r="K26" s="3"/>
      <c r="L26" s="3">
        <f t="shared" si="0"/>
        <v>-818.93</v>
      </c>
      <c r="M26" s="3"/>
      <c r="N26" s="23">
        <f t="shared" si="1"/>
        <v>0</v>
      </c>
      <c r="O26" s="12"/>
      <c r="P26" s="3">
        <f>-818.93</f>
        <v>-818.93</v>
      </c>
      <c r="Q26" s="3"/>
      <c r="R26" s="23"/>
      <c r="S26" s="3"/>
      <c r="T26" s="3"/>
      <c r="U26" s="3"/>
      <c r="V26" s="23"/>
      <c r="W26" s="3"/>
      <c r="X26" s="3">
        <f t="shared" si="2"/>
        <v>-818.93</v>
      </c>
      <c r="Y26" s="3"/>
      <c r="Z26" s="23">
        <f t="shared" si="3"/>
        <v>0</v>
      </c>
    </row>
    <row r="27" spans="1:26" s="24" customFormat="1" hidden="1" outlineLevel="1" x14ac:dyDescent="0.25">
      <c r="A27" s="51"/>
      <c r="B27" s="12" t="str">
        <f>CONCATENATE("          ", "4381", " - ", "SALES RETURN NON TAXABLE-ELECT")</f>
        <v xml:space="preserve">          4381 - SALES RETURN NON TAXABLE-ELECT</v>
      </c>
      <c r="C27" s="12"/>
      <c r="D27" s="3">
        <f>-1749</f>
        <v>-1749</v>
      </c>
      <c r="E27" s="3"/>
      <c r="F27" s="23"/>
      <c r="G27" s="3"/>
      <c r="H27" s="3"/>
      <c r="I27" s="3"/>
      <c r="J27" s="23"/>
      <c r="K27" s="3"/>
      <c r="L27" s="3">
        <f t="shared" si="0"/>
        <v>-1749</v>
      </c>
      <c r="M27" s="3"/>
      <c r="N27" s="23">
        <f t="shared" si="1"/>
        <v>0</v>
      </c>
      <c r="O27" s="12"/>
      <c r="P27" s="3">
        <f>-1749</f>
        <v>-1749</v>
      </c>
      <c r="Q27" s="3"/>
      <c r="R27" s="23"/>
      <c r="S27" s="3"/>
      <c r="T27" s="3"/>
      <c r="U27" s="3"/>
      <c r="V27" s="23"/>
      <c r="W27" s="3"/>
      <c r="X27" s="3">
        <f t="shared" si="2"/>
        <v>-1749</v>
      </c>
      <c r="Y27" s="3"/>
      <c r="Z27" s="23">
        <f t="shared" si="3"/>
        <v>0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collapsed="1" x14ac:dyDescent="0.25">
      <c r="A29" s="10"/>
      <c r="B29" s="26" t="s">
        <v>8</v>
      </c>
      <c r="C29" s="10"/>
      <c r="D29" s="4">
        <f>SUM(OSRRefD16x_0)</f>
        <v>183956.00000000006</v>
      </c>
      <c r="E29" s="4"/>
      <c r="F29" s="11">
        <f t="shared" ref="F29:F38" si="4">IF(D$12=0,0,D29/D$12)</f>
        <v>0.88454388476021739</v>
      </c>
      <c r="G29" s="4"/>
      <c r="H29" s="4">
        <f>SUM(OSRRefH16x_0)</f>
        <v>260298</v>
      </c>
      <c r="I29" s="4"/>
      <c r="J29" s="11">
        <f t="shared" ref="J29:J38" si="5">IF(H$12=0,0,H29/H$12)</f>
        <v>0.78096272471977535</v>
      </c>
      <c r="K29" s="4"/>
      <c r="L29" s="4">
        <f t="shared" ref="L29:L38" si="6">+D29-H29</f>
        <v>-76341.999999999942</v>
      </c>
      <c r="M29" s="4"/>
      <c r="N29" s="11">
        <f t="shared" ref="N29:N38" si="7">IF(H29=0,0,L29/H29)</f>
        <v>-0.29328692498597736</v>
      </c>
      <c r="O29" s="10"/>
      <c r="P29" s="4">
        <f>SUM(OSRRefP16x_0)</f>
        <v>183956.00000000006</v>
      </c>
      <c r="Q29" s="4"/>
      <c r="R29" s="11">
        <f t="shared" ref="R29:R38" si="8">IF(P$12=0,0,P29/P$12)</f>
        <v>0.88454388476021739</v>
      </c>
      <c r="S29" s="4"/>
      <c r="T29" s="4">
        <f>SUM(OSRRefT16x_0)</f>
        <v>260298</v>
      </c>
      <c r="U29" s="4"/>
      <c r="V29" s="11">
        <f t="shared" ref="V29:V38" si="9">IF(T$12=0,0,T29/T$12)</f>
        <v>0.78096272471977535</v>
      </c>
      <c r="W29" s="4"/>
      <c r="X29" s="4">
        <f t="shared" ref="X29:X38" si="10">+P29-T29</f>
        <v>-76341.999999999942</v>
      </c>
      <c r="Y29" s="4"/>
      <c r="Z29" s="11">
        <f t="shared" ref="Z29:Z38" si="11">IF(T29=0,0,X29/T29)</f>
        <v>-0.29328692498597736</v>
      </c>
    </row>
    <row r="30" spans="1:26" s="24" customFormat="1" hidden="1" outlineLevel="1" x14ac:dyDescent="0.25">
      <c r="A30" s="51"/>
      <c r="B30" s="12" t="str">
        <f>CONCATENATE("          ", "5000", " - ", "PURCHASES @ COST")</f>
        <v xml:space="preserve">          5000 - PURCHASES @ COST</v>
      </c>
      <c r="C30" s="12"/>
      <c r="D30" s="3"/>
      <c r="E30" s="3"/>
      <c r="F30" s="23">
        <f t="shared" si="4"/>
        <v>0</v>
      </c>
      <c r="G30" s="3"/>
      <c r="H30" s="3">
        <v>260298</v>
      </c>
      <c r="I30" s="3"/>
      <c r="J30" s="23">
        <f t="shared" si="5"/>
        <v>0.78096272471977535</v>
      </c>
      <c r="K30" s="3"/>
      <c r="L30" s="3">
        <f t="shared" si="6"/>
        <v>-260298</v>
      </c>
      <c r="M30" s="3"/>
      <c r="N30" s="23">
        <f t="shared" si="7"/>
        <v>-1</v>
      </c>
      <c r="O30" s="12"/>
      <c r="P30" s="3"/>
      <c r="Q30" s="3"/>
      <c r="R30" s="23">
        <f t="shared" si="8"/>
        <v>0</v>
      </c>
      <c r="S30" s="3"/>
      <c r="T30" s="3">
        <v>260298</v>
      </c>
      <c r="U30" s="3"/>
      <c r="V30" s="23">
        <f t="shared" si="9"/>
        <v>0.78096272471977535</v>
      </c>
      <c r="W30" s="3"/>
      <c r="X30" s="3">
        <f t="shared" si="10"/>
        <v>-260298</v>
      </c>
      <c r="Y30" s="3"/>
      <c r="Z30" s="23">
        <f t="shared" si="11"/>
        <v>-1</v>
      </c>
    </row>
    <row r="31" spans="1:26" s="24" customFormat="1" hidden="1" outlineLevel="1" x14ac:dyDescent="0.25">
      <c r="A31" s="51"/>
      <c r="B31" s="12" t="str">
        <f>CONCATENATE("          ", "5081", " - ", "PURCHASES @ COST-ELECTRONICS")</f>
        <v xml:space="preserve">          5081 - PURCHASES @ COST-ELECTRONICS</v>
      </c>
      <c r="C31" s="12"/>
      <c r="D31" s="3">
        <v>6676.92</v>
      </c>
      <c r="E31" s="3"/>
      <c r="F31" s="23">
        <f t="shared" si="4"/>
        <v>3.2105659804698886E-2</v>
      </c>
      <c r="G31" s="3"/>
      <c r="H31" s="3"/>
      <c r="I31" s="3"/>
      <c r="J31" s="23">
        <f t="shared" si="5"/>
        <v>0</v>
      </c>
      <c r="K31" s="3"/>
      <c r="L31" s="3">
        <f t="shared" si="6"/>
        <v>6676.92</v>
      </c>
      <c r="M31" s="3"/>
      <c r="N31" s="23">
        <f t="shared" si="7"/>
        <v>0</v>
      </c>
      <c r="O31" s="12"/>
      <c r="P31" s="3">
        <v>6676.92</v>
      </c>
      <c r="Q31" s="3"/>
      <c r="R31" s="23">
        <f t="shared" si="8"/>
        <v>3.2105659804698886E-2</v>
      </c>
      <c r="S31" s="3"/>
      <c r="T31" s="3"/>
      <c r="U31" s="3"/>
      <c r="V31" s="23">
        <f t="shared" si="9"/>
        <v>0</v>
      </c>
      <c r="W31" s="3"/>
      <c r="X31" s="3">
        <f t="shared" si="10"/>
        <v>6676.92</v>
      </c>
      <c r="Y31" s="3"/>
      <c r="Z31" s="23">
        <f t="shared" si="11"/>
        <v>0</v>
      </c>
    </row>
    <row r="32" spans="1:26" s="24" customFormat="1" hidden="1" outlineLevel="1" x14ac:dyDescent="0.25">
      <c r="A32" s="51"/>
      <c r="B32" s="12" t="str">
        <f>CONCATENATE("          ", "5082", " - ", "PURCHASES @ COST-COMPUTER HARD")</f>
        <v xml:space="preserve">          5082 - PURCHASES @ COST-COMPUTER HARD</v>
      </c>
      <c r="C32" s="12"/>
      <c r="D32" s="3">
        <v>186472.57</v>
      </c>
      <c r="E32" s="3"/>
      <c r="F32" s="23">
        <f t="shared" si="4"/>
        <v>0.89664469475864617</v>
      </c>
      <c r="G32" s="3"/>
      <c r="H32" s="3"/>
      <c r="I32" s="3"/>
      <c r="J32" s="23">
        <f t="shared" si="5"/>
        <v>0</v>
      </c>
      <c r="K32" s="3"/>
      <c r="L32" s="3">
        <f t="shared" si="6"/>
        <v>186472.57</v>
      </c>
      <c r="M32" s="3"/>
      <c r="N32" s="23">
        <f t="shared" si="7"/>
        <v>0</v>
      </c>
      <c r="O32" s="12"/>
      <c r="P32" s="3">
        <v>186472.57</v>
      </c>
      <c r="Q32" s="3"/>
      <c r="R32" s="23">
        <f t="shared" si="8"/>
        <v>0.89664469475864617</v>
      </c>
      <c r="S32" s="3"/>
      <c r="T32" s="3"/>
      <c r="U32" s="3"/>
      <c r="V32" s="23">
        <f t="shared" si="9"/>
        <v>0</v>
      </c>
      <c r="W32" s="3"/>
      <c r="X32" s="3">
        <f t="shared" si="10"/>
        <v>186472.57</v>
      </c>
      <c r="Y32" s="3"/>
      <c r="Z32" s="23">
        <f t="shared" si="11"/>
        <v>0</v>
      </c>
    </row>
    <row r="33" spans="1:26" s="24" customFormat="1" hidden="1" outlineLevel="1" x14ac:dyDescent="0.25">
      <c r="A33" s="51"/>
      <c r="B33" s="12" t="str">
        <f>CONCATENATE("          ", "5083", " - ", "PURCHASES @ COST-COMPUTER EQUI")</f>
        <v xml:space="preserve">          5083 - PURCHASES @ COST-COMPUTER EQUI</v>
      </c>
      <c r="C33" s="12"/>
      <c r="D33" s="3">
        <v>29938.300000000003</v>
      </c>
      <c r="E33" s="3"/>
      <c r="F33" s="23">
        <f t="shared" si="4"/>
        <v>0.14395692548825159</v>
      </c>
      <c r="G33" s="3"/>
      <c r="H33" s="3"/>
      <c r="I33" s="3"/>
      <c r="J33" s="23">
        <f t="shared" si="5"/>
        <v>0</v>
      </c>
      <c r="K33" s="3"/>
      <c r="L33" s="3">
        <f t="shared" si="6"/>
        <v>29938.300000000003</v>
      </c>
      <c r="M33" s="3"/>
      <c r="N33" s="23">
        <f t="shared" si="7"/>
        <v>0</v>
      </c>
      <c r="O33" s="12"/>
      <c r="P33" s="3">
        <v>29938.300000000003</v>
      </c>
      <c r="Q33" s="3"/>
      <c r="R33" s="23">
        <f t="shared" si="8"/>
        <v>0.14395692548825159</v>
      </c>
      <c r="S33" s="3"/>
      <c r="T33" s="3"/>
      <c r="U33" s="3"/>
      <c r="V33" s="23">
        <f t="shared" si="9"/>
        <v>0</v>
      </c>
      <c r="W33" s="3"/>
      <c r="X33" s="3">
        <f t="shared" si="10"/>
        <v>29938.300000000003</v>
      </c>
      <c r="Y33" s="3"/>
      <c r="Z33" s="23">
        <f t="shared" si="11"/>
        <v>0</v>
      </c>
    </row>
    <row r="34" spans="1:26" s="24" customFormat="1" hidden="1" outlineLevel="1" x14ac:dyDescent="0.25">
      <c r="A34" s="51"/>
      <c r="B34" s="12" t="str">
        <f>CONCATENATE("          ", "5085", " - ", "PURCHASES @ COST-SOFTWARE")</f>
        <v xml:space="preserve">          5085 - PURCHASES @ COST-SOFTWARE</v>
      </c>
      <c r="C34" s="12"/>
      <c r="D34" s="3">
        <v>3864.34</v>
      </c>
      <c r="E34" s="3"/>
      <c r="F34" s="23">
        <f t="shared" si="4"/>
        <v>1.858149946527592E-2</v>
      </c>
      <c r="G34" s="3"/>
      <c r="H34" s="3"/>
      <c r="I34" s="3"/>
      <c r="J34" s="23">
        <f t="shared" si="5"/>
        <v>0</v>
      </c>
      <c r="K34" s="3"/>
      <c r="L34" s="3">
        <f t="shared" si="6"/>
        <v>3864.34</v>
      </c>
      <c r="M34" s="3"/>
      <c r="N34" s="23">
        <f t="shared" si="7"/>
        <v>0</v>
      </c>
      <c r="O34" s="12"/>
      <c r="P34" s="3">
        <v>3864.34</v>
      </c>
      <c r="Q34" s="3"/>
      <c r="R34" s="23">
        <f t="shared" si="8"/>
        <v>1.858149946527592E-2</v>
      </c>
      <c r="S34" s="3"/>
      <c r="T34" s="3"/>
      <c r="U34" s="3"/>
      <c r="V34" s="23">
        <f t="shared" si="9"/>
        <v>0</v>
      </c>
      <c r="W34" s="3"/>
      <c r="X34" s="3">
        <f t="shared" si="10"/>
        <v>3864.34</v>
      </c>
      <c r="Y34" s="3"/>
      <c r="Z34" s="23">
        <f t="shared" si="11"/>
        <v>0</v>
      </c>
    </row>
    <row r="35" spans="1:26" s="24" customFormat="1" hidden="1" outlineLevel="1" x14ac:dyDescent="0.25">
      <c r="A35" s="51"/>
      <c r="B35" s="12" t="str">
        <f>CONCATENATE("          ", "5086", " - ", "PURCHASES @ COST-COMPUTER SUPP")</f>
        <v xml:space="preserve">          5086 - PURCHASES @ COST-COMPUTER SUPP</v>
      </c>
      <c r="C35" s="12"/>
      <c r="D35" s="3">
        <v>87.25</v>
      </c>
      <c r="E35" s="3"/>
      <c r="F35" s="23">
        <f t="shared" si="4"/>
        <v>4.1953757390533026E-4</v>
      </c>
      <c r="G35" s="3"/>
      <c r="H35" s="3"/>
      <c r="I35" s="3"/>
      <c r="J35" s="23">
        <f t="shared" si="5"/>
        <v>0</v>
      </c>
      <c r="K35" s="3"/>
      <c r="L35" s="3">
        <f t="shared" si="6"/>
        <v>87.25</v>
      </c>
      <c r="M35" s="3"/>
      <c r="N35" s="23">
        <f t="shared" si="7"/>
        <v>0</v>
      </c>
      <c r="O35" s="12"/>
      <c r="P35" s="3">
        <v>87.25</v>
      </c>
      <c r="Q35" s="3"/>
      <c r="R35" s="23">
        <f t="shared" si="8"/>
        <v>4.1953757390533026E-4</v>
      </c>
      <c r="S35" s="3"/>
      <c r="T35" s="3"/>
      <c r="U35" s="3"/>
      <c r="V35" s="23">
        <f t="shared" si="9"/>
        <v>0</v>
      </c>
      <c r="W35" s="3"/>
      <c r="X35" s="3">
        <f t="shared" si="10"/>
        <v>87.25</v>
      </c>
      <c r="Y35" s="3"/>
      <c r="Z35" s="23">
        <f t="shared" si="11"/>
        <v>0</v>
      </c>
    </row>
    <row r="36" spans="1:26" s="24" customFormat="1" hidden="1" outlineLevel="1" x14ac:dyDescent="0.25">
      <c r="A36" s="51"/>
      <c r="B36" s="12" t="str">
        <f>CONCATENATE("          ", "5200", " - ", "PURCHASES OFFSET")</f>
        <v xml:space="preserve">          5200 - PURCHASES OFFSET</v>
      </c>
      <c r="C36" s="12"/>
      <c r="D36" s="3">
        <v>-227056.77</v>
      </c>
      <c r="E36" s="3"/>
      <c r="F36" s="23">
        <f t="shared" si="4"/>
        <v>-1.0917919360983448</v>
      </c>
      <c r="G36" s="3"/>
      <c r="H36" s="3"/>
      <c r="I36" s="3"/>
      <c r="J36" s="23">
        <f t="shared" si="5"/>
        <v>0</v>
      </c>
      <c r="K36" s="3"/>
      <c r="L36" s="3">
        <f t="shared" si="6"/>
        <v>-227056.77</v>
      </c>
      <c r="M36" s="3"/>
      <c r="N36" s="23">
        <f t="shared" si="7"/>
        <v>0</v>
      </c>
      <c r="O36" s="12"/>
      <c r="P36" s="3">
        <v>-227056.77</v>
      </c>
      <c r="Q36" s="3"/>
      <c r="R36" s="23">
        <f t="shared" si="8"/>
        <v>-1.0917919360983448</v>
      </c>
      <c r="S36" s="3"/>
      <c r="T36" s="3"/>
      <c r="U36" s="3"/>
      <c r="V36" s="23">
        <f t="shared" si="9"/>
        <v>0</v>
      </c>
      <c r="W36" s="3"/>
      <c r="X36" s="3">
        <f t="shared" si="10"/>
        <v>-227056.77</v>
      </c>
      <c r="Y36" s="3"/>
      <c r="Z36" s="23">
        <f t="shared" si="11"/>
        <v>0</v>
      </c>
    </row>
    <row r="37" spans="1:26" s="24" customFormat="1" hidden="1" outlineLevel="1" x14ac:dyDescent="0.25">
      <c r="A37" s="51"/>
      <c r="B37" s="12" t="str">
        <f>CONCATENATE("          ", "5300", " - ", "COG$ OFFSET")</f>
        <v xml:space="preserve">          5300 - COG$ OFFSET</v>
      </c>
      <c r="C37" s="12"/>
      <c r="D37" s="3">
        <v>183956</v>
      </c>
      <c r="E37" s="3"/>
      <c r="F37" s="23">
        <f t="shared" si="4"/>
        <v>0.88454388476021706</v>
      </c>
      <c r="G37" s="3"/>
      <c r="H37" s="3"/>
      <c r="I37" s="3"/>
      <c r="J37" s="23">
        <f t="shared" si="5"/>
        <v>0</v>
      </c>
      <c r="K37" s="3"/>
      <c r="L37" s="3">
        <f t="shared" si="6"/>
        <v>183956</v>
      </c>
      <c r="M37" s="3"/>
      <c r="N37" s="23">
        <f t="shared" si="7"/>
        <v>0</v>
      </c>
      <c r="O37" s="12"/>
      <c r="P37" s="3">
        <v>183956</v>
      </c>
      <c r="Q37" s="3"/>
      <c r="R37" s="23">
        <f t="shared" si="8"/>
        <v>0.88454388476021706</v>
      </c>
      <c r="S37" s="3"/>
      <c r="T37" s="3"/>
      <c r="U37" s="3"/>
      <c r="V37" s="23">
        <f t="shared" si="9"/>
        <v>0</v>
      </c>
      <c r="W37" s="3"/>
      <c r="X37" s="3">
        <f t="shared" si="10"/>
        <v>183956</v>
      </c>
      <c r="Y37" s="3"/>
      <c r="Z37" s="23">
        <f t="shared" si="11"/>
        <v>0</v>
      </c>
    </row>
    <row r="38" spans="1:26" s="24" customFormat="1" hidden="1" outlineLevel="1" x14ac:dyDescent="0.25">
      <c r="A38" s="51"/>
      <c r="B38" s="12" t="str">
        <f>CONCATENATE("          ", "5583", " - ", "FREIGHT-IN-COMPUTER EQUIPMENT")</f>
        <v xml:space="preserve">          5583 - FREIGHT-IN-COMPUTER EQUIPMENT</v>
      </c>
      <c r="C38" s="12"/>
      <c r="D38" s="3">
        <v>17.39</v>
      </c>
      <c r="E38" s="3"/>
      <c r="F38" s="23">
        <f t="shared" si="4"/>
        <v>8.3619007566919124E-5</v>
      </c>
      <c r="G38" s="3"/>
      <c r="H38" s="3"/>
      <c r="I38" s="3"/>
      <c r="J38" s="23">
        <f t="shared" si="5"/>
        <v>0</v>
      </c>
      <c r="K38" s="3"/>
      <c r="L38" s="3">
        <f t="shared" si="6"/>
        <v>17.39</v>
      </c>
      <c r="M38" s="3"/>
      <c r="N38" s="23">
        <f t="shared" si="7"/>
        <v>0</v>
      </c>
      <c r="O38" s="12"/>
      <c r="P38" s="3">
        <v>17.39</v>
      </c>
      <c r="Q38" s="3"/>
      <c r="R38" s="23">
        <f t="shared" si="8"/>
        <v>8.3619007566919124E-5</v>
      </c>
      <c r="S38" s="3"/>
      <c r="T38" s="3"/>
      <c r="U38" s="3"/>
      <c r="V38" s="23">
        <f t="shared" si="9"/>
        <v>0</v>
      </c>
      <c r="W38" s="3"/>
      <c r="X38" s="3">
        <f t="shared" si="10"/>
        <v>17.39</v>
      </c>
      <c r="Y38" s="3"/>
      <c r="Z38" s="23">
        <f t="shared" si="11"/>
        <v>0</v>
      </c>
    </row>
    <row r="39" spans="1:26" x14ac:dyDescent="0.25">
      <c r="A39" s="9"/>
      <c r="B39" s="10"/>
      <c r="C39" s="10"/>
      <c r="D39" s="2"/>
      <c r="E39" s="2"/>
      <c r="F39" s="6"/>
      <c r="G39" s="2"/>
      <c r="H39" s="2"/>
      <c r="I39" s="2"/>
      <c r="J39" s="6"/>
      <c r="K39" s="2"/>
      <c r="L39" s="2"/>
      <c r="M39" s="2"/>
      <c r="N39" s="6"/>
      <c r="O39" s="10"/>
      <c r="P39" s="2"/>
      <c r="Q39" s="2"/>
      <c r="R39" s="6"/>
      <c r="S39" s="2"/>
      <c r="T39" s="2"/>
      <c r="U39" s="2"/>
      <c r="V39" s="6"/>
      <c r="W39" s="2"/>
      <c r="X39" s="2"/>
      <c r="Y39" s="2"/>
      <c r="Z39" s="6"/>
    </row>
    <row r="40" spans="1:26" s="22" customFormat="1" x14ac:dyDescent="0.25">
      <c r="A40" s="10"/>
      <c r="B40" s="25" t="s">
        <v>6</v>
      </c>
      <c r="C40" s="25"/>
      <c r="D40" s="21">
        <f>D12-D29</f>
        <v>24011.069999999949</v>
      </c>
      <c r="E40" s="13"/>
      <c r="F40" s="20">
        <f>IF(D$12=0,0,D40/D$12)</f>
        <v>0.11545611523978266</v>
      </c>
      <c r="G40" s="13"/>
      <c r="H40" s="21">
        <f>H12-H29</f>
        <v>73006</v>
      </c>
      <c r="I40" s="13"/>
      <c r="J40" s="20">
        <f>IF(H$12=0,0,H40/H$12)</f>
        <v>0.21903727528022465</v>
      </c>
      <c r="K40" s="15"/>
      <c r="L40" s="21">
        <f>+D40-H40</f>
        <v>-48994.930000000051</v>
      </c>
      <c r="M40" s="15"/>
      <c r="N40" s="20">
        <f>IF(H40=0,0,L40/H40)</f>
        <v>-0.67110826507410415</v>
      </c>
      <c r="O40" s="26"/>
      <c r="P40" s="21">
        <f>P12-P29</f>
        <v>24011.069999999949</v>
      </c>
      <c r="Q40" s="13"/>
      <c r="R40" s="20">
        <f>IF(P$12=0,0,P40/P$12)</f>
        <v>0.11545611523978266</v>
      </c>
      <c r="S40" s="13"/>
      <c r="T40" s="21">
        <f>T12-T29</f>
        <v>73006</v>
      </c>
      <c r="U40" s="13"/>
      <c r="V40" s="20">
        <f>IF(T$12=0,0,T40/T$12)</f>
        <v>0.21903727528022465</v>
      </c>
      <c r="W40" s="15"/>
      <c r="X40" s="21">
        <f>+P40-T40</f>
        <v>-48994.930000000051</v>
      </c>
      <c r="Y40" s="15"/>
      <c r="Z40" s="20">
        <f>IF(T40=0,0,X40/T40)</f>
        <v>-0.67110826507410415</v>
      </c>
    </row>
    <row r="41" spans="1:26" x14ac:dyDescent="0.25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2" customFormat="1" x14ac:dyDescent="0.25">
      <c r="A42" s="10"/>
      <c r="B42" s="26" t="s">
        <v>9</v>
      </c>
      <c r="C42" s="10"/>
      <c r="D42" s="19">
        <f>SUM(OSRRefD22x_0)</f>
        <v>11779.660000000002</v>
      </c>
      <c r="E42" s="19"/>
      <c r="F42" s="31">
        <f t="shared" ref="F42:F53" si="12">IF(D$12=0,0,D42/D$12)</f>
        <v>5.6641948169967489E-2</v>
      </c>
      <c r="G42" s="19"/>
      <c r="H42" s="19">
        <f>SUM(OSRRefH22x_0)</f>
        <v>19143.714268557691</v>
      </c>
      <c r="I42" s="19"/>
      <c r="J42" s="31">
        <f t="shared" ref="J42:J53" si="13">IF(H$12=0,0,H42/H$12)</f>
        <v>5.7436197191025884E-2</v>
      </c>
      <c r="K42" s="4"/>
      <c r="L42" s="19">
        <f t="shared" ref="L42:L53" si="14">+D42-H42</f>
        <v>-7364.0542685576893</v>
      </c>
      <c r="M42" s="4"/>
      <c r="N42" s="31">
        <f t="shared" ref="N42:N53" si="15">IF(H42=0,0,L42/H42)</f>
        <v>-0.38467217830620626</v>
      </c>
      <c r="O42" s="10"/>
      <c r="P42" s="19">
        <f>SUM(OSRRefP22x_0)</f>
        <v>11779.660000000002</v>
      </c>
      <c r="Q42" s="19"/>
      <c r="R42" s="31">
        <f t="shared" ref="R42:R53" si="16">IF(P$12=0,0,P42/P$12)</f>
        <v>5.6641948169967489E-2</v>
      </c>
      <c r="S42" s="19"/>
      <c r="T42" s="19">
        <f>SUM(OSRRefT22x_0)</f>
        <v>19143.714268557691</v>
      </c>
      <c r="U42" s="19"/>
      <c r="V42" s="31">
        <f t="shared" ref="V42:V53" si="17">IF(T$12=0,0,T42/T$12)</f>
        <v>5.7436197191025884E-2</v>
      </c>
      <c r="W42" s="4"/>
      <c r="X42" s="19">
        <f t="shared" ref="X42:X53" si="18">+P42-T42</f>
        <v>-7364.0542685576893</v>
      </c>
      <c r="Y42" s="4"/>
      <c r="Z42" s="31">
        <f t="shared" ref="Z42:Z53" si="19">IF(T42=0,0,X42/T42)</f>
        <v>-0.38467217830620626</v>
      </c>
    </row>
    <row r="43" spans="1:26" s="29" customFormat="1" outlineLevel="1" collapsed="1" x14ac:dyDescent="0.25">
      <c r="A43" s="28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2728.3700000000003</v>
      </c>
      <c r="E43" s="1"/>
      <c r="F43" s="5">
        <f t="shared" si="12"/>
        <v>1.311924046436775E-2</v>
      </c>
      <c r="G43" s="1"/>
      <c r="H43" s="1">
        <f>SUM(OSRRefH22_0x_0)</f>
        <v>2846.6730185576898</v>
      </c>
      <c r="I43" s="1"/>
      <c r="J43" s="5">
        <f t="shared" si="13"/>
        <v>8.5407706434896969E-3</v>
      </c>
      <c r="K43" s="1"/>
      <c r="L43" s="1">
        <f t="shared" si="14"/>
        <v>-118.30301855768948</v>
      </c>
      <c r="M43" s="1"/>
      <c r="N43" s="5">
        <f t="shared" si="15"/>
        <v>-4.1558344701503339E-2</v>
      </c>
      <c r="O43" s="14"/>
      <c r="P43" s="1">
        <f>SUM(OSRRefP22_0x_0)</f>
        <v>2728.3700000000003</v>
      </c>
      <c r="Q43" s="1"/>
      <c r="R43" s="5">
        <f t="shared" si="16"/>
        <v>1.311924046436775E-2</v>
      </c>
      <c r="S43" s="1"/>
      <c r="T43" s="1">
        <f>SUM(OSRRefT22_0x_0)</f>
        <v>2846.6730185576898</v>
      </c>
      <c r="U43" s="1"/>
      <c r="V43" s="5">
        <f t="shared" si="17"/>
        <v>8.5407706434896969E-3</v>
      </c>
      <c r="W43" s="1"/>
      <c r="X43" s="1">
        <f t="shared" si="18"/>
        <v>-118.30301855768948</v>
      </c>
      <c r="Y43" s="1"/>
      <c r="Z43" s="5">
        <f t="shared" si="19"/>
        <v>-4.1558344701503339E-2</v>
      </c>
    </row>
    <row r="44" spans="1:26" s="24" customFormat="1" hidden="1" outlineLevel="2" x14ac:dyDescent="0.25">
      <c r="A44" s="27"/>
      <c r="B44" s="12" t="str">
        <f>CONCATENATE("          ", "6111", " - ", "F.I.C.A.")</f>
        <v xml:space="preserve">          6111 - F.I.C.A.</v>
      </c>
      <c r="C44" s="12"/>
      <c r="D44" s="7">
        <v>419.8</v>
      </c>
      <c r="E44" s="3"/>
      <c r="F44" s="8">
        <f t="shared" si="12"/>
        <v>2.0185888083147012E-3</v>
      </c>
      <c r="G44" s="3"/>
      <c r="H44" s="7">
        <v>691.13286375000007</v>
      </c>
      <c r="I44" s="3"/>
      <c r="J44" s="8">
        <f t="shared" si="13"/>
        <v>2.0735810663838421E-3</v>
      </c>
      <c r="K44" s="3"/>
      <c r="L44" s="7">
        <f t="shared" si="14"/>
        <v>-271.33286375000006</v>
      </c>
      <c r="M44" s="3"/>
      <c r="N44" s="8">
        <f t="shared" si="15"/>
        <v>-0.39259146537726775</v>
      </c>
      <c r="O44" s="12"/>
      <c r="P44" s="7">
        <v>419.8</v>
      </c>
      <c r="Q44" s="3"/>
      <c r="R44" s="8">
        <f t="shared" si="16"/>
        <v>2.0185888083147012E-3</v>
      </c>
      <c r="S44" s="3"/>
      <c r="T44" s="7">
        <v>691.13286375000007</v>
      </c>
      <c r="U44" s="3"/>
      <c r="V44" s="8">
        <f t="shared" si="17"/>
        <v>2.0735810663838421E-3</v>
      </c>
      <c r="W44" s="3"/>
      <c r="X44" s="7">
        <f t="shared" si="18"/>
        <v>-271.33286375000006</v>
      </c>
      <c r="Y44" s="3"/>
      <c r="Z44" s="8">
        <f t="shared" si="19"/>
        <v>-0.39259146537726775</v>
      </c>
    </row>
    <row r="45" spans="1:26" s="24" customFormat="1" hidden="1" outlineLevel="2" x14ac:dyDescent="0.25">
      <c r="A45" s="27"/>
      <c r="B45" s="12" t="str">
        <f>CONCATENATE("          ", "6112", " - ", "COMPENSATION INSURANCE")</f>
        <v xml:space="preserve">          6112 - COMPENSATION INSURANCE</v>
      </c>
      <c r="C45" s="12"/>
      <c r="D45" s="7">
        <v>53.05</v>
      </c>
      <c r="E45" s="3"/>
      <c r="F45" s="8">
        <f t="shared" si="12"/>
        <v>2.5508846184157903E-4</v>
      </c>
      <c r="G45" s="3"/>
      <c r="H45" s="7">
        <v>167.07118750000001</v>
      </c>
      <c r="I45" s="3"/>
      <c r="J45" s="8">
        <f t="shared" si="13"/>
        <v>5.0125767317523947E-4</v>
      </c>
      <c r="K45" s="3"/>
      <c r="L45" s="7">
        <f t="shared" si="14"/>
        <v>-114.02118750000001</v>
      </c>
      <c r="M45" s="3"/>
      <c r="N45" s="8">
        <f t="shared" si="15"/>
        <v>-0.6824706833426919</v>
      </c>
      <c r="O45" s="12"/>
      <c r="P45" s="7">
        <v>53.05</v>
      </c>
      <c r="Q45" s="3"/>
      <c r="R45" s="8">
        <f t="shared" si="16"/>
        <v>2.5508846184157903E-4</v>
      </c>
      <c r="S45" s="3"/>
      <c r="T45" s="7">
        <v>167.07118750000001</v>
      </c>
      <c r="U45" s="3"/>
      <c r="V45" s="8">
        <f t="shared" si="17"/>
        <v>5.0125767317523947E-4</v>
      </c>
      <c r="W45" s="3"/>
      <c r="X45" s="7">
        <f t="shared" si="18"/>
        <v>-114.02118750000001</v>
      </c>
      <c r="Y45" s="3"/>
      <c r="Z45" s="8">
        <f t="shared" si="19"/>
        <v>-0.6824706833426919</v>
      </c>
    </row>
    <row r="46" spans="1:26" s="24" customFormat="1" hidden="1" outlineLevel="2" x14ac:dyDescent="0.25">
      <c r="A46" s="27"/>
      <c r="B46" s="12" t="str">
        <f>CONCATENATE("          ", "6113", " - ", "GROUP INSURANCE")</f>
        <v xml:space="preserve">          6113 - GROUP INSURANCE</v>
      </c>
      <c r="C46" s="12"/>
      <c r="D46" s="7">
        <v>1035.69</v>
      </c>
      <c r="E46" s="3"/>
      <c r="F46" s="8">
        <f t="shared" si="12"/>
        <v>4.9800672769972666E-3</v>
      </c>
      <c r="G46" s="3"/>
      <c r="H46" s="7">
        <v>1099.8076923076899</v>
      </c>
      <c r="I46" s="3"/>
      <c r="J46" s="8">
        <f t="shared" si="13"/>
        <v>3.2997134517068196E-3</v>
      </c>
      <c r="K46" s="3"/>
      <c r="L46" s="7">
        <f t="shared" si="14"/>
        <v>-64.117692307689822</v>
      </c>
      <c r="M46" s="3"/>
      <c r="N46" s="8">
        <f t="shared" si="15"/>
        <v>-5.8299003322257008E-2</v>
      </c>
      <c r="O46" s="12"/>
      <c r="P46" s="7">
        <v>1035.69</v>
      </c>
      <c r="Q46" s="3"/>
      <c r="R46" s="8">
        <f t="shared" si="16"/>
        <v>4.9800672769972666E-3</v>
      </c>
      <c r="S46" s="3"/>
      <c r="T46" s="7">
        <v>1099.8076923076899</v>
      </c>
      <c r="U46" s="3"/>
      <c r="V46" s="8">
        <f t="shared" si="17"/>
        <v>3.2997134517068196E-3</v>
      </c>
      <c r="W46" s="3"/>
      <c r="X46" s="7">
        <f t="shared" si="18"/>
        <v>-64.117692307689822</v>
      </c>
      <c r="Y46" s="3"/>
      <c r="Z46" s="8">
        <f t="shared" si="19"/>
        <v>-5.8299003322257008E-2</v>
      </c>
    </row>
    <row r="47" spans="1:26" s="24" customFormat="1" hidden="1" outlineLevel="2" x14ac:dyDescent="0.25">
      <c r="A47" s="27"/>
      <c r="B47" s="12" t="str">
        <f>CONCATENATE("          ", "6114", " - ", "STATE UNEMPLOYMENT INSURANCE")</f>
        <v xml:space="preserve">          6114 - STATE UNEMPLOYMENT INSURANCE</v>
      </c>
      <c r="C47" s="12"/>
      <c r="D47" s="7">
        <v>14.46</v>
      </c>
      <c r="E47" s="3"/>
      <c r="F47" s="8">
        <f t="shared" si="12"/>
        <v>6.9530238609410611E-5</v>
      </c>
      <c r="G47" s="3"/>
      <c r="H47" s="7">
        <v>23.480274999999999</v>
      </c>
      <c r="I47" s="3"/>
      <c r="J47" s="8">
        <f t="shared" si="13"/>
        <v>7.0447024338141757E-5</v>
      </c>
      <c r="K47" s="3"/>
      <c r="L47" s="7">
        <f t="shared" si="14"/>
        <v>-9.020274999999998</v>
      </c>
      <c r="M47" s="3"/>
      <c r="N47" s="8">
        <f t="shared" si="15"/>
        <v>-0.38416394186183928</v>
      </c>
      <c r="O47" s="12"/>
      <c r="P47" s="7">
        <v>14.46</v>
      </c>
      <c r="Q47" s="3"/>
      <c r="R47" s="8">
        <f t="shared" si="16"/>
        <v>6.9530238609410611E-5</v>
      </c>
      <c r="S47" s="3"/>
      <c r="T47" s="7">
        <v>23.480274999999999</v>
      </c>
      <c r="U47" s="3"/>
      <c r="V47" s="8">
        <f t="shared" si="17"/>
        <v>7.0447024338141757E-5</v>
      </c>
      <c r="W47" s="3"/>
      <c r="X47" s="7">
        <f t="shared" si="18"/>
        <v>-9.020274999999998</v>
      </c>
      <c r="Y47" s="3"/>
      <c r="Z47" s="8">
        <f t="shared" si="19"/>
        <v>-0.38416394186183928</v>
      </c>
    </row>
    <row r="48" spans="1:26" s="24" customFormat="1" hidden="1" outlineLevel="2" x14ac:dyDescent="0.25">
      <c r="A48" s="27"/>
      <c r="B48" s="12" t="str">
        <f>CONCATENATE("          ", "6115", " - ", "P.E.R.S.")</f>
        <v xml:space="preserve">          6115 - P.E.R.S.</v>
      </c>
      <c r="C48" s="12"/>
      <c r="D48" s="7">
        <v>264.63</v>
      </c>
      <c r="E48" s="3"/>
      <c r="F48" s="8">
        <f t="shared" si="12"/>
        <v>1.2724610679950435E-3</v>
      </c>
      <c r="G48" s="3"/>
      <c r="H48" s="7">
        <v>245.34725</v>
      </c>
      <c r="I48" s="3"/>
      <c r="J48" s="8">
        <f t="shared" si="13"/>
        <v>7.3610652737440894E-4</v>
      </c>
      <c r="K48" s="3"/>
      <c r="L48" s="7">
        <f t="shared" si="14"/>
        <v>19.282749999999993</v>
      </c>
      <c r="M48" s="3"/>
      <c r="N48" s="8">
        <f t="shared" si="15"/>
        <v>7.8593707490098183E-2</v>
      </c>
      <c r="O48" s="12"/>
      <c r="P48" s="7">
        <v>264.63</v>
      </c>
      <c r="Q48" s="3"/>
      <c r="R48" s="8">
        <f t="shared" si="16"/>
        <v>1.2724610679950435E-3</v>
      </c>
      <c r="S48" s="3"/>
      <c r="T48" s="7">
        <v>245.34725</v>
      </c>
      <c r="U48" s="3"/>
      <c r="V48" s="8">
        <f t="shared" si="17"/>
        <v>7.3610652737440894E-4</v>
      </c>
      <c r="W48" s="3"/>
      <c r="X48" s="7">
        <f t="shared" si="18"/>
        <v>19.282749999999993</v>
      </c>
      <c r="Y48" s="3"/>
      <c r="Z48" s="8">
        <f t="shared" si="19"/>
        <v>7.8593707490098183E-2</v>
      </c>
    </row>
    <row r="49" spans="1:26" s="24" customFormat="1" hidden="1" outlineLevel="2" x14ac:dyDescent="0.25">
      <c r="A49" s="27"/>
      <c r="B49" s="12" t="str">
        <f>CONCATENATE("          ", "6116", " - ", "EDUCATIONAL BENEFITS")</f>
        <v xml:space="preserve">          6116 - EDUCATIONAL BENEFITS</v>
      </c>
      <c r="C49" s="12"/>
      <c r="D49" s="7"/>
      <c r="E49" s="3"/>
      <c r="F49" s="8">
        <f t="shared" si="12"/>
        <v>0</v>
      </c>
      <c r="G49" s="3"/>
      <c r="H49" s="7">
        <v>0</v>
      </c>
      <c r="I49" s="3"/>
      <c r="J49" s="8">
        <f t="shared" si="13"/>
        <v>0</v>
      </c>
      <c r="K49" s="3"/>
      <c r="L49" s="7">
        <f t="shared" si="14"/>
        <v>0</v>
      </c>
      <c r="M49" s="3"/>
      <c r="N49" s="8">
        <f t="shared" si="15"/>
        <v>0</v>
      </c>
      <c r="O49" s="12"/>
      <c r="P49" s="7"/>
      <c r="Q49" s="3"/>
      <c r="R49" s="8">
        <f t="shared" si="16"/>
        <v>0</v>
      </c>
      <c r="S49" s="3"/>
      <c r="T49" s="7">
        <v>0</v>
      </c>
      <c r="U49" s="3"/>
      <c r="V49" s="8">
        <f t="shared" si="17"/>
        <v>0</v>
      </c>
      <c r="W49" s="3"/>
      <c r="X49" s="7">
        <f t="shared" si="18"/>
        <v>0</v>
      </c>
      <c r="Y49" s="3"/>
      <c r="Z49" s="8">
        <f t="shared" si="19"/>
        <v>0</v>
      </c>
    </row>
    <row r="50" spans="1:26" s="24" customFormat="1" hidden="1" outlineLevel="2" x14ac:dyDescent="0.25">
      <c r="A50" s="27"/>
      <c r="B50" s="12" t="str">
        <f>CONCATENATE("          ", "6117", " - ", "RETIREMENT STAFF HOURLY")</f>
        <v xml:space="preserve">          6117 - RETIREMENT STAFF HOURLY</v>
      </c>
      <c r="C50" s="12"/>
      <c r="D50" s="7">
        <v>247.54</v>
      </c>
      <c r="E50" s="3"/>
      <c r="F50" s="8">
        <f t="shared" si="12"/>
        <v>1.190284596498859E-3</v>
      </c>
      <c r="G50" s="3"/>
      <c r="H50" s="7"/>
      <c r="I50" s="3"/>
      <c r="J50" s="8">
        <f t="shared" si="13"/>
        <v>0</v>
      </c>
      <c r="K50" s="3"/>
      <c r="L50" s="7">
        <f t="shared" si="14"/>
        <v>247.54</v>
      </c>
      <c r="M50" s="3"/>
      <c r="N50" s="8">
        <f t="shared" si="15"/>
        <v>0</v>
      </c>
      <c r="O50" s="12"/>
      <c r="P50" s="7">
        <v>247.54</v>
      </c>
      <c r="Q50" s="3"/>
      <c r="R50" s="8">
        <f t="shared" si="16"/>
        <v>1.190284596498859E-3</v>
      </c>
      <c r="S50" s="3"/>
      <c r="T50" s="7"/>
      <c r="U50" s="3"/>
      <c r="V50" s="8">
        <f t="shared" si="17"/>
        <v>0</v>
      </c>
      <c r="W50" s="3"/>
      <c r="X50" s="7">
        <f t="shared" si="18"/>
        <v>247.54</v>
      </c>
      <c r="Y50" s="3"/>
      <c r="Z50" s="8">
        <f t="shared" si="19"/>
        <v>0</v>
      </c>
    </row>
    <row r="51" spans="1:26" s="24" customFormat="1" hidden="1" outlineLevel="2" x14ac:dyDescent="0.25">
      <c r="A51" s="27"/>
      <c r="B51" s="12" t="str">
        <f>CONCATENATE("          ", "6118", " - ", "VACATION")</f>
        <v xml:space="preserve">          6118 - VACATION</v>
      </c>
      <c r="C51" s="12"/>
      <c r="D51" s="7">
        <v>257.8</v>
      </c>
      <c r="E51" s="3"/>
      <c r="F51" s="8">
        <f t="shared" si="12"/>
        <v>1.2396193301179846E-3</v>
      </c>
      <c r="G51" s="3"/>
      <c r="H51" s="7">
        <v>243.43625</v>
      </c>
      <c r="I51" s="3"/>
      <c r="J51" s="8">
        <f t="shared" si="13"/>
        <v>7.3037302282600864E-4</v>
      </c>
      <c r="K51" s="3"/>
      <c r="L51" s="7">
        <f t="shared" si="14"/>
        <v>14.36375000000001</v>
      </c>
      <c r="M51" s="3"/>
      <c r="N51" s="8">
        <f t="shared" si="15"/>
        <v>5.9004154064975986E-2</v>
      </c>
      <c r="O51" s="12"/>
      <c r="P51" s="7">
        <v>257.8</v>
      </c>
      <c r="Q51" s="3"/>
      <c r="R51" s="8">
        <f t="shared" si="16"/>
        <v>1.2396193301179846E-3</v>
      </c>
      <c r="S51" s="3"/>
      <c r="T51" s="7">
        <v>243.43625</v>
      </c>
      <c r="U51" s="3"/>
      <c r="V51" s="8">
        <f t="shared" si="17"/>
        <v>7.3037302282600864E-4</v>
      </c>
      <c r="W51" s="3"/>
      <c r="X51" s="7">
        <f t="shared" si="18"/>
        <v>14.36375000000001</v>
      </c>
      <c r="Y51" s="3"/>
      <c r="Z51" s="8">
        <f t="shared" si="19"/>
        <v>5.9004154064975986E-2</v>
      </c>
    </row>
    <row r="52" spans="1:26" s="24" customFormat="1" hidden="1" outlineLevel="2" x14ac:dyDescent="0.25">
      <c r="A52" s="27"/>
      <c r="B52" s="12" t="str">
        <f>CONCATENATE("          ", "6119", " - ", "SICK LEAVE")</f>
        <v xml:space="preserve">          6119 - SICK LEAVE</v>
      </c>
      <c r="C52" s="12"/>
      <c r="D52" s="7">
        <v>256.57</v>
      </c>
      <c r="E52" s="3"/>
      <c r="F52" s="8">
        <f t="shared" si="12"/>
        <v>1.2337049322279723E-3</v>
      </c>
      <c r="G52" s="3"/>
      <c r="H52" s="7">
        <v>201.39750000000001</v>
      </c>
      <c r="I52" s="3"/>
      <c r="J52" s="8">
        <f t="shared" si="13"/>
        <v>6.0424567361927852E-4</v>
      </c>
      <c r="K52" s="3"/>
      <c r="L52" s="7">
        <f t="shared" si="14"/>
        <v>55.172499999999985</v>
      </c>
      <c r="M52" s="3"/>
      <c r="N52" s="8">
        <f t="shared" si="15"/>
        <v>0.27394828634913532</v>
      </c>
      <c r="O52" s="12"/>
      <c r="P52" s="7">
        <v>256.57</v>
      </c>
      <c r="Q52" s="3"/>
      <c r="R52" s="8">
        <f t="shared" si="16"/>
        <v>1.2337049322279723E-3</v>
      </c>
      <c r="S52" s="3"/>
      <c r="T52" s="7">
        <v>201.39750000000001</v>
      </c>
      <c r="U52" s="3"/>
      <c r="V52" s="8">
        <f t="shared" si="17"/>
        <v>6.0424567361927852E-4</v>
      </c>
      <c r="W52" s="3"/>
      <c r="X52" s="7">
        <f t="shared" si="18"/>
        <v>55.172499999999985</v>
      </c>
      <c r="Y52" s="3"/>
      <c r="Z52" s="8">
        <f t="shared" si="19"/>
        <v>0.27394828634913532</v>
      </c>
    </row>
    <row r="53" spans="1:26" s="24" customFormat="1" hidden="1" outlineLevel="2" x14ac:dyDescent="0.25">
      <c r="A53" s="27"/>
      <c r="B53" s="12" t="str">
        <f>CONCATENATE("          ", "6156", " - ", "EMPLOYEE MEALS")</f>
        <v xml:space="preserve">          6156 - EMPLOYEE MEALS</v>
      </c>
      <c r="C53" s="12"/>
      <c r="D53" s="7">
        <v>178.83</v>
      </c>
      <c r="E53" s="3"/>
      <c r="F53" s="8">
        <f t="shared" si="12"/>
        <v>8.5989575176493086E-4</v>
      </c>
      <c r="G53" s="3"/>
      <c r="H53" s="7">
        <v>175</v>
      </c>
      <c r="I53" s="3"/>
      <c r="J53" s="8">
        <f t="shared" si="13"/>
        <v>5.2504620406595786E-4</v>
      </c>
      <c r="K53" s="3"/>
      <c r="L53" s="7">
        <f t="shared" si="14"/>
        <v>3.8300000000000125</v>
      </c>
      <c r="M53" s="3"/>
      <c r="N53" s="8">
        <f t="shared" si="15"/>
        <v>2.1885714285714356E-2</v>
      </c>
      <c r="O53" s="12"/>
      <c r="P53" s="7">
        <v>178.83</v>
      </c>
      <c r="Q53" s="3"/>
      <c r="R53" s="8">
        <f t="shared" si="16"/>
        <v>8.5989575176493086E-4</v>
      </c>
      <c r="S53" s="3"/>
      <c r="T53" s="7">
        <v>175</v>
      </c>
      <c r="U53" s="3"/>
      <c r="V53" s="8">
        <f t="shared" si="17"/>
        <v>5.2504620406595786E-4</v>
      </c>
      <c r="W53" s="3"/>
      <c r="X53" s="7">
        <f t="shared" si="18"/>
        <v>3.8300000000000125</v>
      </c>
      <c r="Y53" s="3"/>
      <c r="Z53" s="8">
        <f t="shared" si="19"/>
        <v>2.1885714285714356E-2</v>
      </c>
    </row>
    <row r="54" spans="1:26" s="29" customFormat="1" outlineLevel="1" collapsed="1" x14ac:dyDescent="0.25">
      <c r="A54" s="28"/>
      <c r="B54" s="14" t="str">
        <f>CONCATENATE("     ","*Payroll                                          ")</f>
        <v xml:space="preserve">     *Payroll                                          </v>
      </c>
      <c r="C54" s="14"/>
      <c r="D54" s="1">
        <f>SUM(OSRRefD22_1x_0)</f>
        <v>6417.82</v>
      </c>
      <c r="E54" s="1"/>
      <c r="F54" s="5">
        <f t="shared" ref="F54:F64" si="20">IF(D$12=0,0,D54/D$12)</f>
        <v>3.0859789484941051E-2</v>
      </c>
      <c r="G54" s="1"/>
      <c r="H54" s="1">
        <f>SUM(OSRRefH22_1x_0)</f>
        <v>8586.0412500000002</v>
      </c>
      <c r="I54" s="1"/>
      <c r="J54" s="5">
        <f t="shared" ref="J54:J64" si="21">IF(H$12=0,0,H54/H$12)</f>
        <v>2.5760390664378467E-2</v>
      </c>
      <c r="K54" s="1"/>
      <c r="L54" s="1">
        <f t="shared" ref="L54:L64" si="22">+D54-H54</f>
        <v>-2168.2212500000005</v>
      </c>
      <c r="M54" s="1"/>
      <c r="N54" s="5">
        <f t="shared" ref="N54:N64" si="23">IF(H54=0,0,L54/H54)</f>
        <v>-0.25252863186512181</v>
      </c>
      <c r="O54" s="14"/>
      <c r="P54" s="1">
        <f>SUM(OSRRefP22_1x_0)</f>
        <v>6417.82</v>
      </c>
      <c r="Q54" s="1"/>
      <c r="R54" s="5">
        <f t="shared" ref="R54:R64" si="24">IF(P$12=0,0,P54/P$12)</f>
        <v>3.0859789484941051E-2</v>
      </c>
      <c r="S54" s="1"/>
      <c r="T54" s="1">
        <f>SUM(OSRRefT22_1x_0)</f>
        <v>8586.0412500000002</v>
      </c>
      <c r="U54" s="1"/>
      <c r="V54" s="5">
        <f t="shared" ref="V54:V64" si="25">IF(T$12=0,0,T54/T$12)</f>
        <v>2.5760390664378467E-2</v>
      </c>
      <c r="W54" s="1"/>
      <c r="X54" s="1">
        <f t="shared" ref="X54:X64" si="26">+P54-T54</f>
        <v>-2168.2212500000005</v>
      </c>
      <c r="Y54" s="1"/>
      <c r="Z54" s="5">
        <f t="shared" ref="Z54:Z64" si="27">IF(T54=0,0,X54/T54)</f>
        <v>-0.25252863186512181</v>
      </c>
    </row>
    <row r="55" spans="1:26" s="24" customFormat="1" hidden="1" outlineLevel="2" x14ac:dyDescent="0.25">
      <c r="A55" s="27"/>
      <c r="B55" s="12" t="str">
        <f>CONCATENATE("          ", "6001", " - ", "ADMINISTRATIVE SALARIES")</f>
        <v xml:space="preserve">          6001 - ADMINISTRATIVE SALARIES</v>
      </c>
      <c r="C55" s="12"/>
      <c r="D55" s="7"/>
      <c r="E55" s="3"/>
      <c r="F55" s="8">
        <f t="shared" si="20"/>
        <v>0</v>
      </c>
      <c r="G55" s="3"/>
      <c r="H55" s="7">
        <v>0</v>
      </c>
      <c r="I55" s="3"/>
      <c r="J55" s="8">
        <f t="shared" si="21"/>
        <v>0</v>
      </c>
      <c r="K55" s="3"/>
      <c r="L55" s="7">
        <f t="shared" si="22"/>
        <v>0</v>
      </c>
      <c r="M55" s="3"/>
      <c r="N55" s="8">
        <f t="shared" si="23"/>
        <v>0</v>
      </c>
      <c r="O55" s="12"/>
      <c r="P55" s="7"/>
      <c r="Q55" s="3"/>
      <c r="R55" s="8">
        <f t="shared" si="24"/>
        <v>0</v>
      </c>
      <c r="S55" s="3"/>
      <c r="T55" s="7">
        <v>0</v>
      </c>
      <c r="U55" s="3"/>
      <c r="V55" s="8">
        <f t="shared" si="25"/>
        <v>0</v>
      </c>
      <c r="W55" s="3"/>
      <c r="X55" s="7">
        <f t="shared" si="26"/>
        <v>0</v>
      </c>
      <c r="Y55" s="3"/>
      <c r="Z55" s="8">
        <f t="shared" si="27"/>
        <v>0</v>
      </c>
    </row>
    <row r="56" spans="1:26" s="24" customFormat="1" hidden="1" outlineLevel="2" x14ac:dyDescent="0.25">
      <c r="A56" s="27"/>
      <c r="B56" s="12" t="str">
        <f>CONCATENATE("          ", "6002", " - ", "STAFF SALARIES")</f>
        <v xml:space="preserve">          6002 - STAFF SALARIES</v>
      </c>
      <c r="C56" s="12"/>
      <c r="D56" s="7">
        <v>2625.07</v>
      </c>
      <c r="E56" s="3"/>
      <c r="F56" s="8">
        <f t="shared" si="20"/>
        <v>1.2622527210678114E-2</v>
      </c>
      <c r="G56" s="3"/>
      <c r="H56" s="7">
        <v>2710.2312499999998</v>
      </c>
      <c r="I56" s="3"/>
      <c r="J56" s="8">
        <f t="shared" si="21"/>
        <v>8.1314093140196324E-3</v>
      </c>
      <c r="K56" s="3"/>
      <c r="L56" s="7">
        <f t="shared" si="22"/>
        <v>-85.161249999999654</v>
      </c>
      <c r="M56" s="3"/>
      <c r="N56" s="8">
        <f t="shared" si="23"/>
        <v>-3.1422134181354325E-2</v>
      </c>
      <c r="O56" s="12"/>
      <c r="P56" s="7">
        <v>2625.07</v>
      </c>
      <c r="Q56" s="3"/>
      <c r="R56" s="8">
        <f t="shared" si="24"/>
        <v>1.2622527210678114E-2</v>
      </c>
      <c r="S56" s="3"/>
      <c r="T56" s="7">
        <v>2710.2312499999998</v>
      </c>
      <c r="U56" s="3"/>
      <c r="V56" s="8">
        <f t="shared" si="25"/>
        <v>8.1314093140196324E-3</v>
      </c>
      <c r="W56" s="3"/>
      <c r="X56" s="7">
        <f t="shared" si="26"/>
        <v>-85.161249999999654</v>
      </c>
      <c r="Y56" s="3"/>
      <c r="Z56" s="8">
        <f t="shared" si="27"/>
        <v>-3.1422134181354325E-2</v>
      </c>
    </row>
    <row r="57" spans="1:26" s="24" customFormat="1" hidden="1" outlineLevel="2" x14ac:dyDescent="0.25">
      <c r="A57" s="27"/>
      <c r="B57" s="12" t="str">
        <f>CONCATENATE("          ", "6003", " - ", "STAFF HOURLY-9 MONTH")</f>
        <v xml:space="preserve">          6003 - STAFF HOURLY-9 MONTH</v>
      </c>
      <c r="C57" s="12"/>
      <c r="D57" s="7"/>
      <c r="E57" s="3"/>
      <c r="F57" s="8">
        <f t="shared" si="20"/>
        <v>0</v>
      </c>
      <c r="G57" s="3"/>
      <c r="H57" s="7">
        <v>0</v>
      </c>
      <c r="I57" s="3"/>
      <c r="J57" s="8">
        <f t="shared" si="21"/>
        <v>0</v>
      </c>
      <c r="K57" s="3"/>
      <c r="L57" s="7">
        <f t="shared" si="22"/>
        <v>0</v>
      </c>
      <c r="M57" s="3"/>
      <c r="N57" s="8">
        <f t="shared" si="23"/>
        <v>0</v>
      </c>
      <c r="O57" s="12"/>
      <c r="P57" s="7"/>
      <c r="Q57" s="3"/>
      <c r="R57" s="8">
        <f t="shared" si="24"/>
        <v>0</v>
      </c>
      <c r="S57" s="3"/>
      <c r="T57" s="7">
        <v>0</v>
      </c>
      <c r="U57" s="3"/>
      <c r="V57" s="8">
        <f t="shared" si="25"/>
        <v>0</v>
      </c>
      <c r="W57" s="3"/>
      <c r="X57" s="7">
        <f t="shared" si="26"/>
        <v>0</v>
      </c>
      <c r="Y57" s="3"/>
      <c r="Z57" s="8">
        <f t="shared" si="27"/>
        <v>0</v>
      </c>
    </row>
    <row r="58" spans="1:26" s="24" customFormat="1" hidden="1" outlineLevel="2" x14ac:dyDescent="0.25">
      <c r="A58" s="27"/>
      <c r="B58" s="12" t="str">
        <f>CONCATENATE("          ", "6004", " - ", "STAFF HOURLY")</f>
        <v xml:space="preserve">          6004 - STAFF HOURLY</v>
      </c>
      <c r="C58" s="12"/>
      <c r="D58" s="7">
        <v>3023.75</v>
      </c>
      <c r="E58" s="3"/>
      <c r="F58" s="8">
        <f t="shared" si="20"/>
        <v>1.4539561479613093E-2</v>
      </c>
      <c r="G58" s="3"/>
      <c r="H58" s="7">
        <v>3860.15</v>
      </c>
      <c r="I58" s="3"/>
      <c r="J58" s="8">
        <f t="shared" si="21"/>
        <v>1.1581469169286897E-2</v>
      </c>
      <c r="K58" s="3"/>
      <c r="L58" s="7">
        <f t="shared" si="22"/>
        <v>-836.40000000000009</v>
      </c>
      <c r="M58" s="3"/>
      <c r="N58" s="8">
        <f t="shared" si="23"/>
        <v>-0.21667551779075944</v>
      </c>
      <c r="O58" s="12"/>
      <c r="P58" s="7">
        <v>3023.75</v>
      </c>
      <c r="Q58" s="3"/>
      <c r="R58" s="8">
        <f t="shared" si="24"/>
        <v>1.4539561479613093E-2</v>
      </c>
      <c r="S58" s="3"/>
      <c r="T58" s="7">
        <v>3860.15</v>
      </c>
      <c r="U58" s="3"/>
      <c r="V58" s="8">
        <f t="shared" si="25"/>
        <v>1.1581469169286897E-2</v>
      </c>
      <c r="W58" s="3"/>
      <c r="X58" s="7">
        <f t="shared" si="26"/>
        <v>-836.40000000000009</v>
      </c>
      <c r="Y58" s="3"/>
      <c r="Z58" s="8">
        <f t="shared" si="27"/>
        <v>-0.21667551779075944</v>
      </c>
    </row>
    <row r="59" spans="1:26" s="24" customFormat="1" hidden="1" outlineLevel="2" x14ac:dyDescent="0.25">
      <c r="A59" s="27"/>
      <c r="B59" s="12" t="str">
        <f>CONCATENATE("          ", "6005", " - ", "TEMPORARY WAGES-HOURLY")</f>
        <v xml:space="preserve">          6005 - TEMPORARY WAGES-HOURLY</v>
      </c>
      <c r="C59" s="12"/>
      <c r="D59" s="7"/>
      <c r="E59" s="3"/>
      <c r="F59" s="8">
        <f t="shared" si="20"/>
        <v>0</v>
      </c>
      <c r="G59" s="3"/>
      <c r="H59" s="7">
        <v>0</v>
      </c>
      <c r="I59" s="3"/>
      <c r="J59" s="8">
        <f t="shared" si="21"/>
        <v>0</v>
      </c>
      <c r="K59" s="3"/>
      <c r="L59" s="7">
        <f t="shared" si="22"/>
        <v>0</v>
      </c>
      <c r="M59" s="3"/>
      <c r="N59" s="8">
        <f t="shared" si="23"/>
        <v>0</v>
      </c>
      <c r="O59" s="12"/>
      <c r="P59" s="7"/>
      <c r="Q59" s="3"/>
      <c r="R59" s="8">
        <f t="shared" si="24"/>
        <v>0</v>
      </c>
      <c r="S59" s="3"/>
      <c r="T59" s="7">
        <v>0</v>
      </c>
      <c r="U59" s="3"/>
      <c r="V59" s="8">
        <f t="shared" si="25"/>
        <v>0</v>
      </c>
      <c r="W59" s="3"/>
      <c r="X59" s="7">
        <f t="shared" si="26"/>
        <v>0</v>
      </c>
      <c r="Y59" s="3"/>
      <c r="Z59" s="8">
        <f t="shared" si="27"/>
        <v>0</v>
      </c>
    </row>
    <row r="60" spans="1:26" s="24" customFormat="1" hidden="1" outlineLevel="2" x14ac:dyDescent="0.25">
      <c r="A60" s="27"/>
      <c r="B60" s="12" t="str">
        <f>CONCATENATE("          ", "6006", " - ", "TEMPORARY PART TIME")</f>
        <v xml:space="preserve">          6006 - TEMPORARY PART TIME</v>
      </c>
      <c r="C60" s="12"/>
      <c r="D60" s="7"/>
      <c r="E60" s="3"/>
      <c r="F60" s="8">
        <f t="shared" si="20"/>
        <v>0</v>
      </c>
      <c r="G60" s="3"/>
      <c r="H60" s="7">
        <v>0</v>
      </c>
      <c r="I60" s="3"/>
      <c r="J60" s="8">
        <f t="shared" si="21"/>
        <v>0</v>
      </c>
      <c r="K60" s="3"/>
      <c r="L60" s="7">
        <f t="shared" si="22"/>
        <v>0</v>
      </c>
      <c r="M60" s="3"/>
      <c r="N60" s="8">
        <f t="shared" si="23"/>
        <v>0</v>
      </c>
      <c r="O60" s="12"/>
      <c r="P60" s="7"/>
      <c r="Q60" s="3"/>
      <c r="R60" s="8">
        <f t="shared" si="24"/>
        <v>0</v>
      </c>
      <c r="S60" s="3"/>
      <c r="T60" s="7">
        <v>0</v>
      </c>
      <c r="U60" s="3"/>
      <c r="V60" s="8">
        <f t="shared" si="25"/>
        <v>0</v>
      </c>
      <c r="W60" s="3"/>
      <c r="X60" s="7">
        <f t="shared" si="26"/>
        <v>0</v>
      </c>
      <c r="Y60" s="3"/>
      <c r="Z60" s="8">
        <f t="shared" si="27"/>
        <v>0</v>
      </c>
    </row>
    <row r="61" spans="1:26" s="24" customFormat="1" hidden="1" outlineLevel="2" x14ac:dyDescent="0.25">
      <c r="A61" s="27"/>
      <c r="B61" s="12" t="str">
        <f>CONCATENATE("          ", "6007", " - ", "STUDENT HOURLY")</f>
        <v xml:space="preserve">          6007 - STUDENT HOURLY</v>
      </c>
      <c r="C61" s="12"/>
      <c r="D61" s="7">
        <v>769</v>
      </c>
      <c r="E61" s="3"/>
      <c r="F61" s="8">
        <f t="shared" si="20"/>
        <v>3.697700794649845E-3</v>
      </c>
      <c r="G61" s="3"/>
      <c r="H61" s="7">
        <v>2015.66</v>
      </c>
      <c r="I61" s="3"/>
      <c r="J61" s="8">
        <f t="shared" si="21"/>
        <v>6.0475121810719349E-3</v>
      </c>
      <c r="K61" s="3"/>
      <c r="L61" s="7">
        <f t="shared" si="22"/>
        <v>-1246.6600000000001</v>
      </c>
      <c r="M61" s="3"/>
      <c r="N61" s="8">
        <f t="shared" si="23"/>
        <v>-0.61848724487264717</v>
      </c>
      <c r="O61" s="12"/>
      <c r="P61" s="7">
        <v>769</v>
      </c>
      <c r="Q61" s="3"/>
      <c r="R61" s="8">
        <f t="shared" si="24"/>
        <v>3.697700794649845E-3</v>
      </c>
      <c r="S61" s="3"/>
      <c r="T61" s="7">
        <v>2015.66</v>
      </c>
      <c r="U61" s="3"/>
      <c r="V61" s="8">
        <f t="shared" si="25"/>
        <v>6.0475121810719349E-3</v>
      </c>
      <c r="W61" s="3"/>
      <c r="X61" s="7">
        <f t="shared" si="26"/>
        <v>-1246.6600000000001</v>
      </c>
      <c r="Y61" s="3"/>
      <c r="Z61" s="8">
        <f t="shared" si="27"/>
        <v>-0.61848724487264717</v>
      </c>
    </row>
    <row r="62" spans="1:26" s="24" customFormat="1" hidden="1" outlineLevel="2" x14ac:dyDescent="0.25">
      <c r="A62" s="27"/>
      <c r="B62" s="12" t="str">
        <f>CONCATENATE("          ", "6008", " - ", "STUDENT HOURLY-FICA EXEMPT")</f>
        <v xml:space="preserve">          6008 - STUDENT HOURLY-FICA EXEMPT</v>
      </c>
      <c r="C62" s="12"/>
      <c r="D62" s="7"/>
      <c r="E62" s="3"/>
      <c r="F62" s="8">
        <f t="shared" si="20"/>
        <v>0</v>
      </c>
      <c r="G62" s="3"/>
      <c r="H62" s="7">
        <v>0</v>
      </c>
      <c r="I62" s="3"/>
      <c r="J62" s="8">
        <f t="shared" si="21"/>
        <v>0</v>
      </c>
      <c r="K62" s="3"/>
      <c r="L62" s="7">
        <f t="shared" si="22"/>
        <v>0</v>
      </c>
      <c r="M62" s="3"/>
      <c r="N62" s="8">
        <f t="shared" si="23"/>
        <v>0</v>
      </c>
      <c r="O62" s="12"/>
      <c r="P62" s="7"/>
      <c r="Q62" s="3"/>
      <c r="R62" s="8">
        <f t="shared" si="24"/>
        <v>0</v>
      </c>
      <c r="S62" s="3"/>
      <c r="T62" s="7">
        <v>0</v>
      </c>
      <c r="U62" s="3"/>
      <c r="V62" s="8">
        <f t="shared" si="25"/>
        <v>0</v>
      </c>
      <c r="W62" s="3"/>
      <c r="X62" s="7">
        <f t="shared" si="26"/>
        <v>0</v>
      </c>
      <c r="Y62" s="3"/>
      <c r="Z62" s="8">
        <f t="shared" si="27"/>
        <v>0</v>
      </c>
    </row>
    <row r="63" spans="1:26" s="24" customFormat="1" hidden="1" outlineLevel="2" x14ac:dyDescent="0.25">
      <c r="A63" s="27"/>
      <c r="B63" s="12" t="str">
        <f>CONCATENATE("          ", "6009", " - ", "TEMPORARY-SEASONAL")</f>
        <v xml:space="preserve">          6009 - TEMPORARY-SEASONAL</v>
      </c>
      <c r="C63" s="12"/>
      <c r="D63" s="7"/>
      <c r="E63" s="3"/>
      <c r="F63" s="8">
        <f t="shared" si="20"/>
        <v>0</v>
      </c>
      <c r="G63" s="3"/>
      <c r="H63" s="7">
        <v>0</v>
      </c>
      <c r="I63" s="3"/>
      <c r="J63" s="8">
        <f t="shared" si="21"/>
        <v>0</v>
      </c>
      <c r="K63" s="3"/>
      <c r="L63" s="7">
        <f t="shared" si="22"/>
        <v>0</v>
      </c>
      <c r="M63" s="3"/>
      <c r="N63" s="8">
        <f t="shared" si="23"/>
        <v>0</v>
      </c>
      <c r="O63" s="12"/>
      <c r="P63" s="7"/>
      <c r="Q63" s="3"/>
      <c r="R63" s="8">
        <f t="shared" si="24"/>
        <v>0</v>
      </c>
      <c r="S63" s="3"/>
      <c r="T63" s="7">
        <v>0</v>
      </c>
      <c r="U63" s="3"/>
      <c r="V63" s="8">
        <f t="shared" si="25"/>
        <v>0</v>
      </c>
      <c r="W63" s="3"/>
      <c r="X63" s="7">
        <f t="shared" si="26"/>
        <v>0</v>
      </c>
      <c r="Y63" s="3"/>
      <c r="Z63" s="8">
        <f t="shared" si="27"/>
        <v>0</v>
      </c>
    </row>
    <row r="64" spans="1:26" s="24" customFormat="1" hidden="1" outlineLevel="2" x14ac:dyDescent="0.25">
      <c r="A64" s="27"/>
      <c r="B64" s="12" t="str">
        <f>CONCATENATE("          ", "6010", " - ", "GRATUITY")</f>
        <v xml:space="preserve">          6010 - GRATUITY</v>
      </c>
      <c r="C64" s="12"/>
      <c r="D64" s="7"/>
      <c r="E64" s="3"/>
      <c r="F64" s="8">
        <f t="shared" si="20"/>
        <v>0</v>
      </c>
      <c r="G64" s="3"/>
      <c r="H64" s="7">
        <v>0</v>
      </c>
      <c r="I64" s="3"/>
      <c r="J64" s="8">
        <f t="shared" si="21"/>
        <v>0</v>
      </c>
      <c r="K64" s="3"/>
      <c r="L64" s="7">
        <f t="shared" si="22"/>
        <v>0</v>
      </c>
      <c r="M64" s="3"/>
      <c r="N64" s="8">
        <f t="shared" si="23"/>
        <v>0</v>
      </c>
      <c r="O64" s="12"/>
      <c r="P64" s="7"/>
      <c r="Q64" s="3"/>
      <c r="R64" s="8">
        <f t="shared" si="24"/>
        <v>0</v>
      </c>
      <c r="S64" s="3"/>
      <c r="T64" s="7">
        <v>0</v>
      </c>
      <c r="U64" s="3"/>
      <c r="V64" s="8">
        <f t="shared" si="25"/>
        <v>0</v>
      </c>
      <c r="W64" s="3"/>
      <c r="X64" s="7">
        <f t="shared" si="26"/>
        <v>0</v>
      </c>
      <c r="Y64" s="3"/>
      <c r="Z64" s="8">
        <f t="shared" si="27"/>
        <v>0</v>
      </c>
    </row>
    <row r="65" spans="1:26" s="29" customFormat="1" outlineLevel="1" collapsed="1" x14ac:dyDescent="0.25">
      <c r="A65" s="28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149.65</v>
      </c>
      <c r="E65" s="1"/>
      <c r="F65" s="5">
        <f t="shared" ref="F65:F75" si="28">IF(D$12=0,0,D65/D$12)</f>
        <v>7.1958507661813958E-4</v>
      </c>
      <c r="G65" s="1"/>
      <c r="H65" s="1">
        <f>SUM(OSRRefH22_2x_0)</f>
        <v>200</v>
      </c>
      <c r="I65" s="1"/>
      <c r="J65" s="5">
        <f t="shared" ref="J65:J75" si="29">IF(H$12=0,0,H65/H$12)</f>
        <v>6.0005280464680893E-4</v>
      </c>
      <c r="K65" s="1"/>
      <c r="L65" s="1">
        <f t="shared" ref="L65:L75" si="30">+D65-H65</f>
        <v>-50.349999999999994</v>
      </c>
      <c r="M65" s="1"/>
      <c r="N65" s="5">
        <f t="shared" ref="N65:N75" si="31">IF(H65=0,0,L65/H65)</f>
        <v>-0.25174999999999997</v>
      </c>
      <c r="O65" s="14"/>
      <c r="P65" s="1">
        <f>SUM(OSRRefP22_2x_0)</f>
        <v>149.65</v>
      </c>
      <c r="Q65" s="1"/>
      <c r="R65" s="5">
        <f t="shared" ref="R65:R75" si="32">IF(P$12=0,0,P65/P$12)</f>
        <v>7.1958507661813958E-4</v>
      </c>
      <c r="S65" s="1"/>
      <c r="T65" s="1">
        <f>SUM(OSRRefT22_2x_0)</f>
        <v>200</v>
      </c>
      <c r="U65" s="1"/>
      <c r="V65" s="5">
        <f t="shared" ref="V65:V75" si="33">IF(T$12=0,0,T65/T$12)</f>
        <v>6.0005280464680893E-4</v>
      </c>
      <c r="W65" s="1"/>
      <c r="X65" s="1">
        <f t="shared" ref="X65:X75" si="34">+P65-T65</f>
        <v>-50.349999999999994</v>
      </c>
      <c r="Y65" s="1"/>
      <c r="Z65" s="5">
        <f t="shared" ref="Z65:Z75" si="35">IF(T65=0,0,X65/T65)</f>
        <v>-0.25174999999999997</v>
      </c>
    </row>
    <row r="66" spans="1:26" s="24" customFormat="1" hidden="1" outlineLevel="2" x14ac:dyDescent="0.25">
      <c r="A66" s="27"/>
      <c r="B66" s="12" t="str">
        <f>CONCATENATE("          ", "6362", " - ", "ADVERTISING EXPENSE")</f>
        <v xml:space="preserve">          6362 - ADVERTISING EXPENSE</v>
      </c>
      <c r="C66" s="12"/>
      <c r="D66" s="7">
        <v>149.65</v>
      </c>
      <c r="E66" s="3"/>
      <c r="F66" s="8">
        <f t="shared" si="28"/>
        <v>7.1958507661813958E-4</v>
      </c>
      <c r="G66" s="3"/>
      <c r="H66" s="7">
        <v>200</v>
      </c>
      <c r="I66" s="3"/>
      <c r="J66" s="8">
        <f t="shared" si="29"/>
        <v>6.0005280464680893E-4</v>
      </c>
      <c r="K66" s="3"/>
      <c r="L66" s="7">
        <f t="shared" si="30"/>
        <v>-50.349999999999994</v>
      </c>
      <c r="M66" s="3"/>
      <c r="N66" s="8">
        <f t="shared" si="31"/>
        <v>-0.25174999999999997</v>
      </c>
      <c r="O66" s="12"/>
      <c r="P66" s="7">
        <v>149.65</v>
      </c>
      <c r="Q66" s="3"/>
      <c r="R66" s="8">
        <f t="shared" si="32"/>
        <v>7.1958507661813958E-4</v>
      </c>
      <c r="S66" s="3"/>
      <c r="T66" s="7">
        <v>200</v>
      </c>
      <c r="U66" s="3"/>
      <c r="V66" s="8">
        <f t="shared" si="33"/>
        <v>6.0005280464680893E-4</v>
      </c>
      <c r="W66" s="3"/>
      <c r="X66" s="7">
        <f t="shared" si="34"/>
        <v>-50.349999999999994</v>
      </c>
      <c r="Y66" s="3"/>
      <c r="Z66" s="8">
        <f t="shared" si="35"/>
        <v>-0.25174999999999997</v>
      </c>
    </row>
    <row r="67" spans="1:26" s="29" customFormat="1" outlineLevel="1" collapsed="1" x14ac:dyDescent="0.25">
      <c r="A67" s="28"/>
      <c r="B67" s="14" t="str">
        <f>CONCATENATE("     ","Depreciation                                      ")</f>
        <v xml:space="preserve">     Depreciation                                      </v>
      </c>
      <c r="C67" s="14"/>
      <c r="D67" s="1">
        <f>SUM(OSRRefD22_3x_0)</f>
        <v>280.44</v>
      </c>
      <c r="E67" s="1"/>
      <c r="F67" s="5">
        <f t="shared" si="28"/>
        <v>1.3484827189227601E-3</v>
      </c>
      <c r="G67" s="1"/>
      <c r="H67" s="1">
        <f>SUM(OSRRefH22_3x_0)</f>
        <v>300</v>
      </c>
      <c r="I67" s="1"/>
      <c r="J67" s="5">
        <f t="shared" si="29"/>
        <v>9.0007920697021335E-4</v>
      </c>
      <c r="K67" s="1"/>
      <c r="L67" s="1">
        <f t="shared" si="30"/>
        <v>-19.560000000000002</v>
      </c>
      <c r="M67" s="1"/>
      <c r="N67" s="5">
        <f t="shared" si="31"/>
        <v>-6.5200000000000008E-2</v>
      </c>
      <c r="O67" s="14"/>
      <c r="P67" s="1">
        <f>SUM(OSRRefP22_3x_0)</f>
        <v>280.44</v>
      </c>
      <c r="Q67" s="1"/>
      <c r="R67" s="5">
        <f t="shared" si="32"/>
        <v>1.3484827189227601E-3</v>
      </c>
      <c r="S67" s="1"/>
      <c r="T67" s="1">
        <f>SUM(OSRRefT22_3x_0)</f>
        <v>300</v>
      </c>
      <c r="U67" s="1"/>
      <c r="V67" s="5">
        <f t="shared" si="33"/>
        <v>9.0007920697021335E-4</v>
      </c>
      <c r="W67" s="1"/>
      <c r="X67" s="1">
        <f t="shared" si="34"/>
        <v>-19.560000000000002</v>
      </c>
      <c r="Y67" s="1"/>
      <c r="Z67" s="5">
        <f t="shared" si="35"/>
        <v>-6.5200000000000008E-2</v>
      </c>
    </row>
    <row r="68" spans="1:26" s="24" customFormat="1" hidden="1" outlineLevel="2" x14ac:dyDescent="0.25">
      <c r="A68" s="27"/>
      <c r="B68" s="12" t="str">
        <f>CONCATENATE("          ", "6322", " - ", "EQUIPMENT DEPRECIATION EXPENSE")</f>
        <v xml:space="preserve">          6322 - EQUIPMENT DEPRECIATION EXPENSE</v>
      </c>
      <c r="C68" s="12"/>
      <c r="D68" s="7">
        <v>280.44</v>
      </c>
      <c r="E68" s="3"/>
      <c r="F68" s="8">
        <f t="shared" si="28"/>
        <v>1.3484827189227601E-3</v>
      </c>
      <c r="G68" s="3"/>
      <c r="H68" s="7">
        <v>300</v>
      </c>
      <c r="I68" s="3"/>
      <c r="J68" s="8">
        <f t="shared" si="29"/>
        <v>9.0007920697021335E-4</v>
      </c>
      <c r="K68" s="3"/>
      <c r="L68" s="7">
        <f t="shared" si="30"/>
        <v>-19.560000000000002</v>
      </c>
      <c r="M68" s="3"/>
      <c r="N68" s="8">
        <f t="shared" si="31"/>
        <v>-6.5200000000000008E-2</v>
      </c>
      <c r="O68" s="12"/>
      <c r="P68" s="7">
        <v>280.44</v>
      </c>
      <c r="Q68" s="3"/>
      <c r="R68" s="8">
        <f t="shared" si="32"/>
        <v>1.3484827189227601E-3</v>
      </c>
      <c r="S68" s="3"/>
      <c r="T68" s="7">
        <v>300</v>
      </c>
      <c r="U68" s="3"/>
      <c r="V68" s="8">
        <f t="shared" si="33"/>
        <v>9.0007920697021335E-4</v>
      </c>
      <c r="W68" s="3"/>
      <c r="X68" s="7">
        <f t="shared" si="34"/>
        <v>-19.560000000000002</v>
      </c>
      <c r="Y68" s="3"/>
      <c r="Z68" s="8">
        <f t="shared" si="35"/>
        <v>-6.5200000000000008E-2</v>
      </c>
    </row>
    <row r="69" spans="1:26" s="29" customFormat="1" outlineLevel="1" collapsed="1" x14ac:dyDescent="0.25">
      <c r="A69" s="28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SUM(OSRRefD22_4x_0)</f>
        <v>0</v>
      </c>
      <c r="E69" s="1"/>
      <c r="F69" s="5">
        <f t="shared" si="28"/>
        <v>0</v>
      </c>
      <c r="G69" s="1"/>
      <c r="H69" s="1">
        <f>SUM(OSRRefH22_4x_0)</f>
        <v>5301</v>
      </c>
      <c r="I69" s="1"/>
      <c r="J69" s="5">
        <f t="shared" si="29"/>
        <v>1.5904399587163671E-2</v>
      </c>
      <c r="K69" s="1"/>
      <c r="L69" s="1">
        <f t="shared" si="30"/>
        <v>-5301</v>
      </c>
      <c r="M69" s="1"/>
      <c r="N69" s="5">
        <f t="shared" si="31"/>
        <v>-1</v>
      </c>
      <c r="O69" s="14"/>
      <c r="P69" s="1">
        <f>SUM(OSRRefP22_4x_0)</f>
        <v>0</v>
      </c>
      <c r="Q69" s="1"/>
      <c r="R69" s="5">
        <f t="shared" si="32"/>
        <v>0</v>
      </c>
      <c r="S69" s="1"/>
      <c r="T69" s="1">
        <f>SUM(OSRRefT22_4x_0)</f>
        <v>5301</v>
      </c>
      <c r="U69" s="1"/>
      <c r="V69" s="5">
        <f t="shared" si="33"/>
        <v>1.5904399587163671E-2</v>
      </c>
      <c r="W69" s="1"/>
      <c r="X69" s="1">
        <f t="shared" si="34"/>
        <v>-5301</v>
      </c>
      <c r="Y69" s="1"/>
      <c r="Z69" s="5">
        <f t="shared" si="35"/>
        <v>-1</v>
      </c>
    </row>
    <row r="70" spans="1:26" s="24" customFormat="1" hidden="1" outlineLevel="2" x14ac:dyDescent="0.25">
      <c r="A70" s="27"/>
      <c r="B70" s="12" t="str">
        <f>CONCATENATE("          ", "6382", " - ", "DISCOUNTS/MARK DOWNS")</f>
        <v xml:space="preserve">          6382 - DISCOUNTS/MARK DOWNS</v>
      </c>
      <c r="C70" s="12"/>
      <c r="D70" s="7"/>
      <c r="E70" s="3"/>
      <c r="F70" s="8">
        <f t="shared" si="28"/>
        <v>0</v>
      </c>
      <c r="G70" s="3"/>
      <c r="H70" s="7">
        <v>5301</v>
      </c>
      <c r="I70" s="3"/>
      <c r="J70" s="8">
        <f t="shared" si="29"/>
        <v>1.5904399587163671E-2</v>
      </c>
      <c r="K70" s="3"/>
      <c r="L70" s="7">
        <f t="shared" si="30"/>
        <v>-5301</v>
      </c>
      <c r="M70" s="3"/>
      <c r="N70" s="8">
        <f t="shared" si="31"/>
        <v>-1</v>
      </c>
      <c r="O70" s="12"/>
      <c r="P70" s="7"/>
      <c r="Q70" s="3"/>
      <c r="R70" s="8">
        <f t="shared" si="32"/>
        <v>0</v>
      </c>
      <c r="S70" s="3"/>
      <c r="T70" s="7">
        <v>5301</v>
      </c>
      <c r="U70" s="3"/>
      <c r="V70" s="8">
        <f t="shared" si="33"/>
        <v>1.5904399587163671E-2</v>
      </c>
      <c r="W70" s="3"/>
      <c r="X70" s="7">
        <f t="shared" si="34"/>
        <v>-5301</v>
      </c>
      <c r="Y70" s="3"/>
      <c r="Z70" s="8">
        <f t="shared" si="35"/>
        <v>-1</v>
      </c>
    </row>
    <row r="71" spans="1:26" s="29" customFormat="1" outlineLevel="1" collapsed="1" x14ac:dyDescent="0.25">
      <c r="A71" s="28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SUM(OSRRefD22_5x_0)</f>
        <v>0</v>
      </c>
      <c r="E71" s="1"/>
      <c r="F71" s="5">
        <f t="shared" si="28"/>
        <v>0</v>
      </c>
      <c r="G71" s="1"/>
      <c r="H71" s="1">
        <f>SUM(OSRRefH22_5x_0)</f>
        <v>20</v>
      </c>
      <c r="I71" s="1"/>
      <c r="J71" s="5">
        <f t="shared" si="29"/>
        <v>6.0005280464680891E-5</v>
      </c>
      <c r="K71" s="1"/>
      <c r="L71" s="1">
        <f t="shared" si="30"/>
        <v>-20</v>
      </c>
      <c r="M71" s="1"/>
      <c r="N71" s="5">
        <f t="shared" si="31"/>
        <v>-1</v>
      </c>
      <c r="O71" s="14"/>
      <c r="P71" s="1">
        <f>SUM(OSRRefP22_5x_0)</f>
        <v>0</v>
      </c>
      <c r="Q71" s="1"/>
      <c r="R71" s="5">
        <f t="shared" si="32"/>
        <v>0</v>
      </c>
      <c r="S71" s="1"/>
      <c r="T71" s="1">
        <f>SUM(OSRRefT22_5x_0)</f>
        <v>20</v>
      </c>
      <c r="U71" s="1"/>
      <c r="V71" s="5">
        <f t="shared" si="33"/>
        <v>6.0005280464680891E-5</v>
      </c>
      <c r="W71" s="1"/>
      <c r="X71" s="1">
        <f t="shared" si="34"/>
        <v>-20</v>
      </c>
      <c r="Y71" s="1"/>
      <c r="Z71" s="5">
        <f t="shared" si="35"/>
        <v>-1</v>
      </c>
    </row>
    <row r="72" spans="1:26" s="24" customFormat="1" hidden="1" outlineLevel="2" x14ac:dyDescent="0.25">
      <c r="A72" s="27"/>
      <c r="B72" s="12" t="str">
        <f>CONCATENATE("          ", "6277", " - ", "EMPLOYEE APPRECIATION")</f>
        <v xml:space="preserve">          6277 - EMPLOYEE APPRECIATION</v>
      </c>
      <c r="C72" s="12"/>
      <c r="D72" s="7"/>
      <c r="E72" s="3"/>
      <c r="F72" s="8">
        <f t="shared" si="28"/>
        <v>0</v>
      </c>
      <c r="G72" s="3"/>
      <c r="H72" s="7">
        <v>20</v>
      </c>
      <c r="I72" s="3"/>
      <c r="J72" s="8">
        <f t="shared" si="29"/>
        <v>6.0005280464680891E-5</v>
      </c>
      <c r="K72" s="3"/>
      <c r="L72" s="7">
        <f t="shared" si="30"/>
        <v>-20</v>
      </c>
      <c r="M72" s="3"/>
      <c r="N72" s="8">
        <f t="shared" si="31"/>
        <v>-1</v>
      </c>
      <c r="O72" s="12"/>
      <c r="P72" s="7"/>
      <c r="Q72" s="3"/>
      <c r="R72" s="8">
        <f t="shared" si="32"/>
        <v>0</v>
      </c>
      <c r="S72" s="3"/>
      <c r="T72" s="7">
        <v>20</v>
      </c>
      <c r="U72" s="3"/>
      <c r="V72" s="8">
        <f t="shared" si="33"/>
        <v>6.0005280464680891E-5</v>
      </c>
      <c r="W72" s="3"/>
      <c r="X72" s="7">
        <f t="shared" si="34"/>
        <v>-20</v>
      </c>
      <c r="Y72" s="3"/>
      <c r="Z72" s="8">
        <f t="shared" si="35"/>
        <v>-1</v>
      </c>
    </row>
    <row r="73" spans="1:26" s="29" customFormat="1" outlineLevel="1" collapsed="1" x14ac:dyDescent="0.25">
      <c r="A73" s="28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SUM(OSRRefD22_6x_0)</f>
        <v>10.61</v>
      </c>
      <c r="E73" s="1"/>
      <c r="F73" s="5">
        <f t="shared" si="28"/>
        <v>5.1017692368315807E-5</v>
      </c>
      <c r="G73" s="1"/>
      <c r="H73" s="1">
        <f>SUM(OSRRefH22_6x_0)</f>
        <v>15</v>
      </c>
      <c r="I73" s="1"/>
      <c r="J73" s="5">
        <f t="shared" si="29"/>
        <v>4.5003960348510671E-5</v>
      </c>
      <c r="K73" s="1"/>
      <c r="L73" s="1">
        <f t="shared" si="30"/>
        <v>-4.3900000000000006</v>
      </c>
      <c r="M73" s="1"/>
      <c r="N73" s="5">
        <f t="shared" si="31"/>
        <v>-0.29266666666666669</v>
      </c>
      <c r="O73" s="14"/>
      <c r="P73" s="1">
        <f>SUM(OSRRefP22_6x_0)</f>
        <v>10.61</v>
      </c>
      <c r="Q73" s="1"/>
      <c r="R73" s="5">
        <f t="shared" si="32"/>
        <v>5.1017692368315807E-5</v>
      </c>
      <c r="S73" s="1"/>
      <c r="T73" s="1">
        <f>SUM(OSRRefT22_6x_0)</f>
        <v>15</v>
      </c>
      <c r="U73" s="1"/>
      <c r="V73" s="5">
        <f t="shared" si="33"/>
        <v>4.5003960348510671E-5</v>
      </c>
      <c r="W73" s="1"/>
      <c r="X73" s="1">
        <f t="shared" si="34"/>
        <v>-4.3900000000000006</v>
      </c>
      <c r="Y73" s="1"/>
      <c r="Z73" s="5">
        <f t="shared" si="35"/>
        <v>-0.29266666666666669</v>
      </c>
    </row>
    <row r="74" spans="1:26" s="24" customFormat="1" hidden="1" outlineLevel="2" x14ac:dyDescent="0.25">
      <c r="A74" s="27"/>
      <c r="B74" s="12" t="str">
        <f>CONCATENATE("          ", "6305", " - ", "FREIGHT OUT")</f>
        <v xml:space="preserve">          6305 - FREIGHT OUT</v>
      </c>
      <c r="C74" s="12"/>
      <c r="D74" s="7">
        <v>5.61</v>
      </c>
      <c r="E74" s="3"/>
      <c r="F74" s="8">
        <f t="shared" si="28"/>
        <v>2.6975424522738145E-5</v>
      </c>
      <c r="G74" s="3"/>
      <c r="H74" s="7">
        <v>15</v>
      </c>
      <c r="I74" s="3"/>
      <c r="J74" s="8">
        <f t="shared" si="29"/>
        <v>4.5003960348510671E-5</v>
      </c>
      <c r="K74" s="3"/>
      <c r="L74" s="7">
        <f t="shared" si="30"/>
        <v>-9.39</v>
      </c>
      <c r="M74" s="3"/>
      <c r="N74" s="8">
        <f t="shared" si="31"/>
        <v>-0.626</v>
      </c>
      <c r="O74" s="12"/>
      <c r="P74" s="7">
        <v>5.61</v>
      </c>
      <c r="Q74" s="3"/>
      <c r="R74" s="8">
        <f t="shared" si="32"/>
        <v>2.6975424522738145E-5</v>
      </c>
      <c r="S74" s="3"/>
      <c r="T74" s="7">
        <v>15</v>
      </c>
      <c r="U74" s="3"/>
      <c r="V74" s="8">
        <f t="shared" si="33"/>
        <v>4.5003960348510671E-5</v>
      </c>
      <c r="W74" s="3"/>
      <c r="X74" s="7">
        <f t="shared" si="34"/>
        <v>-9.39</v>
      </c>
      <c r="Y74" s="3"/>
      <c r="Z74" s="8">
        <f t="shared" si="35"/>
        <v>-0.626</v>
      </c>
    </row>
    <row r="75" spans="1:26" s="24" customFormat="1" hidden="1" outlineLevel="2" x14ac:dyDescent="0.25">
      <c r="A75" s="27"/>
      <c r="B75" s="12" t="str">
        <f>CONCATENATE("          ", "6307", " - ", "POSTAGE")</f>
        <v xml:space="preserve">          6307 - POSTAGE</v>
      </c>
      <c r="C75" s="12"/>
      <c r="D75" s="7">
        <v>5</v>
      </c>
      <c r="E75" s="3"/>
      <c r="F75" s="8">
        <f t="shared" si="28"/>
        <v>2.4042267845577668E-5</v>
      </c>
      <c r="G75" s="3"/>
      <c r="H75" s="7"/>
      <c r="I75" s="3"/>
      <c r="J75" s="8">
        <f t="shared" si="29"/>
        <v>0</v>
      </c>
      <c r="K75" s="3"/>
      <c r="L75" s="7">
        <f t="shared" si="30"/>
        <v>5</v>
      </c>
      <c r="M75" s="3"/>
      <c r="N75" s="8">
        <f t="shared" si="31"/>
        <v>0</v>
      </c>
      <c r="O75" s="12"/>
      <c r="P75" s="7">
        <v>5</v>
      </c>
      <c r="Q75" s="3"/>
      <c r="R75" s="8">
        <f t="shared" si="32"/>
        <v>2.4042267845577668E-5</v>
      </c>
      <c r="S75" s="3"/>
      <c r="T75" s="7"/>
      <c r="U75" s="3"/>
      <c r="V75" s="8">
        <f t="shared" si="33"/>
        <v>0</v>
      </c>
      <c r="W75" s="3"/>
      <c r="X75" s="7">
        <f t="shared" si="34"/>
        <v>5</v>
      </c>
      <c r="Y75" s="3"/>
      <c r="Z75" s="8">
        <f t="shared" si="35"/>
        <v>0</v>
      </c>
    </row>
    <row r="76" spans="1:26" s="29" customFormat="1" outlineLevel="1" collapsed="1" x14ac:dyDescent="0.25">
      <c r="A76" s="28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SUM(OSRRefD22_7x_0)</f>
        <v>-30.15</v>
      </c>
      <c r="E76" s="1"/>
      <c r="F76" s="5">
        <f t="shared" ref="F76:F85" si="36">IF(D$12=0,0,D76/D$12)</f>
        <v>-1.4497487510883332E-4</v>
      </c>
      <c r="G76" s="1"/>
      <c r="H76" s="1">
        <f>SUM(OSRRefH22_7x_0)</f>
        <v>30</v>
      </c>
      <c r="I76" s="1"/>
      <c r="J76" s="5">
        <f t="shared" ref="J76:J85" si="37">IF(H$12=0,0,H76/H$12)</f>
        <v>9.0007920697021343E-5</v>
      </c>
      <c r="K76" s="1"/>
      <c r="L76" s="1">
        <f t="shared" ref="L76:L85" si="38">+D76-H76</f>
        <v>-60.15</v>
      </c>
      <c r="M76" s="1"/>
      <c r="N76" s="5">
        <f t="shared" ref="N76:N85" si="39">IF(H76=0,0,L76/H76)</f>
        <v>-2.0049999999999999</v>
      </c>
      <c r="O76" s="14"/>
      <c r="P76" s="1">
        <f>SUM(OSRRefP22_7x_0)</f>
        <v>-30.15</v>
      </c>
      <c r="Q76" s="1"/>
      <c r="R76" s="5">
        <f t="shared" ref="R76:R85" si="40">IF(P$12=0,0,P76/P$12)</f>
        <v>-1.4497487510883332E-4</v>
      </c>
      <c r="S76" s="1"/>
      <c r="T76" s="1">
        <f>SUM(OSRRefT22_7x_0)</f>
        <v>30</v>
      </c>
      <c r="U76" s="1"/>
      <c r="V76" s="5">
        <f t="shared" ref="V76:V85" si="41">IF(T$12=0,0,T76/T$12)</f>
        <v>9.0007920697021343E-5</v>
      </c>
      <c r="W76" s="1"/>
      <c r="X76" s="1">
        <f t="shared" ref="X76:X85" si="42">+P76-T76</f>
        <v>-60.15</v>
      </c>
      <c r="Y76" s="1"/>
      <c r="Z76" s="5">
        <f t="shared" ref="Z76:Z85" si="43">IF(T76=0,0,X76/T76)</f>
        <v>-2.0049999999999999</v>
      </c>
    </row>
    <row r="77" spans="1:26" s="24" customFormat="1" hidden="1" outlineLevel="2" x14ac:dyDescent="0.25">
      <c r="A77" s="27"/>
      <c r="B77" s="12" t="str">
        <f>CONCATENATE("          ", "6279", " - ", "GENERAL EXPENSE")</f>
        <v xml:space="preserve">          6279 - GENERAL EXPENSE</v>
      </c>
      <c r="C77" s="12"/>
      <c r="D77" s="7">
        <v>-30.15</v>
      </c>
      <c r="E77" s="3"/>
      <c r="F77" s="8">
        <f t="shared" si="36"/>
        <v>-1.4497487510883332E-4</v>
      </c>
      <c r="G77" s="3"/>
      <c r="H77" s="7">
        <v>30</v>
      </c>
      <c r="I77" s="3"/>
      <c r="J77" s="8">
        <f t="shared" si="37"/>
        <v>9.0007920697021343E-5</v>
      </c>
      <c r="K77" s="3"/>
      <c r="L77" s="7">
        <f t="shared" si="38"/>
        <v>-60.15</v>
      </c>
      <c r="M77" s="3"/>
      <c r="N77" s="8">
        <f t="shared" si="39"/>
        <v>-2.0049999999999999</v>
      </c>
      <c r="O77" s="12"/>
      <c r="P77" s="7">
        <v>-30.15</v>
      </c>
      <c r="Q77" s="3"/>
      <c r="R77" s="8">
        <f t="shared" si="40"/>
        <v>-1.4497487510883332E-4</v>
      </c>
      <c r="S77" s="3"/>
      <c r="T77" s="7">
        <v>30</v>
      </c>
      <c r="U77" s="3"/>
      <c r="V77" s="8">
        <f t="shared" si="41"/>
        <v>9.0007920697021343E-5</v>
      </c>
      <c r="W77" s="3"/>
      <c r="X77" s="7">
        <f t="shared" si="42"/>
        <v>-60.15</v>
      </c>
      <c r="Y77" s="3"/>
      <c r="Z77" s="8">
        <f t="shared" si="43"/>
        <v>-2.0049999999999999</v>
      </c>
    </row>
    <row r="78" spans="1:26" s="29" customFormat="1" outlineLevel="1" collapsed="1" x14ac:dyDescent="0.25">
      <c r="A78" s="28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SUM(OSRRefD22_8x_0)</f>
        <v>1250</v>
      </c>
      <c r="E78" s="1"/>
      <c r="F78" s="5">
        <f t="shared" si="36"/>
        <v>6.0105669613944165E-3</v>
      </c>
      <c r="G78" s="1"/>
      <c r="H78" s="1">
        <f>SUM(OSRRefH22_8x_0)</f>
        <v>1250</v>
      </c>
      <c r="I78" s="1"/>
      <c r="J78" s="5">
        <f t="shared" si="37"/>
        <v>3.7503300290425558E-3</v>
      </c>
      <c r="K78" s="1"/>
      <c r="L78" s="1">
        <f t="shared" si="38"/>
        <v>0</v>
      </c>
      <c r="M78" s="1"/>
      <c r="N78" s="5">
        <f t="shared" si="39"/>
        <v>0</v>
      </c>
      <c r="O78" s="14"/>
      <c r="P78" s="1">
        <f>SUM(OSRRefP22_8x_0)</f>
        <v>1250</v>
      </c>
      <c r="Q78" s="1"/>
      <c r="R78" s="5">
        <f t="shared" si="40"/>
        <v>6.0105669613944165E-3</v>
      </c>
      <c r="S78" s="1"/>
      <c r="T78" s="1">
        <f>SUM(OSRRefT22_8x_0)</f>
        <v>1250</v>
      </c>
      <c r="U78" s="1"/>
      <c r="V78" s="5">
        <f t="shared" si="41"/>
        <v>3.7503300290425558E-3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7"/>
      <c r="B79" s="12" t="str">
        <f>CONCATENATE("          ", "6408", " - ", "INVENTORY ADJUSTMENT")</f>
        <v xml:space="preserve">          6408 - INVENTORY ADJUSTMENT</v>
      </c>
      <c r="C79" s="12"/>
      <c r="D79" s="7">
        <v>1250</v>
      </c>
      <c r="E79" s="3"/>
      <c r="F79" s="8">
        <f t="shared" si="36"/>
        <v>6.0105669613944165E-3</v>
      </c>
      <c r="G79" s="3"/>
      <c r="H79" s="7">
        <v>1250</v>
      </c>
      <c r="I79" s="3"/>
      <c r="J79" s="8">
        <f t="shared" si="37"/>
        <v>3.7503300290425558E-3</v>
      </c>
      <c r="K79" s="3"/>
      <c r="L79" s="7">
        <f t="shared" si="38"/>
        <v>0</v>
      </c>
      <c r="M79" s="3"/>
      <c r="N79" s="8">
        <f t="shared" si="39"/>
        <v>0</v>
      </c>
      <c r="O79" s="12"/>
      <c r="P79" s="7">
        <v>1250</v>
      </c>
      <c r="Q79" s="3"/>
      <c r="R79" s="8">
        <f t="shared" si="40"/>
        <v>6.0105669613944165E-3</v>
      </c>
      <c r="S79" s="3"/>
      <c r="T79" s="7">
        <v>1250</v>
      </c>
      <c r="U79" s="3"/>
      <c r="V79" s="8">
        <f t="shared" si="41"/>
        <v>3.7503300290425558E-3</v>
      </c>
      <c r="W79" s="3"/>
      <c r="X79" s="7">
        <f t="shared" si="42"/>
        <v>0</v>
      </c>
      <c r="Y79" s="3"/>
      <c r="Z79" s="8">
        <f t="shared" si="43"/>
        <v>0</v>
      </c>
    </row>
    <row r="80" spans="1:26" s="29" customFormat="1" outlineLevel="1" collapsed="1" x14ac:dyDescent="0.25">
      <c r="A80" s="28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SUM(OSRRefD22_9x_0)</f>
        <v>0</v>
      </c>
      <c r="E80" s="1"/>
      <c r="F80" s="5">
        <f t="shared" si="36"/>
        <v>0</v>
      </c>
      <c r="G80" s="1"/>
      <c r="H80" s="1">
        <f>SUM(OSRRefH22_9x_0)</f>
        <v>25</v>
      </c>
      <c r="I80" s="1"/>
      <c r="J80" s="5">
        <f t="shared" si="37"/>
        <v>7.5006600580851117E-5</v>
      </c>
      <c r="K80" s="1"/>
      <c r="L80" s="1">
        <f t="shared" si="38"/>
        <v>-25</v>
      </c>
      <c r="M80" s="1"/>
      <c r="N80" s="5">
        <f t="shared" si="39"/>
        <v>-1</v>
      </c>
      <c r="O80" s="14"/>
      <c r="P80" s="1">
        <f>SUM(OSRRefP22_9x_0)</f>
        <v>0</v>
      </c>
      <c r="Q80" s="1"/>
      <c r="R80" s="5">
        <f t="shared" si="40"/>
        <v>0</v>
      </c>
      <c r="S80" s="1"/>
      <c r="T80" s="1">
        <f>SUM(OSRRefT22_9x_0)</f>
        <v>25</v>
      </c>
      <c r="U80" s="1"/>
      <c r="V80" s="5">
        <f t="shared" si="41"/>
        <v>7.5006600580851117E-5</v>
      </c>
      <c r="W80" s="1"/>
      <c r="X80" s="1">
        <f t="shared" si="42"/>
        <v>-25</v>
      </c>
      <c r="Y80" s="1"/>
      <c r="Z80" s="5">
        <f t="shared" si="43"/>
        <v>-1</v>
      </c>
    </row>
    <row r="81" spans="1:26" s="24" customFormat="1" hidden="1" outlineLevel="2" x14ac:dyDescent="0.25">
      <c r="A81" s="27"/>
      <c r="B81" s="12" t="str">
        <f>CONCATENATE("          ", "6375", " - ", "OUTSIDE REPAIRS &amp; MAINTENANCE")</f>
        <v xml:space="preserve">          6375 - OUTSIDE REPAIRS &amp; MAINTENANCE</v>
      </c>
      <c r="C81" s="12"/>
      <c r="D81" s="7"/>
      <c r="E81" s="3"/>
      <c r="F81" s="8">
        <f t="shared" si="36"/>
        <v>0</v>
      </c>
      <c r="G81" s="3"/>
      <c r="H81" s="7">
        <v>25</v>
      </c>
      <c r="I81" s="3"/>
      <c r="J81" s="8">
        <f t="shared" si="37"/>
        <v>7.5006600580851117E-5</v>
      </c>
      <c r="K81" s="3"/>
      <c r="L81" s="7">
        <f t="shared" si="38"/>
        <v>-25</v>
      </c>
      <c r="M81" s="3"/>
      <c r="N81" s="8">
        <f t="shared" si="39"/>
        <v>-1</v>
      </c>
      <c r="O81" s="12"/>
      <c r="P81" s="7"/>
      <c r="Q81" s="3"/>
      <c r="R81" s="8">
        <f t="shared" si="40"/>
        <v>0</v>
      </c>
      <c r="S81" s="3"/>
      <c r="T81" s="7">
        <v>25</v>
      </c>
      <c r="U81" s="3"/>
      <c r="V81" s="8">
        <f t="shared" si="41"/>
        <v>7.5006600580851117E-5</v>
      </c>
      <c r="W81" s="3"/>
      <c r="X81" s="7">
        <f t="shared" si="42"/>
        <v>-25</v>
      </c>
      <c r="Y81" s="3"/>
      <c r="Z81" s="8">
        <f t="shared" si="43"/>
        <v>-1</v>
      </c>
    </row>
    <row r="82" spans="1:26" s="29" customFormat="1" outlineLevel="1" collapsed="1" x14ac:dyDescent="0.25">
      <c r="A82" s="28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SUM(OSRRefD22_10x_0)</f>
        <v>668.12</v>
      </c>
      <c r="E82" s="1"/>
      <c r="F82" s="5">
        <f t="shared" si="36"/>
        <v>3.2126239985974703E-3</v>
      </c>
      <c r="G82" s="1"/>
      <c r="H82" s="1">
        <f>SUM(OSRRefH22_10x_0)</f>
        <v>310</v>
      </c>
      <c r="I82" s="1"/>
      <c r="J82" s="5">
        <f t="shared" si="37"/>
        <v>9.300818472025538E-4</v>
      </c>
      <c r="K82" s="1"/>
      <c r="L82" s="1">
        <f t="shared" si="38"/>
        <v>358.12</v>
      </c>
      <c r="M82" s="1"/>
      <c r="N82" s="5">
        <f t="shared" si="39"/>
        <v>1.155225806451613</v>
      </c>
      <c r="O82" s="14"/>
      <c r="P82" s="1">
        <f>SUM(OSRRefP22_10x_0)</f>
        <v>668.12</v>
      </c>
      <c r="Q82" s="1"/>
      <c r="R82" s="5">
        <f t="shared" si="40"/>
        <v>3.2126239985974703E-3</v>
      </c>
      <c r="S82" s="1"/>
      <c r="T82" s="1">
        <f>SUM(OSRRefT22_10x_0)</f>
        <v>310</v>
      </c>
      <c r="U82" s="1"/>
      <c r="V82" s="5">
        <f t="shared" si="41"/>
        <v>9.300818472025538E-4</v>
      </c>
      <c r="W82" s="1"/>
      <c r="X82" s="1">
        <f t="shared" si="42"/>
        <v>358.12</v>
      </c>
      <c r="Y82" s="1"/>
      <c r="Z82" s="5">
        <f t="shared" si="43"/>
        <v>1.155225806451613</v>
      </c>
    </row>
    <row r="83" spans="1:26" s="24" customFormat="1" hidden="1" outlineLevel="2" x14ac:dyDescent="0.25">
      <c r="A83" s="27"/>
      <c r="B83" s="12" t="str">
        <f>CONCATENATE("          ", "6235", " - ", "COVID-19 EXPENSES")</f>
        <v xml:space="preserve">          6235 - COVID-19 EXPENSES</v>
      </c>
      <c r="C83" s="12"/>
      <c r="D83" s="7">
        <v>668.12</v>
      </c>
      <c r="E83" s="3"/>
      <c r="F83" s="8">
        <f t="shared" si="36"/>
        <v>3.2126239985974703E-3</v>
      </c>
      <c r="G83" s="3"/>
      <c r="H83" s="7"/>
      <c r="I83" s="3"/>
      <c r="J83" s="8">
        <f t="shared" si="37"/>
        <v>0</v>
      </c>
      <c r="K83" s="3"/>
      <c r="L83" s="7">
        <f t="shared" si="38"/>
        <v>668.12</v>
      </c>
      <c r="M83" s="3"/>
      <c r="N83" s="8">
        <f t="shared" si="39"/>
        <v>0</v>
      </c>
      <c r="O83" s="12"/>
      <c r="P83" s="7">
        <v>668.12</v>
      </c>
      <c r="Q83" s="3"/>
      <c r="R83" s="8">
        <f t="shared" si="40"/>
        <v>3.2126239985974703E-3</v>
      </c>
      <c r="S83" s="3"/>
      <c r="T83" s="7"/>
      <c r="U83" s="3"/>
      <c r="V83" s="8">
        <f t="shared" si="41"/>
        <v>0</v>
      </c>
      <c r="W83" s="3"/>
      <c r="X83" s="7">
        <f t="shared" si="42"/>
        <v>668.12</v>
      </c>
      <c r="Y83" s="3"/>
      <c r="Z83" s="8">
        <f t="shared" si="43"/>
        <v>0</v>
      </c>
    </row>
    <row r="84" spans="1:26" s="24" customFormat="1" hidden="1" outlineLevel="2" x14ac:dyDescent="0.25">
      <c r="A84" s="27"/>
      <c r="B84" s="12" t="str">
        <f>CONCATENATE("          ", "6241", " - ", "OFFICE EXPENSE")</f>
        <v xml:space="preserve">          6241 - OFFICE EXPENSE</v>
      </c>
      <c r="C84" s="12"/>
      <c r="D84" s="7"/>
      <c r="E84" s="3"/>
      <c r="F84" s="8">
        <f t="shared" si="36"/>
        <v>0</v>
      </c>
      <c r="G84" s="3"/>
      <c r="H84" s="7">
        <v>110</v>
      </c>
      <c r="I84" s="3"/>
      <c r="J84" s="8">
        <f t="shared" si="37"/>
        <v>3.3002904255574492E-4</v>
      </c>
      <c r="K84" s="3"/>
      <c r="L84" s="7">
        <f t="shared" si="38"/>
        <v>-110</v>
      </c>
      <c r="M84" s="3"/>
      <c r="N84" s="8">
        <f t="shared" si="39"/>
        <v>-1</v>
      </c>
      <c r="O84" s="12"/>
      <c r="P84" s="7"/>
      <c r="Q84" s="3"/>
      <c r="R84" s="8">
        <f t="shared" si="40"/>
        <v>0</v>
      </c>
      <c r="S84" s="3"/>
      <c r="T84" s="7">
        <v>110</v>
      </c>
      <c r="U84" s="3"/>
      <c r="V84" s="8">
        <f t="shared" si="41"/>
        <v>3.3002904255574492E-4</v>
      </c>
      <c r="W84" s="3"/>
      <c r="X84" s="7">
        <f t="shared" si="42"/>
        <v>-110</v>
      </c>
      <c r="Y84" s="3"/>
      <c r="Z84" s="8">
        <f t="shared" si="43"/>
        <v>-1</v>
      </c>
    </row>
    <row r="85" spans="1:26" s="24" customFormat="1" hidden="1" outlineLevel="2" x14ac:dyDescent="0.25">
      <c r="A85" s="27"/>
      <c r="B85" s="12" t="str">
        <f>CONCATENATE("          ", "6247", " - ", "STORE SUPPLIES")</f>
        <v xml:space="preserve">          6247 - STORE SUPPLIES</v>
      </c>
      <c r="C85" s="12"/>
      <c r="D85" s="7"/>
      <c r="E85" s="3"/>
      <c r="F85" s="8">
        <f t="shared" si="36"/>
        <v>0</v>
      </c>
      <c r="G85" s="3"/>
      <c r="H85" s="7">
        <v>200</v>
      </c>
      <c r="I85" s="3"/>
      <c r="J85" s="8">
        <f t="shared" si="37"/>
        <v>6.0005280464680893E-4</v>
      </c>
      <c r="K85" s="3"/>
      <c r="L85" s="7">
        <f t="shared" si="38"/>
        <v>-200</v>
      </c>
      <c r="M85" s="3"/>
      <c r="N85" s="8">
        <f t="shared" si="39"/>
        <v>-1</v>
      </c>
      <c r="O85" s="12"/>
      <c r="P85" s="7"/>
      <c r="Q85" s="3"/>
      <c r="R85" s="8">
        <f t="shared" si="40"/>
        <v>0</v>
      </c>
      <c r="S85" s="3"/>
      <c r="T85" s="7">
        <v>200</v>
      </c>
      <c r="U85" s="3"/>
      <c r="V85" s="8">
        <f t="shared" si="41"/>
        <v>6.0005280464680893E-4</v>
      </c>
      <c r="W85" s="3"/>
      <c r="X85" s="7">
        <f t="shared" si="42"/>
        <v>-200</v>
      </c>
      <c r="Y85" s="3"/>
      <c r="Z85" s="8">
        <f t="shared" si="43"/>
        <v>-1</v>
      </c>
    </row>
    <row r="86" spans="1:26" s="29" customFormat="1" outlineLevel="1" collapsed="1" x14ac:dyDescent="0.25">
      <c r="A86" s="28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SUM(OSRRefD22_11x_0)</f>
        <v>304.8</v>
      </c>
      <c r="E86" s="1"/>
      <c r="F86" s="5">
        <f t="shared" ref="F86:F87" si="44">IF(D$12=0,0,D86/D$12)</f>
        <v>1.4656166478664147E-3</v>
      </c>
      <c r="G86" s="1"/>
      <c r="H86" s="1">
        <f>SUM(OSRRefH22_11x_0)</f>
        <v>260</v>
      </c>
      <c r="I86" s="1"/>
      <c r="J86" s="5">
        <f t="shared" ref="J86:J87" si="45">IF(H$12=0,0,H86/H$12)</f>
        <v>7.8006864604085165E-4</v>
      </c>
      <c r="K86" s="1"/>
      <c r="L86" s="1">
        <f t="shared" ref="L86:L87" si="46">+D86-H86</f>
        <v>44.800000000000011</v>
      </c>
      <c r="M86" s="1"/>
      <c r="N86" s="5">
        <f t="shared" ref="N86:N87" si="47">IF(H86=0,0,L86/H86)</f>
        <v>0.17230769230769236</v>
      </c>
      <c r="O86" s="14"/>
      <c r="P86" s="1">
        <f>SUM(OSRRefP22_11x_0)</f>
        <v>304.8</v>
      </c>
      <c r="Q86" s="1"/>
      <c r="R86" s="5">
        <f t="shared" ref="R86:R87" si="48">IF(P$12=0,0,P86/P$12)</f>
        <v>1.4656166478664147E-3</v>
      </c>
      <c r="S86" s="1"/>
      <c r="T86" s="1">
        <f>SUM(OSRRefT22_11x_0)</f>
        <v>260</v>
      </c>
      <c r="U86" s="1"/>
      <c r="V86" s="5">
        <f t="shared" ref="V86:V87" si="49">IF(T$12=0,0,T86/T$12)</f>
        <v>7.8006864604085165E-4</v>
      </c>
      <c r="W86" s="1"/>
      <c r="X86" s="1">
        <f t="shared" ref="X86:X87" si="50">+P86-T86</f>
        <v>44.800000000000011</v>
      </c>
      <c r="Y86" s="1"/>
      <c r="Z86" s="5">
        <f t="shared" ref="Z86:Z87" si="51">IF(T86=0,0,X86/T86)</f>
        <v>0.17230769230769236</v>
      </c>
    </row>
    <row r="87" spans="1:26" s="24" customFormat="1" hidden="1" outlineLevel="2" x14ac:dyDescent="0.25">
      <c r="A87" s="27"/>
      <c r="B87" s="12" t="str">
        <f>CONCATENATE("          ", "6309", " - ", "TELEPHONE")</f>
        <v xml:space="preserve">          6309 - TELEPHONE</v>
      </c>
      <c r="C87" s="12"/>
      <c r="D87" s="7">
        <v>304.8</v>
      </c>
      <c r="E87" s="3"/>
      <c r="F87" s="8">
        <f t="shared" si="44"/>
        <v>1.4656166478664147E-3</v>
      </c>
      <c r="G87" s="3"/>
      <c r="H87" s="7">
        <v>260</v>
      </c>
      <c r="I87" s="3"/>
      <c r="J87" s="8">
        <f t="shared" si="45"/>
        <v>7.8006864604085165E-4</v>
      </c>
      <c r="K87" s="3"/>
      <c r="L87" s="7">
        <f t="shared" si="46"/>
        <v>44.800000000000011</v>
      </c>
      <c r="M87" s="3"/>
      <c r="N87" s="8">
        <f t="shared" si="47"/>
        <v>0.17230769230769236</v>
      </c>
      <c r="O87" s="12"/>
      <c r="P87" s="7">
        <v>304.8</v>
      </c>
      <c r="Q87" s="3"/>
      <c r="R87" s="8">
        <f t="shared" si="48"/>
        <v>1.4656166478664147E-3</v>
      </c>
      <c r="S87" s="3"/>
      <c r="T87" s="7">
        <v>260</v>
      </c>
      <c r="U87" s="3"/>
      <c r="V87" s="8">
        <f t="shared" si="49"/>
        <v>7.8006864604085165E-4</v>
      </c>
      <c r="W87" s="3"/>
      <c r="X87" s="7">
        <f t="shared" si="50"/>
        <v>44.800000000000011</v>
      </c>
      <c r="Y87" s="3"/>
      <c r="Z87" s="8">
        <f t="shared" si="51"/>
        <v>0.17230769230769236</v>
      </c>
    </row>
    <row r="88" spans="1:26" s="54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2" customFormat="1" collapsed="1" x14ac:dyDescent="0.25">
      <c r="A89" s="10"/>
      <c r="B89" s="26" t="s">
        <v>0</v>
      </c>
      <c r="C89" s="10"/>
      <c r="D89" s="4">
        <f>SUM(OSRRefD25x_0)</f>
        <v>-375.36</v>
      </c>
      <c r="E89" s="4"/>
      <c r="F89" s="11">
        <f t="shared" ref="F89:F91" si="52">IF(D$12=0,0,D89/D$12)</f>
        <v>-1.8049011317032067E-3</v>
      </c>
      <c r="G89" s="4"/>
      <c r="H89" s="4">
        <f>SUM(OSRRefH25x_0)</f>
        <v>2651</v>
      </c>
      <c r="I89" s="4"/>
      <c r="J89" s="11">
        <f t="shared" ref="J89:J91" si="53">IF(H$12=0,0,H89/H$12)</f>
        <v>7.9536999255934524E-3</v>
      </c>
      <c r="K89" s="4"/>
      <c r="L89" s="4">
        <f t="shared" ref="L89:L91" si="54">+D89-H89</f>
        <v>-3026.36</v>
      </c>
      <c r="M89" s="4"/>
      <c r="N89" s="11">
        <f t="shared" ref="N89:N91" si="55">IF(H89=0,0,L89/H89)</f>
        <v>-1.1415918521312713</v>
      </c>
      <c r="O89" s="10"/>
      <c r="P89" s="4">
        <f>SUM(OSRRefP25x_0)</f>
        <v>-375.36</v>
      </c>
      <c r="Q89" s="4"/>
      <c r="R89" s="11">
        <f t="shared" ref="R89:R91" si="56">IF(P$12=0,0,P89/P$12)</f>
        <v>-1.8049011317032067E-3</v>
      </c>
      <c r="S89" s="4"/>
      <c r="T89" s="4">
        <f>SUM(OSRRefT25x_0)</f>
        <v>2651</v>
      </c>
      <c r="U89" s="4"/>
      <c r="V89" s="11">
        <f t="shared" ref="V89:V91" si="57">IF(T$12=0,0,T89/T$12)</f>
        <v>7.9536999255934524E-3</v>
      </c>
      <c r="W89" s="4"/>
      <c r="X89" s="4">
        <f t="shared" ref="X89:X91" si="58">+P89-T89</f>
        <v>-3026.36</v>
      </c>
      <c r="Y89" s="4"/>
      <c r="Z89" s="11">
        <f t="shared" ref="Z89:Z91" si="59">IF(T89=0,0,X89/T89)</f>
        <v>-1.1415918521312713</v>
      </c>
    </row>
    <row r="90" spans="1:26" s="24" customFormat="1" hidden="1" outlineLevel="1" x14ac:dyDescent="0.25">
      <c r="A90" s="51"/>
      <c r="B90" s="12" t="str">
        <f>CONCATENATE("          ", "4187", " - ", "NON-TAXABLE SALES-COMPUTER REP")</f>
        <v xml:space="preserve">          4187 - NON-TAXABLE SALES-COMPUTER REP</v>
      </c>
      <c r="C90" s="12"/>
      <c r="D90" s="3">
        <f>--19.99</f>
        <v>19.989999999999998</v>
      </c>
      <c r="E90" s="3"/>
      <c r="F90" s="23">
        <f t="shared" si="52"/>
        <v>9.6120986846619499E-5</v>
      </c>
      <c r="G90" s="3"/>
      <c r="H90" s="3"/>
      <c r="I90" s="3"/>
      <c r="J90" s="23">
        <f t="shared" si="53"/>
        <v>0</v>
      </c>
      <c r="K90" s="3"/>
      <c r="L90" s="3">
        <f t="shared" si="54"/>
        <v>19.989999999999998</v>
      </c>
      <c r="M90" s="3"/>
      <c r="N90" s="23">
        <f t="shared" si="55"/>
        <v>0</v>
      </c>
      <c r="O90" s="12"/>
      <c r="P90" s="3">
        <f>--19.99</f>
        <v>19.989999999999998</v>
      </c>
      <c r="Q90" s="3"/>
      <c r="R90" s="23">
        <f t="shared" si="56"/>
        <v>9.6120986846619499E-5</v>
      </c>
      <c r="S90" s="3"/>
      <c r="T90" s="3"/>
      <c r="U90" s="3"/>
      <c r="V90" s="23">
        <f t="shared" si="57"/>
        <v>0</v>
      </c>
      <c r="W90" s="3"/>
      <c r="X90" s="3">
        <f t="shared" si="58"/>
        <v>19.989999999999998</v>
      </c>
      <c r="Y90" s="3"/>
      <c r="Z90" s="23">
        <f t="shared" si="59"/>
        <v>0</v>
      </c>
    </row>
    <row r="91" spans="1:26" s="24" customFormat="1" hidden="1" outlineLevel="1" x14ac:dyDescent="0.25">
      <c r="A91" s="51"/>
      <c r="B91" s="12" t="str">
        <f>CONCATENATE("          ", "9150", " - ", "MISC. INCOME")</f>
        <v xml:space="preserve">          9150 - MISC. INCOME</v>
      </c>
      <c r="C91" s="12"/>
      <c r="D91" s="3">
        <f>-395.35</f>
        <v>-395.35</v>
      </c>
      <c r="E91" s="3"/>
      <c r="F91" s="23">
        <f t="shared" si="52"/>
        <v>-1.9010221185498262E-3</v>
      </c>
      <c r="G91" s="3"/>
      <c r="H91" s="3">
        <v>2651</v>
      </c>
      <c r="I91" s="3"/>
      <c r="J91" s="23">
        <f t="shared" si="53"/>
        <v>7.9536999255934524E-3</v>
      </c>
      <c r="K91" s="3"/>
      <c r="L91" s="3">
        <f t="shared" si="54"/>
        <v>-3046.35</v>
      </c>
      <c r="M91" s="3"/>
      <c r="N91" s="23">
        <f t="shared" si="55"/>
        <v>-1.1491324028668426</v>
      </c>
      <c r="O91" s="12"/>
      <c r="P91" s="3">
        <f>-395.35</f>
        <v>-395.35</v>
      </c>
      <c r="Q91" s="3"/>
      <c r="R91" s="23">
        <f t="shared" si="56"/>
        <v>-1.9010221185498262E-3</v>
      </c>
      <c r="S91" s="3"/>
      <c r="T91" s="3">
        <v>2651</v>
      </c>
      <c r="U91" s="3"/>
      <c r="V91" s="23">
        <f t="shared" si="57"/>
        <v>7.9536999255934524E-3</v>
      </c>
      <c r="W91" s="3"/>
      <c r="X91" s="3">
        <f t="shared" si="58"/>
        <v>-3046.35</v>
      </c>
      <c r="Y91" s="3"/>
      <c r="Z91" s="23">
        <f t="shared" si="59"/>
        <v>-1.1491324028668426</v>
      </c>
    </row>
    <row r="92" spans="1:26" x14ac:dyDescent="0.25">
      <c r="A92" s="9"/>
      <c r="B92" s="10"/>
      <c r="C92" s="10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10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22" customFormat="1" x14ac:dyDescent="0.25">
      <c r="A93" s="10"/>
      <c r="B93" s="25" t="s">
        <v>3</v>
      </c>
      <c r="C93" s="25"/>
      <c r="D93" s="21">
        <f>+D40-D42+D89</f>
        <v>11856.049999999947</v>
      </c>
      <c r="E93" s="13"/>
      <c r="F93" s="20">
        <f>IF(D$12=0,0,D93/D$12)</f>
        <v>5.700926593811196E-2</v>
      </c>
      <c r="G93" s="13"/>
      <c r="H93" s="21">
        <f>+H40-H42+H89</f>
        <v>56513.285731442309</v>
      </c>
      <c r="I93" s="13"/>
      <c r="J93" s="20">
        <f>IF(H$12=0,0,H93/H$12)</f>
        <v>0.16955477801479224</v>
      </c>
      <c r="K93" s="15"/>
      <c r="L93" s="21">
        <f>+D93-H93</f>
        <v>-44657.235731442364</v>
      </c>
      <c r="M93" s="15"/>
      <c r="N93" s="20">
        <f>IF(H93=0,0,L93/H93)</f>
        <v>-0.790207738825499</v>
      </c>
      <c r="O93" s="26"/>
      <c r="P93" s="21">
        <f>+P40-P42+P89</f>
        <v>11856.049999999947</v>
      </c>
      <c r="Q93" s="13"/>
      <c r="R93" s="20">
        <f>IF(P$12=0,0,P93/P$12)</f>
        <v>5.700926593811196E-2</v>
      </c>
      <c r="S93" s="13"/>
      <c r="T93" s="21">
        <f>+T40-T42+T89</f>
        <v>56513.285731442309</v>
      </c>
      <c r="U93" s="13"/>
      <c r="V93" s="20">
        <f>IF(T$12=0,0,T93/T$12)</f>
        <v>0.16955477801479224</v>
      </c>
      <c r="W93" s="15"/>
      <c r="X93" s="21">
        <f>+P93-T93</f>
        <v>-44657.235731442364</v>
      </c>
      <c r="Y93" s="15"/>
      <c r="Z93" s="20">
        <f>IF(T93=0,0,X93/T93)</f>
        <v>-0.790207738825499</v>
      </c>
    </row>
    <row r="94" spans="1:26" x14ac:dyDescent="0.25">
      <c r="A94" s="9"/>
      <c r="B94" s="10"/>
      <c r="C94" s="9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22" customFormat="1" x14ac:dyDescent="0.25">
      <c r="A95" s="52"/>
      <c r="B95" s="10" t="s">
        <v>14</v>
      </c>
      <c r="C95" s="10"/>
      <c r="D95" s="4">
        <v>100199.48000000001</v>
      </c>
      <c r="E95" s="4"/>
      <c r="F95" s="11">
        <f>IF(D$12=0,0,D95/D$12)</f>
        <v>0.48180454722952054</v>
      </c>
      <c r="G95" s="4"/>
      <c r="H95" s="4">
        <v>161905</v>
      </c>
      <c r="I95" s="4"/>
      <c r="J95" s="11">
        <f>IF(H$12=0,0,H95/H$12)</f>
        <v>0.48575774668170801</v>
      </c>
      <c r="K95" s="4"/>
      <c r="L95" s="4">
        <f>+D95-H95</f>
        <v>-61705.51999999999</v>
      </c>
      <c r="M95" s="4"/>
      <c r="N95" s="11">
        <f>IF(H95=0,0,L95/H95)</f>
        <v>-0.38112176893857502</v>
      </c>
      <c r="O95" s="10"/>
      <c r="P95" s="4">
        <v>100199.48000000001</v>
      </c>
      <c r="Q95" s="4"/>
      <c r="R95" s="11">
        <f>IF(P$12=0,0,P95/P$12)</f>
        <v>0.48180454722952054</v>
      </c>
      <c r="S95" s="4"/>
      <c r="T95" s="4">
        <v>161905</v>
      </c>
      <c r="U95" s="4"/>
      <c r="V95" s="11">
        <f>IF(T$12=0,0,T95/T$12)</f>
        <v>0.48575774668170801</v>
      </c>
      <c r="W95" s="4"/>
      <c r="X95" s="4">
        <f>+P95-T95</f>
        <v>-61705.51999999999</v>
      </c>
      <c r="Y95" s="4"/>
      <c r="Z95" s="11">
        <f>IF(T95=0,0,X95/T95)</f>
        <v>-0.38112176893857502</v>
      </c>
    </row>
    <row r="96" spans="1:26" x14ac:dyDescent="0.25">
      <c r="A96" s="9"/>
      <c r="B96" s="10"/>
      <c r="C96" s="10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10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2" customFormat="1" ht="15.75" thickBot="1" x14ac:dyDescent="0.3">
      <c r="A97" s="10"/>
      <c r="B97" s="25" t="s">
        <v>4</v>
      </c>
      <c r="C97" s="25"/>
      <c r="D97" s="34">
        <f>+D93-D95</f>
        <v>-88343.430000000066</v>
      </c>
      <c r="E97" s="13"/>
      <c r="F97" s="30">
        <f>IF(D$12=0,0,D97/D$12)</f>
        <v>-0.42479528129140859</v>
      </c>
      <c r="G97" s="13"/>
      <c r="H97" s="34">
        <f>+H93-H95</f>
        <v>-105391.7142685577</v>
      </c>
      <c r="I97" s="13"/>
      <c r="J97" s="30">
        <f>IF(H$12=0,0,H97/H$12)</f>
        <v>-0.31620296866691577</v>
      </c>
      <c r="K97" s="15"/>
      <c r="L97" s="34">
        <f>D97-H97</f>
        <v>17048.284268557632</v>
      </c>
      <c r="M97" s="15"/>
      <c r="N97" s="30">
        <f>IF(H97=0,0,L97/H97)</f>
        <v>-0.16176114400336475</v>
      </c>
      <c r="O97" s="26"/>
      <c r="P97" s="34">
        <f>+P93-P95</f>
        <v>-88343.430000000066</v>
      </c>
      <c r="Q97" s="13"/>
      <c r="R97" s="30">
        <f>IF(P$12=0,0,P97/P$12)</f>
        <v>-0.42479528129140859</v>
      </c>
      <c r="S97" s="13"/>
      <c r="T97" s="34">
        <f>+T93-T95</f>
        <v>-105391.7142685577</v>
      </c>
      <c r="U97" s="13"/>
      <c r="V97" s="30">
        <f>IF(T$12=0,0,T97/T$12)</f>
        <v>-0.31620296866691577</v>
      </c>
      <c r="W97" s="15"/>
      <c r="X97" s="34">
        <f>P97-T97</f>
        <v>17048.284268557632</v>
      </c>
      <c r="Y97" s="15"/>
      <c r="Z97" s="30">
        <f>IF(T97=0,0,X97/T97)</f>
        <v>-0.16176114400336475</v>
      </c>
    </row>
    <row r="98" spans="1:26" ht="15.75" thickTop="1" x14ac:dyDescent="0.25">
      <c r="A98" s="9"/>
      <c r="B98" s="9"/>
      <c r="C98" s="9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x14ac:dyDescent="0.25">
      <c r="A99" s="9"/>
      <c r="B99" s="9"/>
      <c r="C99" s="9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s="22" customFormat="1" ht="15.75" thickBot="1" x14ac:dyDescent="0.3">
      <c r="A100" s="10"/>
      <c r="B100" s="25" t="s">
        <v>5</v>
      </c>
      <c r="C100" s="25"/>
      <c r="D100" s="32">
        <f>SUM(D97:D99)</f>
        <v>-88343.430000000066</v>
      </c>
      <c r="E100" s="13"/>
      <c r="F100" s="33">
        <f>IF(D$12=0,0,D100/D$12)</f>
        <v>-0.42479528129140859</v>
      </c>
      <c r="G100" s="13"/>
      <c r="H100" s="32">
        <f>SUM(H97:H99)</f>
        <v>-105391.7142685577</v>
      </c>
      <c r="I100" s="13"/>
      <c r="J100" s="33">
        <f>IF(H$12=0,0,H100/H$12)</f>
        <v>-0.31620296866691577</v>
      </c>
      <c r="K100" s="15"/>
      <c r="L100" s="32">
        <f>+D100-H100</f>
        <v>17048.284268557632</v>
      </c>
      <c r="M100" s="15"/>
      <c r="N100" s="33">
        <f>IF(H100=0,0,L100/H100)</f>
        <v>-0.16176114400336475</v>
      </c>
      <c r="O100" s="26"/>
      <c r="P100" s="32">
        <f>SUM(P97:P99)</f>
        <v>-88343.430000000066</v>
      </c>
      <c r="Q100" s="13"/>
      <c r="R100" s="33">
        <f>IF(P$12=0,0,P100/P$12)</f>
        <v>-0.42479528129140859</v>
      </c>
      <c r="S100" s="13"/>
      <c r="T100" s="32">
        <f>SUM(T97:T99)</f>
        <v>-105391.7142685577</v>
      </c>
      <c r="U100" s="13"/>
      <c r="V100" s="33">
        <f>IF(T$12=0,0,T100/T$12)</f>
        <v>-0.31620296866691577</v>
      </c>
      <c r="W100" s="15"/>
      <c r="X100" s="32">
        <f>+P100-T100</f>
        <v>17048.284268557632</v>
      </c>
      <c r="Y100" s="15"/>
      <c r="Z100" s="33">
        <f>IF(T100=0,0,X100/T100)</f>
        <v>-0.16176114400336475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8">
        <v>44104.685666817131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6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2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","317", " - ", "Computer Store")</f>
        <v>Department 317 - Computer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207967.07</v>
      </c>
      <c r="E12" s="4"/>
      <c r="F12" s="11"/>
      <c r="G12" s="4"/>
      <c r="H12" s="4">
        <f>SUM(OSRRefH13x_0)</f>
        <v>333304</v>
      </c>
      <c r="I12" s="4"/>
      <c r="J12" s="11"/>
      <c r="K12" s="4"/>
      <c r="L12" s="4">
        <f t="shared" ref="L12:L27" si="0">+D12-H12</f>
        <v>-125336.93</v>
      </c>
      <c r="M12" s="4"/>
      <c r="N12" s="11">
        <f t="shared" ref="N12:N27" si="1">IF(H12=0,0,L12/H12)</f>
        <v>-0.37604388186160381</v>
      </c>
      <c r="O12" s="10"/>
      <c r="P12" s="4">
        <f>SUM(OSRRefP13x_0)</f>
        <v>207967.07</v>
      </c>
      <c r="Q12" s="4"/>
      <c r="R12" s="11"/>
      <c r="S12" s="4"/>
      <c r="T12" s="4">
        <f>SUM(OSRRefT13x_0)</f>
        <v>333304</v>
      </c>
      <c r="U12" s="4"/>
      <c r="V12" s="11"/>
      <c r="W12" s="4"/>
      <c r="X12" s="4">
        <f t="shared" ref="X12:X27" si="2">+P12-T12</f>
        <v>-125336.93</v>
      </c>
      <c r="Y12" s="4"/>
      <c r="Z12" s="11">
        <f t="shared" ref="Z12:Z27" si="3">IF(T12=0,0,X12/T12)</f>
        <v>-0.37604388186160381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-370.91</f>
        <v>-370.91</v>
      </c>
      <c r="E13" s="3"/>
      <c r="F13" s="23"/>
      <c r="G13" s="3"/>
      <c r="H13" s="3">
        <v>321573</v>
      </c>
      <c r="I13" s="3"/>
      <c r="J13" s="23"/>
      <c r="K13" s="3"/>
      <c r="L13" s="3">
        <f t="shared" si="0"/>
        <v>-321943.90999999997</v>
      </c>
      <c r="M13" s="3"/>
      <c r="N13" s="23">
        <f t="shared" si="1"/>
        <v>-1.0011534239503939</v>
      </c>
      <c r="O13" s="12"/>
      <c r="P13" s="3">
        <f>-370.91</f>
        <v>-370.91</v>
      </c>
      <c r="Q13" s="3"/>
      <c r="R13" s="23"/>
      <c r="S13" s="3"/>
      <c r="T13" s="3">
        <v>321573</v>
      </c>
      <c r="U13" s="3"/>
      <c r="V13" s="23"/>
      <c r="W13" s="3"/>
      <c r="X13" s="3">
        <f t="shared" si="2"/>
        <v>-321943.90999999997</v>
      </c>
      <c r="Y13" s="3"/>
      <c r="Z13" s="23">
        <f t="shared" si="3"/>
        <v>-1.0011534239503939</v>
      </c>
    </row>
    <row r="14" spans="1:26" s="24" customFormat="1" hidden="1" outlineLevel="1" x14ac:dyDescent="0.25">
      <c r="A14" s="51"/>
      <c r="B14" s="12" t="str">
        <f>CONCATENATE("          ", "4081", " - ", "TAXABLE SALES-ELECTRONICS")</f>
        <v xml:space="preserve">          4081 - TAXABLE SALES-ELECTRONICS</v>
      </c>
      <c r="C14" s="12"/>
      <c r="D14" s="3">
        <f>--21557.16</f>
        <v>21557.16</v>
      </c>
      <c r="E14" s="3"/>
      <c r="F14" s="23"/>
      <c r="G14" s="3"/>
      <c r="H14" s="3"/>
      <c r="I14" s="3"/>
      <c r="J14" s="23"/>
      <c r="K14" s="3"/>
      <c r="L14" s="3">
        <f t="shared" si="0"/>
        <v>21557.16</v>
      </c>
      <c r="M14" s="3"/>
      <c r="N14" s="23">
        <f t="shared" si="1"/>
        <v>0</v>
      </c>
      <c r="O14" s="12"/>
      <c r="P14" s="3">
        <f>--21557.16</f>
        <v>21557.16</v>
      </c>
      <c r="Q14" s="3"/>
      <c r="R14" s="23"/>
      <c r="S14" s="3"/>
      <c r="T14" s="3"/>
      <c r="U14" s="3"/>
      <c r="V14" s="23"/>
      <c r="W14" s="3"/>
      <c r="X14" s="3">
        <f t="shared" si="2"/>
        <v>21557.16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"4082", " - ", "TAXABLE SALES-COMPUTER HARDWAR")</f>
        <v xml:space="preserve">          4082 - TAXABLE SALES-COMPUTER HARDWAR</v>
      </c>
      <c r="C15" s="12"/>
      <c r="D15" s="3">
        <f>--137228.87</f>
        <v>137228.87</v>
      </c>
      <c r="E15" s="3"/>
      <c r="F15" s="23"/>
      <c r="G15" s="3"/>
      <c r="H15" s="3"/>
      <c r="I15" s="3"/>
      <c r="J15" s="23"/>
      <c r="K15" s="3"/>
      <c r="L15" s="3">
        <f t="shared" si="0"/>
        <v>137228.87</v>
      </c>
      <c r="M15" s="3"/>
      <c r="N15" s="23">
        <f t="shared" si="1"/>
        <v>0</v>
      </c>
      <c r="O15" s="12"/>
      <c r="P15" s="3">
        <f>--137228.87</f>
        <v>137228.87</v>
      </c>
      <c r="Q15" s="3"/>
      <c r="R15" s="23"/>
      <c r="S15" s="3"/>
      <c r="T15" s="3"/>
      <c r="U15" s="3"/>
      <c r="V15" s="23"/>
      <c r="W15" s="3"/>
      <c r="X15" s="3">
        <f t="shared" si="2"/>
        <v>137228.87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"4083", " - ", "TAXABLE SALES-COMPUTER EQUIPME")</f>
        <v xml:space="preserve">          4083 - TAXABLE SALES-COMPUTER EQUIPME</v>
      </c>
      <c r="C16" s="12"/>
      <c r="D16" s="3">
        <f>--6790.15</f>
        <v>6790.15</v>
      </c>
      <c r="E16" s="3"/>
      <c r="F16" s="23"/>
      <c r="G16" s="3"/>
      <c r="H16" s="3"/>
      <c r="I16" s="3"/>
      <c r="J16" s="23"/>
      <c r="K16" s="3"/>
      <c r="L16" s="3">
        <f t="shared" si="0"/>
        <v>6790.15</v>
      </c>
      <c r="M16" s="3"/>
      <c r="N16" s="23">
        <f t="shared" si="1"/>
        <v>0</v>
      </c>
      <c r="O16" s="12"/>
      <c r="P16" s="3">
        <f>--6790.15</f>
        <v>6790.15</v>
      </c>
      <c r="Q16" s="3"/>
      <c r="R16" s="23"/>
      <c r="S16" s="3"/>
      <c r="T16" s="3"/>
      <c r="U16" s="3"/>
      <c r="V16" s="23"/>
      <c r="W16" s="3"/>
      <c r="X16" s="3">
        <f t="shared" si="2"/>
        <v>6790.15</v>
      </c>
      <c r="Y16" s="3"/>
      <c r="Z16" s="23">
        <f t="shared" si="3"/>
        <v>0</v>
      </c>
    </row>
    <row r="17" spans="1:26" s="24" customFormat="1" hidden="1" outlineLevel="1" x14ac:dyDescent="0.25">
      <c r="A17" s="51"/>
      <c r="B17" s="12" t="str">
        <f>CONCATENATE("          ", "4086", " - ", "TAXABLE SALES-COMPUTER SUPPLIE")</f>
        <v xml:space="preserve">          4086 - TAXABLE SALES-COMPUTER SUPPLIE</v>
      </c>
      <c r="C17" s="12"/>
      <c r="D17" s="3">
        <f>--25959.21</f>
        <v>25959.21</v>
      </c>
      <c r="E17" s="3"/>
      <c r="F17" s="23"/>
      <c r="G17" s="3"/>
      <c r="H17" s="3"/>
      <c r="I17" s="3"/>
      <c r="J17" s="23"/>
      <c r="K17" s="3"/>
      <c r="L17" s="3">
        <f t="shared" si="0"/>
        <v>25959.21</v>
      </c>
      <c r="M17" s="3"/>
      <c r="N17" s="23">
        <f t="shared" si="1"/>
        <v>0</v>
      </c>
      <c r="O17" s="12"/>
      <c r="P17" s="3">
        <f>--25959.21</f>
        <v>25959.21</v>
      </c>
      <c r="Q17" s="3"/>
      <c r="R17" s="23"/>
      <c r="S17" s="3"/>
      <c r="T17" s="3"/>
      <c r="U17" s="3"/>
      <c r="V17" s="23"/>
      <c r="W17" s="3"/>
      <c r="X17" s="3">
        <f t="shared" si="2"/>
        <v>25959.21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"4100", " - ", "NON-TAXABLE SALES")</f>
        <v xml:space="preserve">          4100 - NON-TAXABLE SALES</v>
      </c>
      <c r="C18" s="12"/>
      <c r="D18" s="3">
        <f>0</f>
        <v>0</v>
      </c>
      <c r="E18" s="3"/>
      <c r="F18" s="23"/>
      <c r="G18" s="3"/>
      <c r="H18" s="3">
        <v>11731</v>
      </c>
      <c r="I18" s="3"/>
      <c r="J18" s="23"/>
      <c r="K18" s="3"/>
      <c r="L18" s="3">
        <f t="shared" si="0"/>
        <v>-11731</v>
      </c>
      <c r="M18" s="3"/>
      <c r="N18" s="23">
        <f t="shared" si="1"/>
        <v>-1</v>
      </c>
      <c r="O18" s="12"/>
      <c r="P18" s="3">
        <f>0</f>
        <v>0</v>
      </c>
      <c r="Q18" s="3"/>
      <c r="R18" s="23"/>
      <c r="S18" s="3"/>
      <c r="T18" s="3">
        <v>11731</v>
      </c>
      <c r="U18" s="3"/>
      <c r="V18" s="23"/>
      <c r="W18" s="3"/>
      <c r="X18" s="3">
        <f t="shared" si="2"/>
        <v>-11731</v>
      </c>
      <c r="Y18" s="3"/>
      <c r="Z18" s="23">
        <f t="shared" si="3"/>
        <v>-1</v>
      </c>
    </row>
    <row r="19" spans="1:26" s="24" customFormat="1" hidden="1" outlineLevel="1" x14ac:dyDescent="0.25">
      <c r="A19" s="51"/>
      <c r="B19" s="12" t="str">
        <f>CONCATENATE("          ", "4181", " - ", "NON-TAXABLE SALES-ELECTRONICS")</f>
        <v xml:space="preserve">          4181 - NON-TAXABLE SALES-ELECTRONICS</v>
      </c>
      <c r="C19" s="12"/>
      <c r="D19" s="3">
        <f>--289.98</f>
        <v>289.98</v>
      </c>
      <c r="E19" s="3"/>
      <c r="F19" s="23"/>
      <c r="G19" s="3"/>
      <c r="H19" s="3"/>
      <c r="I19" s="3"/>
      <c r="J19" s="23"/>
      <c r="K19" s="3"/>
      <c r="L19" s="3">
        <f t="shared" si="0"/>
        <v>289.98</v>
      </c>
      <c r="M19" s="3"/>
      <c r="N19" s="23">
        <f t="shared" si="1"/>
        <v>0</v>
      </c>
      <c r="O19" s="12"/>
      <c r="P19" s="3">
        <f>--289.98</f>
        <v>289.98</v>
      </c>
      <c r="Q19" s="3"/>
      <c r="R19" s="23"/>
      <c r="S19" s="3"/>
      <c r="T19" s="3"/>
      <c r="U19" s="3"/>
      <c r="V19" s="23"/>
      <c r="W19" s="3"/>
      <c r="X19" s="3">
        <f t="shared" si="2"/>
        <v>289.98</v>
      </c>
      <c r="Y19" s="3"/>
      <c r="Z19" s="23">
        <f t="shared" si="3"/>
        <v>0</v>
      </c>
    </row>
    <row r="20" spans="1:26" s="24" customFormat="1" hidden="1" outlineLevel="1" x14ac:dyDescent="0.25">
      <c r="A20" s="51"/>
      <c r="B20" s="12" t="str">
        <f>CONCATENATE("          ", "4182", " - ", "NON-TAXABLE SALES-COMPUTER HAR")</f>
        <v xml:space="preserve">          4182 - NON-TAXABLE SALES-COMPUTER HAR</v>
      </c>
      <c r="C20" s="12"/>
      <c r="D20" s="3">
        <f>--35876.99</f>
        <v>35876.99</v>
      </c>
      <c r="E20" s="3"/>
      <c r="F20" s="23"/>
      <c r="G20" s="3"/>
      <c r="H20" s="3"/>
      <c r="I20" s="3"/>
      <c r="J20" s="23"/>
      <c r="K20" s="3"/>
      <c r="L20" s="3">
        <f t="shared" si="0"/>
        <v>35876.99</v>
      </c>
      <c r="M20" s="3"/>
      <c r="N20" s="23">
        <f t="shared" si="1"/>
        <v>0</v>
      </c>
      <c r="O20" s="12"/>
      <c r="P20" s="3">
        <f>--35876.99</f>
        <v>35876.99</v>
      </c>
      <c r="Q20" s="3"/>
      <c r="R20" s="23"/>
      <c r="S20" s="3"/>
      <c r="T20" s="3"/>
      <c r="U20" s="3"/>
      <c r="V20" s="23"/>
      <c r="W20" s="3"/>
      <c r="X20" s="3">
        <f t="shared" si="2"/>
        <v>35876.99</v>
      </c>
      <c r="Y20" s="3"/>
      <c r="Z20" s="23">
        <f t="shared" si="3"/>
        <v>0</v>
      </c>
    </row>
    <row r="21" spans="1:26" s="24" customFormat="1" hidden="1" outlineLevel="1" x14ac:dyDescent="0.25">
      <c r="A21" s="51"/>
      <c r="B21" s="12" t="str">
        <f>CONCATENATE("          ", "4183", " - ", "NON-TAXABLE SALES-COMPUTER EQU")</f>
        <v xml:space="preserve">          4183 - NON-TAXABLE SALES-COMPUTER EQU</v>
      </c>
      <c r="C21" s="12"/>
      <c r="D21" s="3">
        <f>--1359.85</f>
        <v>1359.85</v>
      </c>
      <c r="E21" s="3"/>
      <c r="F21" s="23"/>
      <c r="G21" s="3"/>
      <c r="H21" s="3"/>
      <c r="I21" s="3"/>
      <c r="J21" s="23"/>
      <c r="K21" s="3"/>
      <c r="L21" s="3">
        <f t="shared" si="0"/>
        <v>1359.85</v>
      </c>
      <c r="M21" s="3"/>
      <c r="N21" s="23">
        <f t="shared" si="1"/>
        <v>0</v>
      </c>
      <c r="O21" s="12"/>
      <c r="P21" s="3">
        <f>--1359.85</f>
        <v>1359.85</v>
      </c>
      <c r="Q21" s="3"/>
      <c r="R21" s="23"/>
      <c r="S21" s="3"/>
      <c r="T21" s="3"/>
      <c r="U21" s="3"/>
      <c r="V21" s="23"/>
      <c r="W21" s="3"/>
      <c r="X21" s="3">
        <f t="shared" si="2"/>
        <v>1359.85</v>
      </c>
      <c r="Y21" s="3"/>
      <c r="Z21" s="23">
        <f t="shared" si="3"/>
        <v>0</v>
      </c>
    </row>
    <row r="22" spans="1:26" s="24" customFormat="1" hidden="1" outlineLevel="1" x14ac:dyDescent="0.25">
      <c r="A22" s="51"/>
      <c r="B22" s="12" t="str">
        <f>CONCATENATE("          ", "4185", " - ", "NON-TAXABLE SALES-SOFTWARE")</f>
        <v xml:space="preserve">          4185 - NON-TAXABLE SALES-SOFTWARE</v>
      </c>
      <c r="C22" s="12"/>
      <c r="D22" s="3">
        <f>--6187.74</f>
        <v>6187.74</v>
      </c>
      <c r="E22" s="3"/>
      <c r="F22" s="23"/>
      <c r="G22" s="3"/>
      <c r="H22" s="3"/>
      <c r="I22" s="3"/>
      <c r="J22" s="23"/>
      <c r="K22" s="3"/>
      <c r="L22" s="3">
        <f t="shared" si="0"/>
        <v>6187.74</v>
      </c>
      <c r="M22" s="3"/>
      <c r="N22" s="23">
        <f t="shared" si="1"/>
        <v>0</v>
      </c>
      <c r="O22" s="12"/>
      <c r="P22" s="3">
        <f>--6187.74</f>
        <v>6187.74</v>
      </c>
      <c r="Q22" s="3"/>
      <c r="R22" s="23"/>
      <c r="S22" s="3"/>
      <c r="T22" s="3"/>
      <c r="U22" s="3"/>
      <c r="V22" s="23"/>
      <c r="W22" s="3"/>
      <c r="X22" s="3">
        <f t="shared" si="2"/>
        <v>6187.74</v>
      </c>
      <c r="Y22" s="3"/>
      <c r="Z22" s="23">
        <f t="shared" si="3"/>
        <v>0</v>
      </c>
    </row>
    <row r="23" spans="1:26" s="24" customFormat="1" hidden="1" outlineLevel="1" x14ac:dyDescent="0.25">
      <c r="A23" s="51"/>
      <c r="B23" s="12" t="str">
        <f>CONCATENATE("          ", "4186", " - ", "NON-TAXABLE SALES-COMPUTER SUP")</f>
        <v xml:space="preserve">          4186 - NON-TAXABLE SALES-COMPUTER SUP</v>
      </c>
      <c r="C23" s="12"/>
      <c r="D23" s="3">
        <f>--154.95</f>
        <v>154.94999999999999</v>
      </c>
      <c r="E23" s="3"/>
      <c r="F23" s="23"/>
      <c r="G23" s="3"/>
      <c r="H23" s="3"/>
      <c r="I23" s="3"/>
      <c r="J23" s="23"/>
      <c r="K23" s="3"/>
      <c r="L23" s="3">
        <f t="shared" si="0"/>
        <v>154.94999999999999</v>
      </c>
      <c r="M23" s="3"/>
      <c r="N23" s="23">
        <f t="shared" si="1"/>
        <v>0</v>
      </c>
      <c r="O23" s="12"/>
      <c r="P23" s="3">
        <f>--154.95</f>
        <v>154.94999999999999</v>
      </c>
      <c r="Q23" s="3"/>
      <c r="R23" s="23"/>
      <c r="S23" s="3"/>
      <c r="T23" s="3"/>
      <c r="U23" s="3"/>
      <c r="V23" s="23"/>
      <c r="W23" s="3"/>
      <c r="X23" s="3">
        <f t="shared" si="2"/>
        <v>154.94999999999999</v>
      </c>
      <c r="Y23" s="3"/>
      <c r="Z23" s="23">
        <f t="shared" si="3"/>
        <v>0</v>
      </c>
    </row>
    <row r="24" spans="1:26" s="24" customFormat="1" hidden="1" outlineLevel="1" x14ac:dyDescent="0.25">
      <c r="A24" s="51"/>
      <c r="B24" s="12" t="str">
        <f>CONCATENATE("          ", "4281", " - ", "SALES RETURN TAXABLE-ELECTRONI")</f>
        <v xml:space="preserve">          4281 - SALES RETURN TAXABLE-ELECTRONI</v>
      </c>
      <c r="C24" s="12"/>
      <c r="D24" s="3">
        <f>-6291.99</f>
        <v>-6291.99</v>
      </c>
      <c r="E24" s="3"/>
      <c r="F24" s="23"/>
      <c r="G24" s="3"/>
      <c r="H24" s="3"/>
      <c r="I24" s="3"/>
      <c r="J24" s="23"/>
      <c r="K24" s="3"/>
      <c r="L24" s="3">
        <f t="shared" si="0"/>
        <v>-6291.99</v>
      </c>
      <c r="M24" s="3"/>
      <c r="N24" s="23">
        <f t="shared" si="1"/>
        <v>0</v>
      </c>
      <c r="O24" s="12"/>
      <c r="P24" s="3">
        <f>-6291.99</f>
        <v>-6291.99</v>
      </c>
      <c r="Q24" s="3"/>
      <c r="R24" s="23"/>
      <c r="S24" s="3"/>
      <c r="T24" s="3"/>
      <c r="U24" s="3"/>
      <c r="V24" s="23"/>
      <c r="W24" s="3"/>
      <c r="X24" s="3">
        <f t="shared" si="2"/>
        <v>-6291.99</v>
      </c>
      <c r="Y24" s="3"/>
      <c r="Z24" s="23">
        <f t="shared" si="3"/>
        <v>0</v>
      </c>
    </row>
    <row r="25" spans="1:26" s="24" customFormat="1" hidden="1" outlineLevel="1" x14ac:dyDescent="0.25">
      <c r="A25" s="51"/>
      <c r="B25" s="12" t="str">
        <f>CONCATENATE("          ", "4282", " - ", "SALES RETURN TAXABLE-COMPUTER")</f>
        <v xml:space="preserve">          4282 - SALES RETURN TAXABLE-COMPUTER</v>
      </c>
      <c r="C25" s="12"/>
      <c r="D25" s="3">
        <f>-18207</f>
        <v>-18207</v>
      </c>
      <c r="E25" s="3"/>
      <c r="F25" s="23"/>
      <c r="G25" s="3"/>
      <c r="H25" s="3"/>
      <c r="I25" s="3"/>
      <c r="J25" s="23"/>
      <c r="K25" s="3"/>
      <c r="L25" s="3">
        <f t="shared" si="0"/>
        <v>-18207</v>
      </c>
      <c r="M25" s="3"/>
      <c r="N25" s="23">
        <f t="shared" si="1"/>
        <v>0</v>
      </c>
      <c r="O25" s="12"/>
      <c r="P25" s="3">
        <f>-18207</f>
        <v>-18207</v>
      </c>
      <c r="Q25" s="3"/>
      <c r="R25" s="23"/>
      <c r="S25" s="3"/>
      <c r="T25" s="3"/>
      <c r="U25" s="3"/>
      <c r="V25" s="23"/>
      <c r="W25" s="3"/>
      <c r="X25" s="3">
        <f t="shared" si="2"/>
        <v>-18207</v>
      </c>
      <c r="Y25" s="3"/>
      <c r="Z25" s="23">
        <f t="shared" si="3"/>
        <v>0</v>
      </c>
    </row>
    <row r="26" spans="1:26" s="24" customFormat="1" hidden="1" outlineLevel="1" x14ac:dyDescent="0.25">
      <c r="A26" s="51"/>
      <c r="B26" s="12" t="str">
        <f>CONCATENATE("          ", "4283", " - ", "SALES RETURN TAXABLE-COMPUTER")</f>
        <v xml:space="preserve">          4283 - SALES RETURN TAXABLE-COMPUTER</v>
      </c>
      <c r="C26" s="12"/>
      <c r="D26" s="3">
        <f>-818.93</f>
        <v>-818.93</v>
      </c>
      <c r="E26" s="3"/>
      <c r="F26" s="23"/>
      <c r="G26" s="3"/>
      <c r="H26" s="3"/>
      <c r="I26" s="3"/>
      <c r="J26" s="23"/>
      <c r="K26" s="3"/>
      <c r="L26" s="3">
        <f t="shared" si="0"/>
        <v>-818.93</v>
      </c>
      <c r="M26" s="3"/>
      <c r="N26" s="23">
        <f t="shared" si="1"/>
        <v>0</v>
      </c>
      <c r="O26" s="12"/>
      <c r="P26" s="3">
        <f>-818.93</f>
        <v>-818.93</v>
      </c>
      <c r="Q26" s="3"/>
      <c r="R26" s="23"/>
      <c r="S26" s="3"/>
      <c r="T26" s="3"/>
      <c r="U26" s="3"/>
      <c r="V26" s="23"/>
      <c r="W26" s="3"/>
      <c r="X26" s="3">
        <f t="shared" si="2"/>
        <v>-818.93</v>
      </c>
      <c r="Y26" s="3"/>
      <c r="Z26" s="23">
        <f t="shared" si="3"/>
        <v>0</v>
      </c>
    </row>
    <row r="27" spans="1:26" s="24" customFormat="1" hidden="1" outlineLevel="1" x14ac:dyDescent="0.25">
      <c r="A27" s="51"/>
      <c r="B27" s="12" t="str">
        <f>CONCATENATE("          ", "4381", " - ", "SALES RETURN NON TAXABLE-ELECT")</f>
        <v xml:space="preserve">          4381 - SALES RETURN NON TAXABLE-ELECT</v>
      </c>
      <c r="C27" s="12"/>
      <c r="D27" s="3">
        <f>-1749</f>
        <v>-1749</v>
      </c>
      <c r="E27" s="3"/>
      <c r="F27" s="23"/>
      <c r="G27" s="3"/>
      <c r="H27" s="3"/>
      <c r="I27" s="3"/>
      <c r="J27" s="23"/>
      <c r="K27" s="3"/>
      <c r="L27" s="3">
        <f t="shared" si="0"/>
        <v>-1749</v>
      </c>
      <c r="M27" s="3"/>
      <c r="N27" s="23">
        <f t="shared" si="1"/>
        <v>0</v>
      </c>
      <c r="O27" s="12"/>
      <c r="P27" s="3">
        <f>-1749</f>
        <v>-1749</v>
      </c>
      <c r="Q27" s="3"/>
      <c r="R27" s="23"/>
      <c r="S27" s="3"/>
      <c r="T27" s="3"/>
      <c r="U27" s="3"/>
      <c r="V27" s="23"/>
      <c r="W27" s="3"/>
      <c r="X27" s="3">
        <f t="shared" si="2"/>
        <v>-1749</v>
      </c>
      <c r="Y27" s="3"/>
      <c r="Z27" s="23">
        <f t="shared" si="3"/>
        <v>0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collapsed="1" x14ac:dyDescent="0.25">
      <c r="A29" s="10"/>
      <c r="B29" s="26" t="s">
        <v>8</v>
      </c>
      <c r="C29" s="10"/>
      <c r="D29" s="4">
        <f>SUM(OSRRefD16x_0)</f>
        <v>183956.00000000006</v>
      </c>
      <c r="E29" s="4"/>
      <c r="F29" s="11">
        <f t="shared" ref="F29:F38" si="4">IF(D$12=0,0,D29/D$12)</f>
        <v>0.88454388476021739</v>
      </c>
      <c r="G29" s="4"/>
      <c r="H29" s="4">
        <f>SUM(OSRRefH16x_0)</f>
        <v>260298</v>
      </c>
      <c r="I29" s="4"/>
      <c r="J29" s="11">
        <f t="shared" ref="J29:J38" si="5">IF(H$12=0,0,H29/H$12)</f>
        <v>0.78096272471977535</v>
      </c>
      <c r="K29" s="4"/>
      <c r="L29" s="4">
        <f t="shared" ref="L29:L38" si="6">+D29-H29</f>
        <v>-76341.999999999942</v>
      </c>
      <c r="M29" s="4"/>
      <c r="N29" s="11">
        <f t="shared" ref="N29:N38" si="7">IF(H29=0,0,L29/H29)</f>
        <v>-0.29328692498597736</v>
      </c>
      <c r="O29" s="10"/>
      <c r="P29" s="4">
        <f>SUM(OSRRefP16x_0)</f>
        <v>183956.00000000006</v>
      </c>
      <c r="Q29" s="4"/>
      <c r="R29" s="11">
        <f t="shared" ref="R29:R38" si="8">IF(P$12=0,0,P29/P$12)</f>
        <v>0.88454388476021739</v>
      </c>
      <c r="S29" s="4"/>
      <c r="T29" s="4">
        <f>SUM(OSRRefT16x_0)</f>
        <v>260298</v>
      </c>
      <c r="U29" s="4"/>
      <c r="V29" s="11">
        <f t="shared" ref="V29:V38" si="9">IF(T$12=0,0,T29/T$12)</f>
        <v>0.78096272471977535</v>
      </c>
      <c r="W29" s="4"/>
      <c r="X29" s="4">
        <f t="shared" ref="X29:X38" si="10">+P29-T29</f>
        <v>-76341.999999999942</v>
      </c>
      <c r="Y29" s="4"/>
      <c r="Z29" s="11">
        <f t="shared" ref="Z29:Z38" si="11">IF(T29=0,0,X29/T29)</f>
        <v>-0.29328692498597736</v>
      </c>
    </row>
    <row r="30" spans="1:26" s="24" customFormat="1" hidden="1" outlineLevel="1" x14ac:dyDescent="0.25">
      <c r="A30" s="51"/>
      <c r="B30" s="12" t="str">
        <f>CONCATENATE("          ", "5000", " - ", "PURCHASES @ COST")</f>
        <v xml:space="preserve">          5000 - PURCHASES @ COST</v>
      </c>
      <c r="C30" s="12"/>
      <c r="D30" s="3"/>
      <c r="E30" s="3"/>
      <c r="F30" s="23">
        <f t="shared" si="4"/>
        <v>0</v>
      </c>
      <c r="G30" s="3"/>
      <c r="H30" s="3">
        <v>260298</v>
      </c>
      <c r="I30" s="3"/>
      <c r="J30" s="23">
        <f t="shared" si="5"/>
        <v>0.78096272471977535</v>
      </c>
      <c r="K30" s="3"/>
      <c r="L30" s="3">
        <f t="shared" si="6"/>
        <v>-260298</v>
      </c>
      <c r="M30" s="3"/>
      <c r="N30" s="23">
        <f t="shared" si="7"/>
        <v>-1</v>
      </c>
      <c r="O30" s="12"/>
      <c r="P30" s="3"/>
      <c r="Q30" s="3"/>
      <c r="R30" s="23">
        <f t="shared" si="8"/>
        <v>0</v>
      </c>
      <c r="S30" s="3"/>
      <c r="T30" s="3">
        <v>260298</v>
      </c>
      <c r="U30" s="3"/>
      <c r="V30" s="23">
        <f t="shared" si="9"/>
        <v>0.78096272471977535</v>
      </c>
      <c r="W30" s="3"/>
      <c r="X30" s="3">
        <f t="shared" si="10"/>
        <v>-260298</v>
      </c>
      <c r="Y30" s="3"/>
      <c r="Z30" s="23">
        <f t="shared" si="11"/>
        <v>-1</v>
      </c>
    </row>
    <row r="31" spans="1:26" s="24" customFormat="1" hidden="1" outlineLevel="1" x14ac:dyDescent="0.25">
      <c r="A31" s="51"/>
      <c r="B31" s="12" t="str">
        <f>CONCATENATE("          ", "5081", " - ", "PURCHASES @ COST-ELECTRONICS")</f>
        <v xml:space="preserve">          5081 - PURCHASES @ COST-ELECTRONICS</v>
      </c>
      <c r="C31" s="12"/>
      <c r="D31" s="3">
        <v>6676.92</v>
      </c>
      <c r="E31" s="3"/>
      <c r="F31" s="23">
        <f t="shared" si="4"/>
        <v>3.2105659804698886E-2</v>
      </c>
      <c r="G31" s="3"/>
      <c r="H31" s="3"/>
      <c r="I31" s="3"/>
      <c r="J31" s="23">
        <f t="shared" si="5"/>
        <v>0</v>
      </c>
      <c r="K31" s="3"/>
      <c r="L31" s="3">
        <f t="shared" si="6"/>
        <v>6676.92</v>
      </c>
      <c r="M31" s="3"/>
      <c r="N31" s="23">
        <f t="shared" si="7"/>
        <v>0</v>
      </c>
      <c r="O31" s="12"/>
      <c r="P31" s="3">
        <v>6676.92</v>
      </c>
      <c r="Q31" s="3"/>
      <c r="R31" s="23">
        <f t="shared" si="8"/>
        <v>3.2105659804698886E-2</v>
      </c>
      <c r="S31" s="3"/>
      <c r="T31" s="3"/>
      <c r="U31" s="3"/>
      <c r="V31" s="23">
        <f t="shared" si="9"/>
        <v>0</v>
      </c>
      <c r="W31" s="3"/>
      <c r="X31" s="3">
        <f t="shared" si="10"/>
        <v>6676.92</v>
      </c>
      <c r="Y31" s="3"/>
      <c r="Z31" s="23">
        <f t="shared" si="11"/>
        <v>0</v>
      </c>
    </row>
    <row r="32" spans="1:26" s="24" customFormat="1" hidden="1" outlineLevel="1" x14ac:dyDescent="0.25">
      <c r="A32" s="51"/>
      <c r="B32" s="12" t="str">
        <f>CONCATENATE("          ", "5082", " - ", "PURCHASES @ COST-COMPUTER HARD")</f>
        <v xml:space="preserve">          5082 - PURCHASES @ COST-COMPUTER HARD</v>
      </c>
      <c r="C32" s="12"/>
      <c r="D32" s="3">
        <v>186472.57</v>
      </c>
      <c r="E32" s="3"/>
      <c r="F32" s="23">
        <f t="shared" si="4"/>
        <v>0.89664469475864617</v>
      </c>
      <c r="G32" s="3"/>
      <c r="H32" s="3"/>
      <c r="I32" s="3"/>
      <c r="J32" s="23">
        <f t="shared" si="5"/>
        <v>0</v>
      </c>
      <c r="K32" s="3"/>
      <c r="L32" s="3">
        <f t="shared" si="6"/>
        <v>186472.57</v>
      </c>
      <c r="M32" s="3"/>
      <c r="N32" s="23">
        <f t="shared" si="7"/>
        <v>0</v>
      </c>
      <c r="O32" s="12"/>
      <c r="P32" s="3">
        <v>186472.57</v>
      </c>
      <c r="Q32" s="3"/>
      <c r="R32" s="23">
        <f t="shared" si="8"/>
        <v>0.89664469475864617</v>
      </c>
      <c r="S32" s="3"/>
      <c r="T32" s="3"/>
      <c r="U32" s="3"/>
      <c r="V32" s="23">
        <f t="shared" si="9"/>
        <v>0</v>
      </c>
      <c r="W32" s="3"/>
      <c r="X32" s="3">
        <f t="shared" si="10"/>
        <v>186472.57</v>
      </c>
      <c r="Y32" s="3"/>
      <c r="Z32" s="23">
        <f t="shared" si="11"/>
        <v>0</v>
      </c>
    </row>
    <row r="33" spans="1:26" s="24" customFormat="1" hidden="1" outlineLevel="1" x14ac:dyDescent="0.25">
      <c r="A33" s="51"/>
      <c r="B33" s="12" t="str">
        <f>CONCATENATE("          ", "5083", " - ", "PURCHASES @ COST-COMPUTER EQUI")</f>
        <v xml:space="preserve">          5083 - PURCHASES @ COST-COMPUTER EQUI</v>
      </c>
      <c r="C33" s="12"/>
      <c r="D33" s="3">
        <v>29938.300000000003</v>
      </c>
      <c r="E33" s="3"/>
      <c r="F33" s="23">
        <f t="shared" si="4"/>
        <v>0.14395692548825159</v>
      </c>
      <c r="G33" s="3"/>
      <c r="H33" s="3"/>
      <c r="I33" s="3"/>
      <c r="J33" s="23">
        <f t="shared" si="5"/>
        <v>0</v>
      </c>
      <c r="K33" s="3"/>
      <c r="L33" s="3">
        <f t="shared" si="6"/>
        <v>29938.300000000003</v>
      </c>
      <c r="M33" s="3"/>
      <c r="N33" s="23">
        <f t="shared" si="7"/>
        <v>0</v>
      </c>
      <c r="O33" s="12"/>
      <c r="P33" s="3">
        <v>29938.300000000003</v>
      </c>
      <c r="Q33" s="3"/>
      <c r="R33" s="23">
        <f t="shared" si="8"/>
        <v>0.14395692548825159</v>
      </c>
      <c r="S33" s="3"/>
      <c r="T33" s="3"/>
      <c r="U33" s="3"/>
      <c r="V33" s="23">
        <f t="shared" si="9"/>
        <v>0</v>
      </c>
      <c r="W33" s="3"/>
      <c r="X33" s="3">
        <f t="shared" si="10"/>
        <v>29938.300000000003</v>
      </c>
      <c r="Y33" s="3"/>
      <c r="Z33" s="23">
        <f t="shared" si="11"/>
        <v>0</v>
      </c>
    </row>
    <row r="34" spans="1:26" s="24" customFormat="1" hidden="1" outlineLevel="1" x14ac:dyDescent="0.25">
      <c r="A34" s="51"/>
      <c r="B34" s="12" t="str">
        <f>CONCATENATE("          ", "5085", " - ", "PURCHASES @ COST-SOFTWARE")</f>
        <v xml:space="preserve">          5085 - PURCHASES @ COST-SOFTWARE</v>
      </c>
      <c r="C34" s="12"/>
      <c r="D34" s="3">
        <v>3864.34</v>
      </c>
      <c r="E34" s="3"/>
      <c r="F34" s="23">
        <f t="shared" si="4"/>
        <v>1.858149946527592E-2</v>
      </c>
      <c r="G34" s="3"/>
      <c r="H34" s="3"/>
      <c r="I34" s="3"/>
      <c r="J34" s="23">
        <f t="shared" si="5"/>
        <v>0</v>
      </c>
      <c r="K34" s="3"/>
      <c r="L34" s="3">
        <f t="shared" si="6"/>
        <v>3864.34</v>
      </c>
      <c r="M34" s="3"/>
      <c r="N34" s="23">
        <f t="shared" si="7"/>
        <v>0</v>
      </c>
      <c r="O34" s="12"/>
      <c r="P34" s="3">
        <v>3864.34</v>
      </c>
      <c r="Q34" s="3"/>
      <c r="R34" s="23">
        <f t="shared" si="8"/>
        <v>1.858149946527592E-2</v>
      </c>
      <c r="S34" s="3"/>
      <c r="T34" s="3"/>
      <c r="U34" s="3"/>
      <c r="V34" s="23">
        <f t="shared" si="9"/>
        <v>0</v>
      </c>
      <c r="W34" s="3"/>
      <c r="X34" s="3">
        <f t="shared" si="10"/>
        <v>3864.34</v>
      </c>
      <c r="Y34" s="3"/>
      <c r="Z34" s="23">
        <f t="shared" si="11"/>
        <v>0</v>
      </c>
    </row>
    <row r="35" spans="1:26" s="24" customFormat="1" hidden="1" outlineLevel="1" x14ac:dyDescent="0.25">
      <c r="A35" s="51"/>
      <c r="B35" s="12" t="str">
        <f>CONCATENATE("          ", "5086", " - ", "PURCHASES @ COST-COMPUTER SUPP")</f>
        <v xml:space="preserve">          5086 - PURCHASES @ COST-COMPUTER SUPP</v>
      </c>
      <c r="C35" s="12"/>
      <c r="D35" s="3">
        <v>87.25</v>
      </c>
      <c r="E35" s="3"/>
      <c r="F35" s="23">
        <f t="shared" si="4"/>
        <v>4.1953757390533026E-4</v>
      </c>
      <c r="G35" s="3"/>
      <c r="H35" s="3"/>
      <c r="I35" s="3"/>
      <c r="J35" s="23">
        <f t="shared" si="5"/>
        <v>0</v>
      </c>
      <c r="K35" s="3"/>
      <c r="L35" s="3">
        <f t="shared" si="6"/>
        <v>87.25</v>
      </c>
      <c r="M35" s="3"/>
      <c r="N35" s="23">
        <f t="shared" si="7"/>
        <v>0</v>
      </c>
      <c r="O35" s="12"/>
      <c r="P35" s="3">
        <v>87.25</v>
      </c>
      <c r="Q35" s="3"/>
      <c r="R35" s="23">
        <f t="shared" si="8"/>
        <v>4.1953757390533026E-4</v>
      </c>
      <c r="S35" s="3"/>
      <c r="T35" s="3"/>
      <c r="U35" s="3"/>
      <c r="V35" s="23">
        <f t="shared" si="9"/>
        <v>0</v>
      </c>
      <c r="W35" s="3"/>
      <c r="X35" s="3">
        <f t="shared" si="10"/>
        <v>87.25</v>
      </c>
      <c r="Y35" s="3"/>
      <c r="Z35" s="23">
        <f t="shared" si="11"/>
        <v>0</v>
      </c>
    </row>
    <row r="36" spans="1:26" s="24" customFormat="1" hidden="1" outlineLevel="1" x14ac:dyDescent="0.25">
      <c r="A36" s="51"/>
      <c r="B36" s="12" t="str">
        <f>CONCATENATE("          ", "5200", " - ", "PURCHASES OFFSET")</f>
        <v xml:space="preserve">          5200 - PURCHASES OFFSET</v>
      </c>
      <c r="C36" s="12"/>
      <c r="D36" s="3">
        <v>-227056.77</v>
      </c>
      <c r="E36" s="3"/>
      <c r="F36" s="23">
        <f t="shared" si="4"/>
        <v>-1.0917919360983448</v>
      </c>
      <c r="G36" s="3"/>
      <c r="H36" s="3"/>
      <c r="I36" s="3"/>
      <c r="J36" s="23">
        <f t="shared" si="5"/>
        <v>0</v>
      </c>
      <c r="K36" s="3"/>
      <c r="L36" s="3">
        <f t="shared" si="6"/>
        <v>-227056.77</v>
      </c>
      <c r="M36" s="3"/>
      <c r="N36" s="23">
        <f t="shared" si="7"/>
        <v>0</v>
      </c>
      <c r="O36" s="12"/>
      <c r="P36" s="3">
        <v>-227056.77</v>
      </c>
      <c r="Q36" s="3"/>
      <c r="R36" s="23">
        <f t="shared" si="8"/>
        <v>-1.0917919360983448</v>
      </c>
      <c r="S36" s="3"/>
      <c r="T36" s="3"/>
      <c r="U36" s="3"/>
      <c r="V36" s="23">
        <f t="shared" si="9"/>
        <v>0</v>
      </c>
      <c r="W36" s="3"/>
      <c r="X36" s="3">
        <f t="shared" si="10"/>
        <v>-227056.77</v>
      </c>
      <c r="Y36" s="3"/>
      <c r="Z36" s="23">
        <f t="shared" si="11"/>
        <v>0</v>
      </c>
    </row>
    <row r="37" spans="1:26" s="24" customFormat="1" hidden="1" outlineLevel="1" x14ac:dyDescent="0.25">
      <c r="A37" s="51"/>
      <c r="B37" s="12" t="str">
        <f>CONCATENATE("          ", "5300", " - ", "COG$ OFFSET")</f>
        <v xml:space="preserve">          5300 - COG$ OFFSET</v>
      </c>
      <c r="C37" s="12"/>
      <c r="D37" s="3">
        <v>183956</v>
      </c>
      <c r="E37" s="3"/>
      <c r="F37" s="23">
        <f t="shared" si="4"/>
        <v>0.88454388476021706</v>
      </c>
      <c r="G37" s="3"/>
      <c r="H37" s="3"/>
      <c r="I37" s="3"/>
      <c r="J37" s="23">
        <f t="shared" si="5"/>
        <v>0</v>
      </c>
      <c r="K37" s="3"/>
      <c r="L37" s="3">
        <f t="shared" si="6"/>
        <v>183956</v>
      </c>
      <c r="M37" s="3"/>
      <c r="N37" s="23">
        <f t="shared" si="7"/>
        <v>0</v>
      </c>
      <c r="O37" s="12"/>
      <c r="P37" s="3">
        <v>183956</v>
      </c>
      <c r="Q37" s="3"/>
      <c r="R37" s="23">
        <f t="shared" si="8"/>
        <v>0.88454388476021706</v>
      </c>
      <c r="S37" s="3"/>
      <c r="T37" s="3"/>
      <c r="U37" s="3"/>
      <c r="V37" s="23">
        <f t="shared" si="9"/>
        <v>0</v>
      </c>
      <c r="W37" s="3"/>
      <c r="X37" s="3">
        <f t="shared" si="10"/>
        <v>183956</v>
      </c>
      <c r="Y37" s="3"/>
      <c r="Z37" s="23">
        <f t="shared" si="11"/>
        <v>0</v>
      </c>
    </row>
    <row r="38" spans="1:26" s="24" customFormat="1" hidden="1" outlineLevel="1" x14ac:dyDescent="0.25">
      <c r="A38" s="51"/>
      <c r="B38" s="12" t="str">
        <f>CONCATENATE("          ", "5583", " - ", "FREIGHT-IN-COMPUTER EQUIPMENT")</f>
        <v xml:space="preserve">          5583 - FREIGHT-IN-COMPUTER EQUIPMENT</v>
      </c>
      <c r="C38" s="12"/>
      <c r="D38" s="3">
        <v>17.39</v>
      </c>
      <c r="E38" s="3"/>
      <c r="F38" s="23">
        <f t="shared" si="4"/>
        <v>8.3619007566919124E-5</v>
      </c>
      <c r="G38" s="3"/>
      <c r="H38" s="3"/>
      <c r="I38" s="3"/>
      <c r="J38" s="23">
        <f t="shared" si="5"/>
        <v>0</v>
      </c>
      <c r="K38" s="3"/>
      <c r="L38" s="3">
        <f t="shared" si="6"/>
        <v>17.39</v>
      </c>
      <c r="M38" s="3"/>
      <c r="N38" s="23">
        <f t="shared" si="7"/>
        <v>0</v>
      </c>
      <c r="O38" s="12"/>
      <c r="P38" s="3">
        <v>17.39</v>
      </c>
      <c r="Q38" s="3"/>
      <c r="R38" s="23">
        <f t="shared" si="8"/>
        <v>8.3619007566919124E-5</v>
      </c>
      <c r="S38" s="3"/>
      <c r="T38" s="3"/>
      <c r="U38" s="3"/>
      <c r="V38" s="23">
        <f t="shared" si="9"/>
        <v>0</v>
      </c>
      <c r="W38" s="3"/>
      <c r="X38" s="3">
        <f t="shared" si="10"/>
        <v>17.39</v>
      </c>
      <c r="Y38" s="3"/>
      <c r="Z38" s="23">
        <f t="shared" si="11"/>
        <v>0</v>
      </c>
    </row>
    <row r="39" spans="1:26" x14ac:dyDescent="0.25">
      <c r="A39" s="9"/>
      <c r="B39" s="10"/>
      <c r="C39" s="10"/>
      <c r="D39" s="2"/>
      <c r="E39" s="2"/>
      <c r="F39" s="6"/>
      <c r="G39" s="2"/>
      <c r="H39" s="2"/>
      <c r="I39" s="2"/>
      <c r="J39" s="6"/>
      <c r="K39" s="2"/>
      <c r="L39" s="2"/>
      <c r="M39" s="2"/>
      <c r="N39" s="6"/>
      <c r="O39" s="10"/>
      <c r="P39" s="2"/>
      <c r="Q39" s="2"/>
      <c r="R39" s="6"/>
      <c r="S39" s="2"/>
      <c r="T39" s="2"/>
      <c r="U39" s="2"/>
      <c r="V39" s="6"/>
      <c r="W39" s="2"/>
      <c r="X39" s="2"/>
      <c r="Y39" s="2"/>
      <c r="Z39" s="6"/>
    </row>
    <row r="40" spans="1:26" s="22" customFormat="1" x14ac:dyDescent="0.25">
      <c r="A40" s="10"/>
      <c r="B40" s="25" t="s">
        <v>6</v>
      </c>
      <c r="C40" s="25"/>
      <c r="D40" s="21">
        <f>D12-D29</f>
        <v>24011.069999999949</v>
      </c>
      <c r="E40" s="13"/>
      <c r="F40" s="20">
        <f>IF(D$12=0,0,D40/D$12)</f>
        <v>0.11545611523978266</v>
      </c>
      <c r="G40" s="13"/>
      <c r="H40" s="21">
        <f>H12-H29</f>
        <v>73006</v>
      </c>
      <c r="I40" s="13"/>
      <c r="J40" s="20">
        <f>IF(H$12=0,0,H40/H$12)</f>
        <v>0.21903727528022465</v>
      </c>
      <c r="K40" s="15"/>
      <c r="L40" s="21">
        <f>+D40-H40</f>
        <v>-48994.930000000051</v>
      </c>
      <c r="M40" s="15"/>
      <c r="N40" s="20">
        <f>IF(H40=0,0,L40/H40)</f>
        <v>-0.67110826507410415</v>
      </c>
      <c r="O40" s="26"/>
      <c r="P40" s="21">
        <f>P12-P29</f>
        <v>24011.069999999949</v>
      </c>
      <c r="Q40" s="13"/>
      <c r="R40" s="20">
        <f>IF(P$12=0,0,P40/P$12)</f>
        <v>0.11545611523978266</v>
      </c>
      <c r="S40" s="13"/>
      <c r="T40" s="21">
        <f>T12-T29</f>
        <v>73006</v>
      </c>
      <c r="U40" s="13"/>
      <c r="V40" s="20">
        <f>IF(T$12=0,0,T40/T$12)</f>
        <v>0.21903727528022465</v>
      </c>
      <c r="W40" s="15"/>
      <c r="X40" s="21">
        <f>+P40-T40</f>
        <v>-48994.930000000051</v>
      </c>
      <c r="Y40" s="15"/>
      <c r="Z40" s="20">
        <f>IF(T40=0,0,X40/T40)</f>
        <v>-0.67110826507410415</v>
      </c>
    </row>
    <row r="41" spans="1:26" x14ac:dyDescent="0.25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2" customFormat="1" x14ac:dyDescent="0.25">
      <c r="A42" s="10"/>
      <c r="B42" s="26" t="s">
        <v>9</v>
      </c>
      <c r="C42" s="10"/>
      <c r="D42" s="19">
        <f>SUM(OSRRefD22x_0)</f>
        <v>11779.660000000002</v>
      </c>
      <c r="E42" s="19"/>
      <c r="F42" s="31">
        <f t="shared" ref="F42:F53" si="12">IF(D$12=0,0,D42/D$12)</f>
        <v>5.6641948169967489E-2</v>
      </c>
      <c r="G42" s="19"/>
      <c r="H42" s="19">
        <f>SUM(OSRRefH22x_0)</f>
        <v>19143.714268557691</v>
      </c>
      <c r="I42" s="19"/>
      <c r="J42" s="31">
        <f t="shared" ref="J42:J53" si="13">IF(H$12=0,0,H42/H$12)</f>
        <v>5.7436197191025884E-2</v>
      </c>
      <c r="K42" s="4"/>
      <c r="L42" s="19">
        <f t="shared" ref="L42:L53" si="14">+D42-H42</f>
        <v>-7364.0542685576893</v>
      </c>
      <c r="M42" s="4"/>
      <c r="N42" s="31">
        <f t="shared" ref="N42:N53" si="15">IF(H42=0,0,L42/H42)</f>
        <v>-0.38467217830620626</v>
      </c>
      <c r="O42" s="10"/>
      <c r="P42" s="19">
        <f>SUM(OSRRefP22x_0)</f>
        <v>11779.660000000002</v>
      </c>
      <c r="Q42" s="19"/>
      <c r="R42" s="31">
        <f t="shared" ref="R42:R53" si="16">IF(P$12=0,0,P42/P$12)</f>
        <v>5.6641948169967489E-2</v>
      </c>
      <c r="S42" s="19"/>
      <c r="T42" s="19">
        <f>SUM(OSRRefT22x_0)</f>
        <v>19143.714268557691</v>
      </c>
      <c r="U42" s="19"/>
      <c r="V42" s="31">
        <f t="shared" ref="V42:V53" si="17">IF(T$12=0,0,T42/T$12)</f>
        <v>5.7436197191025884E-2</v>
      </c>
      <c r="W42" s="4"/>
      <c r="X42" s="19">
        <f t="shared" ref="X42:X53" si="18">+P42-T42</f>
        <v>-7364.0542685576893</v>
      </c>
      <c r="Y42" s="4"/>
      <c r="Z42" s="31">
        <f t="shared" ref="Z42:Z53" si="19">IF(T42=0,0,X42/T42)</f>
        <v>-0.38467217830620626</v>
      </c>
    </row>
    <row r="43" spans="1:26" s="29" customFormat="1" outlineLevel="1" collapsed="1" x14ac:dyDescent="0.25">
      <c r="A43" s="28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2728.3700000000003</v>
      </c>
      <c r="E43" s="1"/>
      <c r="F43" s="5">
        <f t="shared" si="12"/>
        <v>1.311924046436775E-2</v>
      </c>
      <c r="G43" s="1"/>
      <c r="H43" s="1">
        <f>SUM(OSRRefH22_0x_0)</f>
        <v>2846.6730185576898</v>
      </c>
      <c r="I43" s="1"/>
      <c r="J43" s="5">
        <f t="shared" si="13"/>
        <v>8.5407706434896969E-3</v>
      </c>
      <c r="K43" s="1"/>
      <c r="L43" s="1">
        <f t="shared" si="14"/>
        <v>-118.30301855768948</v>
      </c>
      <c r="M43" s="1"/>
      <c r="N43" s="5">
        <f t="shared" si="15"/>
        <v>-4.1558344701503339E-2</v>
      </c>
      <c r="O43" s="14"/>
      <c r="P43" s="1">
        <f>SUM(OSRRefP22_0x_0)</f>
        <v>2728.3700000000003</v>
      </c>
      <c r="Q43" s="1"/>
      <c r="R43" s="5">
        <f t="shared" si="16"/>
        <v>1.311924046436775E-2</v>
      </c>
      <c r="S43" s="1"/>
      <c r="T43" s="1">
        <f>SUM(OSRRefT22_0x_0)</f>
        <v>2846.6730185576898</v>
      </c>
      <c r="U43" s="1"/>
      <c r="V43" s="5">
        <f t="shared" si="17"/>
        <v>8.5407706434896969E-3</v>
      </c>
      <c r="W43" s="1"/>
      <c r="X43" s="1">
        <f t="shared" si="18"/>
        <v>-118.30301855768948</v>
      </c>
      <c r="Y43" s="1"/>
      <c r="Z43" s="5">
        <f t="shared" si="19"/>
        <v>-4.1558344701503339E-2</v>
      </c>
    </row>
    <row r="44" spans="1:26" s="24" customFormat="1" hidden="1" outlineLevel="2" x14ac:dyDescent="0.25">
      <c r="A44" s="27"/>
      <c r="B44" s="12" t="str">
        <f>CONCATENATE("          ", "6111", " - ", "F.I.C.A.")</f>
        <v xml:space="preserve">          6111 - F.I.C.A.</v>
      </c>
      <c r="C44" s="12"/>
      <c r="D44" s="7">
        <v>419.8</v>
      </c>
      <c r="E44" s="3"/>
      <c r="F44" s="8">
        <f t="shared" si="12"/>
        <v>2.0185888083147012E-3</v>
      </c>
      <c r="G44" s="3"/>
      <c r="H44" s="7">
        <v>691.13286375000007</v>
      </c>
      <c r="I44" s="3"/>
      <c r="J44" s="8">
        <f t="shared" si="13"/>
        <v>2.0735810663838421E-3</v>
      </c>
      <c r="K44" s="3"/>
      <c r="L44" s="7">
        <f t="shared" si="14"/>
        <v>-271.33286375000006</v>
      </c>
      <c r="M44" s="3"/>
      <c r="N44" s="8">
        <f t="shared" si="15"/>
        <v>-0.39259146537726775</v>
      </c>
      <c r="O44" s="12"/>
      <c r="P44" s="7">
        <v>419.8</v>
      </c>
      <c r="Q44" s="3"/>
      <c r="R44" s="8">
        <f t="shared" si="16"/>
        <v>2.0185888083147012E-3</v>
      </c>
      <c r="S44" s="3"/>
      <c r="T44" s="7">
        <v>691.13286375000007</v>
      </c>
      <c r="U44" s="3"/>
      <c r="V44" s="8">
        <f t="shared" si="17"/>
        <v>2.0735810663838421E-3</v>
      </c>
      <c r="W44" s="3"/>
      <c r="X44" s="7">
        <f t="shared" si="18"/>
        <v>-271.33286375000006</v>
      </c>
      <c r="Y44" s="3"/>
      <c r="Z44" s="8">
        <f t="shared" si="19"/>
        <v>-0.39259146537726775</v>
      </c>
    </row>
    <row r="45" spans="1:26" s="24" customFormat="1" hidden="1" outlineLevel="2" x14ac:dyDescent="0.25">
      <c r="A45" s="27"/>
      <c r="B45" s="12" t="str">
        <f>CONCATENATE("          ", "6112", " - ", "COMPENSATION INSURANCE")</f>
        <v xml:space="preserve">          6112 - COMPENSATION INSURANCE</v>
      </c>
      <c r="C45" s="12"/>
      <c r="D45" s="7">
        <v>53.05</v>
      </c>
      <c r="E45" s="3"/>
      <c r="F45" s="8">
        <f t="shared" si="12"/>
        <v>2.5508846184157903E-4</v>
      </c>
      <c r="G45" s="3"/>
      <c r="H45" s="7">
        <v>167.07118750000001</v>
      </c>
      <c r="I45" s="3"/>
      <c r="J45" s="8">
        <f t="shared" si="13"/>
        <v>5.0125767317523947E-4</v>
      </c>
      <c r="K45" s="3"/>
      <c r="L45" s="7">
        <f t="shared" si="14"/>
        <v>-114.02118750000001</v>
      </c>
      <c r="M45" s="3"/>
      <c r="N45" s="8">
        <f t="shared" si="15"/>
        <v>-0.6824706833426919</v>
      </c>
      <c r="O45" s="12"/>
      <c r="P45" s="7">
        <v>53.05</v>
      </c>
      <c r="Q45" s="3"/>
      <c r="R45" s="8">
        <f t="shared" si="16"/>
        <v>2.5508846184157903E-4</v>
      </c>
      <c r="S45" s="3"/>
      <c r="T45" s="7">
        <v>167.07118750000001</v>
      </c>
      <c r="U45" s="3"/>
      <c r="V45" s="8">
        <f t="shared" si="17"/>
        <v>5.0125767317523947E-4</v>
      </c>
      <c r="W45" s="3"/>
      <c r="X45" s="7">
        <f t="shared" si="18"/>
        <v>-114.02118750000001</v>
      </c>
      <c r="Y45" s="3"/>
      <c r="Z45" s="8">
        <f t="shared" si="19"/>
        <v>-0.6824706833426919</v>
      </c>
    </row>
    <row r="46" spans="1:26" s="24" customFormat="1" hidden="1" outlineLevel="2" x14ac:dyDescent="0.25">
      <c r="A46" s="27"/>
      <c r="B46" s="12" t="str">
        <f>CONCATENATE("          ", "6113", " - ", "GROUP INSURANCE")</f>
        <v xml:space="preserve">          6113 - GROUP INSURANCE</v>
      </c>
      <c r="C46" s="12"/>
      <c r="D46" s="7">
        <v>1035.69</v>
      </c>
      <c r="E46" s="3"/>
      <c r="F46" s="8">
        <f t="shared" si="12"/>
        <v>4.9800672769972666E-3</v>
      </c>
      <c r="G46" s="3"/>
      <c r="H46" s="7">
        <v>1099.8076923076899</v>
      </c>
      <c r="I46" s="3"/>
      <c r="J46" s="8">
        <f t="shared" si="13"/>
        <v>3.2997134517068196E-3</v>
      </c>
      <c r="K46" s="3"/>
      <c r="L46" s="7">
        <f t="shared" si="14"/>
        <v>-64.117692307689822</v>
      </c>
      <c r="M46" s="3"/>
      <c r="N46" s="8">
        <f t="shared" si="15"/>
        <v>-5.8299003322257008E-2</v>
      </c>
      <c r="O46" s="12"/>
      <c r="P46" s="7">
        <v>1035.69</v>
      </c>
      <c r="Q46" s="3"/>
      <c r="R46" s="8">
        <f t="shared" si="16"/>
        <v>4.9800672769972666E-3</v>
      </c>
      <c r="S46" s="3"/>
      <c r="T46" s="7">
        <v>1099.8076923076899</v>
      </c>
      <c r="U46" s="3"/>
      <c r="V46" s="8">
        <f t="shared" si="17"/>
        <v>3.2997134517068196E-3</v>
      </c>
      <c r="W46" s="3"/>
      <c r="X46" s="7">
        <f t="shared" si="18"/>
        <v>-64.117692307689822</v>
      </c>
      <c r="Y46" s="3"/>
      <c r="Z46" s="8">
        <f t="shared" si="19"/>
        <v>-5.8299003322257008E-2</v>
      </c>
    </row>
    <row r="47" spans="1:26" s="24" customFormat="1" hidden="1" outlineLevel="2" x14ac:dyDescent="0.25">
      <c r="A47" s="27"/>
      <c r="B47" s="12" t="str">
        <f>CONCATENATE("          ", "6114", " - ", "STATE UNEMPLOYMENT INSURANCE")</f>
        <v xml:space="preserve">          6114 - STATE UNEMPLOYMENT INSURANCE</v>
      </c>
      <c r="C47" s="12"/>
      <c r="D47" s="7">
        <v>14.46</v>
      </c>
      <c r="E47" s="3"/>
      <c r="F47" s="8">
        <f t="shared" si="12"/>
        <v>6.9530238609410611E-5</v>
      </c>
      <c r="G47" s="3"/>
      <c r="H47" s="7">
        <v>23.480274999999999</v>
      </c>
      <c r="I47" s="3"/>
      <c r="J47" s="8">
        <f t="shared" si="13"/>
        <v>7.0447024338141757E-5</v>
      </c>
      <c r="K47" s="3"/>
      <c r="L47" s="7">
        <f t="shared" si="14"/>
        <v>-9.020274999999998</v>
      </c>
      <c r="M47" s="3"/>
      <c r="N47" s="8">
        <f t="shared" si="15"/>
        <v>-0.38416394186183928</v>
      </c>
      <c r="O47" s="12"/>
      <c r="P47" s="7">
        <v>14.46</v>
      </c>
      <c r="Q47" s="3"/>
      <c r="R47" s="8">
        <f t="shared" si="16"/>
        <v>6.9530238609410611E-5</v>
      </c>
      <c r="S47" s="3"/>
      <c r="T47" s="7">
        <v>23.480274999999999</v>
      </c>
      <c r="U47" s="3"/>
      <c r="V47" s="8">
        <f t="shared" si="17"/>
        <v>7.0447024338141757E-5</v>
      </c>
      <c r="W47" s="3"/>
      <c r="X47" s="7">
        <f t="shared" si="18"/>
        <v>-9.020274999999998</v>
      </c>
      <c r="Y47" s="3"/>
      <c r="Z47" s="8">
        <f t="shared" si="19"/>
        <v>-0.38416394186183928</v>
      </c>
    </row>
    <row r="48" spans="1:26" s="24" customFormat="1" hidden="1" outlineLevel="2" x14ac:dyDescent="0.25">
      <c r="A48" s="27"/>
      <c r="B48" s="12" t="str">
        <f>CONCATENATE("          ", "6115", " - ", "P.E.R.S.")</f>
        <v xml:space="preserve">          6115 - P.E.R.S.</v>
      </c>
      <c r="C48" s="12"/>
      <c r="D48" s="7">
        <v>264.63</v>
      </c>
      <c r="E48" s="3"/>
      <c r="F48" s="8">
        <f t="shared" si="12"/>
        <v>1.2724610679950435E-3</v>
      </c>
      <c r="G48" s="3"/>
      <c r="H48" s="7">
        <v>245.34725</v>
      </c>
      <c r="I48" s="3"/>
      <c r="J48" s="8">
        <f t="shared" si="13"/>
        <v>7.3610652737440894E-4</v>
      </c>
      <c r="K48" s="3"/>
      <c r="L48" s="7">
        <f t="shared" si="14"/>
        <v>19.282749999999993</v>
      </c>
      <c r="M48" s="3"/>
      <c r="N48" s="8">
        <f t="shared" si="15"/>
        <v>7.8593707490098183E-2</v>
      </c>
      <c r="O48" s="12"/>
      <c r="P48" s="7">
        <v>264.63</v>
      </c>
      <c r="Q48" s="3"/>
      <c r="R48" s="8">
        <f t="shared" si="16"/>
        <v>1.2724610679950435E-3</v>
      </c>
      <c r="S48" s="3"/>
      <c r="T48" s="7">
        <v>245.34725</v>
      </c>
      <c r="U48" s="3"/>
      <c r="V48" s="8">
        <f t="shared" si="17"/>
        <v>7.3610652737440894E-4</v>
      </c>
      <c r="W48" s="3"/>
      <c r="X48" s="7">
        <f t="shared" si="18"/>
        <v>19.282749999999993</v>
      </c>
      <c r="Y48" s="3"/>
      <c r="Z48" s="8">
        <f t="shared" si="19"/>
        <v>7.8593707490098183E-2</v>
      </c>
    </row>
    <row r="49" spans="1:26" s="24" customFormat="1" hidden="1" outlineLevel="2" x14ac:dyDescent="0.25">
      <c r="A49" s="27"/>
      <c r="B49" s="12" t="str">
        <f>CONCATENATE("          ", "6116", " - ", "EDUCATIONAL BENEFITS")</f>
        <v xml:space="preserve">          6116 - EDUCATIONAL BENEFITS</v>
      </c>
      <c r="C49" s="12"/>
      <c r="D49" s="7"/>
      <c r="E49" s="3"/>
      <c r="F49" s="8">
        <f t="shared" si="12"/>
        <v>0</v>
      </c>
      <c r="G49" s="3"/>
      <c r="H49" s="7">
        <v>0</v>
      </c>
      <c r="I49" s="3"/>
      <c r="J49" s="8">
        <f t="shared" si="13"/>
        <v>0</v>
      </c>
      <c r="K49" s="3"/>
      <c r="L49" s="7">
        <f t="shared" si="14"/>
        <v>0</v>
      </c>
      <c r="M49" s="3"/>
      <c r="N49" s="8">
        <f t="shared" si="15"/>
        <v>0</v>
      </c>
      <c r="O49" s="12"/>
      <c r="P49" s="7"/>
      <c r="Q49" s="3"/>
      <c r="R49" s="8">
        <f t="shared" si="16"/>
        <v>0</v>
      </c>
      <c r="S49" s="3"/>
      <c r="T49" s="7">
        <v>0</v>
      </c>
      <c r="U49" s="3"/>
      <c r="V49" s="8">
        <f t="shared" si="17"/>
        <v>0</v>
      </c>
      <c r="W49" s="3"/>
      <c r="X49" s="7">
        <f t="shared" si="18"/>
        <v>0</v>
      </c>
      <c r="Y49" s="3"/>
      <c r="Z49" s="8">
        <f t="shared" si="19"/>
        <v>0</v>
      </c>
    </row>
    <row r="50" spans="1:26" s="24" customFormat="1" hidden="1" outlineLevel="2" x14ac:dyDescent="0.25">
      <c r="A50" s="27"/>
      <c r="B50" s="12" t="str">
        <f>CONCATENATE("          ", "6117", " - ", "RETIREMENT STAFF HOURLY")</f>
        <v xml:space="preserve">          6117 - RETIREMENT STAFF HOURLY</v>
      </c>
      <c r="C50" s="12"/>
      <c r="D50" s="7">
        <v>247.54</v>
      </c>
      <c r="E50" s="3"/>
      <c r="F50" s="8">
        <f t="shared" si="12"/>
        <v>1.190284596498859E-3</v>
      </c>
      <c r="G50" s="3"/>
      <c r="H50" s="7"/>
      <c r="I50" s="3"/>
      <c r="J50" s="8">
        <f t="shared" si="13"/>
        <v>0</v>
      </c>
      <c r="K50" s="3"/>
      <c r="L50" s="7">
        <f t="shared" si="14"/>
        <v>247.54</v>
      </c>
      <c r="M50" s="3"/>
      <c r="N50" s="8">
        <f t="shared" si="15"/>
        <v>0</v>
      </c>
      <c r="O50" s="12"/>
      <c r="P50" s="7">
        <v>247.54</v>
      </c>
      <c r="Q50" s="3"/>
      <c r="R50" s="8">
        <f t="shared" si="16"/>
        <v>1.190284596498859E-3</v>
      </c>
      <c r="S50" s="3"/>
      <c r="T50" s="7"/>
      <c r="U50" s="3"/>
      <c r="V50" s="8">
        <f t="shared" si="17"/>
        <v>0</v>
      </c>
      <c r="W50" s="3"/>
      <c r="X50" s="7">
        <f t="shared" si="18"/>
        <v>247.54</v>
      </c>
      <c r="Y50" s="3"/>
      <c r="Z50" s="8">
        <f t="shared" si="19"/>
        <v>0</v>
      </c>
    </row>
    <row r="51" spans="1:26" s="24" customFormat="1" hidden="1" outlineLevel="2" x14ac:dyDescent="0.25">
      <c r="A51" s="27"/>
      <c r="B51" s="12" t="str">
        <f>CONCATENATE("          ", "6118", " - ", "VACATION")</f>
        <v xml:space="preserve">          6118 - VACATION</v>
      </c>
      <c r="C51" s="12"/>
      <c r="D51" s="7">
        <v>257.8</v>
      </c>
      <c r="E51" s="3"/>
      <c r="F51" s="8">
        <f t="shared" si="12"/>
        <v>1.2396193301179846E-3</v>
      </c>
      <c r="G51" s="3"/>
      <c r="H51" s="7">
        <v>243.43625</v>
      </c>
      <c r="I51" s="3"/>
      <c r="J51" s="8">
        <f t="shared" si="13"/>
        <v>7.3037302282600864E-4</v>
      </c>
      <c r="K51" s="3"/>
      <c r="L51" s="7">
        <f t="shared" si="14"/>
        <v>14.36375000000001</v>
      </c>
      <c r="M51" s="3"/>
      <c r="N51" s="8">
        <f t="shared" si="15"/>
        <v>5.9004154064975986E-2</v>
      </c>
      <c r="O51" s="12"/>
      <c r="P51" s="7">
        <v>257.8</v>
      </c>
      <c r="Q51" s="3"/>
      <c r="R51" s="8">
        <f t="shared" si="16"/>
        <v>1.2396193301179846E-3</v>
      </c>
      <c r="S51" s="3"/>
      <c r="T51" s="7">
        <v>243.43625</v>
      </c>
      <c r="U51" s="3"/>
      <c r="V51" s="8">
        <f t="shared" si="17"/>
        <v>7.3037302282600864E-4</v>
      </c>
      <c r="W51" s="3"/>
      <c r="X51" s="7">
        <f t="shared" si="18"/>
        <v>14.36375000000001</v>
      </c>
      <c r="Y51" s="3"/>
      <c r="Z51" s="8">
        <f t="shared" si="19"/>
        <v>5.9004154064975986E-2</v>
      </c>
    </row>
    <row r="52" spans="1:26" s="24" customFormat="1" hidden="1" outlineLevel="2" x14ac:dyDescent="0.25">
      <c r="A52" s="27"/>
      <c r="B52" s="12" t="str">
        <f>CONCATENATE("          ", "6119", " - ", "SICK LEAVE")</f>
        <v xml:space="preserve">          6119 - SICK LEAVE</v>
      </c>
      <c r="C52" s="12"/>
      <c r="D52" s="7">
        <v>256.57</v>
      </c>
      <c r="E52" s="3"/>
      <c r="F52" s="8">
        <f t="shared" si="12"/>
        <v>1.2337049322279723E-3</v>
      </c>
      <c r="G52" s="3"/>
      <c r="H52" s="7">
        <v>201.39750000000001</v>
      </c>
      <c r="I52" s="3"/>
      <c r="J52" s="8">
        <f t="shared" si="13"/>
        <v>6.0424567361927852E-4</v>
      </c>
      <c r="K52" s="3"/>
      <c r="L52" s="7">
        <f t="shared" si="14"/>
        <v>55.172499999999985</v>
      </c>
      <c r="M52" s="3"/>
      <c r="N52" s="8">
        <f t="shared" si="15"/>
        <v>0.27394828634913532</v>
      </c>
      <c r="O52" s="12"/>
      <c r="P52" s="7">
        <v>256.57</v>
      </c>
      <c r="Q52" s="3"/>
      <c r="R52" s="8">
        <f t="shared" si="16"/>
        <v>1.2337049322279723E-3</v>
      </c>
      <c r="S52" s="3"/>
      <c r="T52" s="7">
        <v>201.39750000000001</v>
      </c>
      <c r="U52" s="3"/>
      <c r="V52" s="8">
        <f t="shared" si="17"/>
        <v>6.0424567361927852E-4</v>
      </c>
      <c r="W52" s="3"/>
      <c r="X52" s="7">
        <f t="shared" si="18"/>
        <v>55.172499999999985</v>
      </c>
      <c r="Y52" s="3"/>
      <c r="Z52" s="8">
        <f t="shared" si="19"/>
        <v>0.27394828634913532</v>
      </c>
    </row>
    <row r="53" spans="1:26" s="24" customFormat="1" hidden="1" outlineLevel="2" x14ac:dyDescent="0.25">
      <c r="A53" s="27"/>
      <c r="B53" s="12" t="str">
        <f>CONCATENATE("          ", "6156", " - ", "EMPLOYEE MEALS")</f>
        <v xml:space="preserve">          6156 - EMPLOYEE MEALS</v>
      </c>
      <c r="C53" s="12"/>
      <c r="D53" s="7">
        <v>178.83</v>
      </c>
      <c r="E53" s="3"/>
      <c r="F53" s="8">
        <f t="shared" si="12"/>
        <v>8.5989575176493086E-4</v>
      </c>
      <c r="G53" s="3"/>
      <c r="H53" s="7">
        <v>175</v>
      </c>
      <c r="I53" s="3"/>
      <c r="J53" s="8">
        <f t="shared" si="13"/>
        <v>5.2504620406595786E-4</v>
      </c>
      <c r="K53" s="3"/>
      <c r="L53" s="7">
        <f t="shared" si="14"/>
        <v>3.8300000000000125</v>
      </c>
      <c r="M53" s="3"/>
      <c r="N53" s="8">
        <f t="shared" si="15"/>
        <v>2.1885714285714356E-2</v>
      </c>
      <c r="O53" s="12"/>
      <c r="P53" s="7">
        <v>178.83</v>
      </c>
      <c r="Q53" s="3"/>
      <c r="R53" s="8">
        <f t="shared" si="16"/>
        <v>8.5989575176493086E-4</v>
      </c>
      <c r="S53" s="3"/>
      <c r="T53" s="7">
        <v>175</v>
      </c>
      <c r="U53" s="3"/>
      <c r="V53" s="8">
        <f t="shared" si="17"/>
        <v>5.2504620406595786E-4</v>
      </c>
      <c r="W53" s="3"/>
      <c r="X53" s="7">
        <f t="shared" si="18"/>
        <v>3.8300000000000125</v>
      </c>
      <c r="Y53" s="3"/>
      <c r="Z53" s="8">
        <f t="shared" si="19"/>
        <v>2.1885714285714356E-2</v>
      </c>
    </row>
    <row r="54" spans="1:26" s="29" customFormat="1" outlineLevel="1" collapsed="1" x14ac:dyDescent="0.25">
      <c r="A54" s="28"/>
      <c r="B54" s="14" t="str">
        <f>CONCATENATE("     ","*Payroll                                          ")</f>
        <v xml:space="preserve">     *Payroll                                          </v>
      </c>
      <c r="C54" s="14"/>
      <c r="D54" s="1">
        <f>SUM(OSRRefD22_1x_0)</f>
        <v>6417.82</v>
      </c>
      <c r="E54" s="1"/>
      <c r="F54" s="5">
        <f t="shared" ref="F54:F64" si="20">IF(D$12=0,0,D54/D$12)</f>
        <v>3.0859789484941051E-2</v>
      </c>
      <c r="G54" s="1"/>
      <c r="H54" s="1">
        <f>SUM(OSRRefH22_1x_0)</f>
        <v>8586.0412500000002</v>
      </c>
      <c r="I54" s="1"/>
      <c r="J54" s="5">
        <f t="shared" ref="J54:J64" si="21">IF(H$12=0,0,H54/H$12)</f>
        <v>2.5760390664378467E-2</v>
      </c>
      <c r="K54" s="1"/>
      <c r="L54" s="1">
        <f t="shared" ref="L54:L64" si="22">+D54-H54</f>
        <v>-2168.2212500000005</v>
      </c>
      <c r="M54" s="1"/>
      <c r="N54" s="5">
        <f t="shared" ref="N54:N64" si="23">IF(H54=0,0,L54/H54)</f>
        <v>-0.25252863186512181</v>
      </c>
      <c r="O54" s="14"/>
      <c r="P54" s="1">
        <f>SUM(OSRRefP22_1x_0)</f>
        <v>6417.82</v>
      </c>
      <c r="Q54" s="1"/>
      <c r="R54" s="5">
        <f t="shared" ref="R54:R64" si="24">IF(P$12=0,0,P54/P$12)</f>
        <v>3.0859789484941051E-2</v>
      </c>
      <c r="S54" s="1"/>
      <c r="T54" s="1">
        <f>SUM(OSRRefT22_1x_0)</f>
        <v>8586.0412500000002</v>
      </c>
      <c r="U54" s="1"/>
      <c r="V54" s="5">
        <f t="shared" ref="V54:V64" si="25">IF(T$12=0,0,T54/T$12)</f>
        <v>2.5760390664378467E-2</v>
      </c>
      <c r="W54" s="1"/>
      <c r="X54" s="1">
        <f t="shared" ref="X54:X64" si="26">+P54-T54</f>
        <v>-2168.2212500000005</v>
      </c>
      <c r="Y54" s="1"/>
      <c r="Z54" s="5">
        <f t="shared" ref="Z54:Z64" si="27">IF(T54=0,0,X54/T54)</f>
        <v>-0.25252863186512181</v>
      </c>
    </row>
    <row r="55" spans="1:26" s="24" customFormat="1" hidden="1" outlineLevel="2" x14ac:dyDescent="0.25">
      <c r="A55" s="27"/>
      <c r="B55" s="12" t="str">
        <f>CONCATENATE("          ", "6001", " - ", "ADMINISTRATIVE SALARIES")</f>
        <v xml:space="preserve">          6001 - ADMINISTRATIVE SALARIES</v>
      </c>
      <c r="C55" s="12"/>
      <c r="D55" s="7"/>
      <c r="E55" s="3"/>
      <c r="F55" s="8">
        <f t="shared" si="20"/>
        <v>0</v>
      </c>
      <c r="G55" s="3"/>
      <c r="H55" s="7">
        <v>0</v>
      </c>
      <c r="I55" s="3"/>
      <c r="J55" s="8">
        <f t="shared" si="21"/>
        <v>0</v>
      </c>
      <c r="K55" s="3"/>
      <c r="L55" s="7">
        <f t="shared" si="22"/>
        <v>0</v>
      </c>
      <c r="M55" s="3"/>
      <c r="N55" s="8">
        <f t="shared" si="23"/>
        <v>0</v>
      </c>
      <c r="O55" s="12"/>
      <c r="P55" s="7"/>
      <c r="Q55" s="3"/>
      <c r="R55" s="8">
        <f t="shared" si="24"/>
        <v>0</v>
      </c>
      <c r="S55" s="3"/>
      <c r="T55" s="7">
        <v>0</v>
      </c>
      <c r="U55" s="3"/>
      <c r="V55" s="8">
        <f t="shared" si="25"/>
        <v>0</v>
      </c>
      <c r="W55" s="3"/>
      <c r="X55" s="7">
        <f t="shared" si="26"/>
        <v>0</v>
      </c>
      <c r="Y55" s="3"/>
      <c r="Z55" s="8">
        <f t="shared" si="27"/>
        <v>0</v>
      </c>
    </row>
    <row r="56" spans="1:26" s="24" customFormat="1" hidden="1" outlineLevel="2" x14ac:dyDescent="0.25">
      <c r="A56" s="27"/>
      <c r="B56" s="12" t="str">
        <f>CONCATENATE("          ", "6002", " - ", "STAFF SALARIES")</f>
        <v xml:space="preserve">          6002 - STAFF SALARIES</v>
      </c>
      <c r="C56" s="12"/>
      <c r="D56" s="7">
        <v>2625.07</v>
      </c>
      <c r="E56" s="3"/>
      <c r="F56" s="8">
        <f t="shared" si="20"/>
        <v>1.2622527210678114E-2</v>
      </c>
      <c r="G56" s="3"/>
      <c r="H56" s="7">
        <v>2710.2312499999998</v>
      </c>
      <c r="I56" s="3"/>
      <c r="J56" s="8">
        <f t="shared" si="21"/>
        <v>8.1314093140196324E-3</v>
      </c>
      <c r="K56" s="3"/>
      <c r="L56" s="7">
        <f t="shared" si="22"/>
        <v>-85.161249999999654</v>
      </c>
      <c r="M56" s="3"/>
      <c r="N56" s="8">
        <f t="shared" si="23"/>
        <v>-3.1422134181354325E-2</v>
      </c>
      <c r="O56" s="12"/>
      <c r="P56" s="7">
        <v>2625.07</v>
      </c>
      <c r="Q56" s="3"/>
      <c r="R56" s="8">
        <f t="shared" si="24"/>
        <v>1.2622527210678114E-2</v>
      </c>
      <c r="S56" s="3"/>
      <c r="T56" s="7">
        <v>2710.2312499999998</v>
      </c>
      <c r="U56" s="3"/>
      <c r="V56" s="8">
        <f t="shared" si="25"/>
        <v>8.1314093140196324E-3</v>
      </c>
      <c r="W56" s="3"/>
      <c r="X56" s="7">
        <f t="shared" si="26"/>
        <v>-85.161249999999654</v>
      </c>
      <c r="Y56" s="3"/>
      <c r="Z56" s="8">
        <f t="shared" si="27"/>
        <v>-3.1422134181354325E-2</v>
      </c>
    </row>
    <row r="57" spans="1:26" s="24" customFormat="1" hidden="1" outlineLevel="2" x14ac:dyDescent="0.25">
      <c r="A57" s="27"/>
      <c r="B57" s="12" t="str">
        <f>CONCATENATE("          ", "6003", " - ", "STAFF HOURLY-9 MONTH")</f>
        <v xml:space="preserve">          6003 - STAFF HOURLY-9 MONTH</v>
      </c>
      <c r="C57" s="12"/>
      <c r="D57" s="7"/>
      <c r="E57" s="3"/>
      <c r="F57" s="8">
        <f t="shared" si="20"/>
        <v>0</v>
      </c>
      <c r="G57" s="3"/>
      <c r="H57" s="7">
        <v>0</v>
      </c>
      <c r="I57" s="3"/>
      <c r="J57" s="8">
        <f t="shared" si="21"/>
        <v>0</v>
      </c>
      <c r="K57" s="3"/>
      <c r="L57" s="7">
        <f t="shared" si="22"/>
        <v>0</v>
      </c>
      <c r="M57" s="3"/>
      <c r="N57" s="8">
        <f t="shared" si="23"/>
        <v>0</v>
      </c>
      <c r="O57" s="12"/>
      <c r="P57" s="7"/>
      <c r="Q57" s="3"/>
      <c r="R57" s="8">
        <f t="shared" si="24"/>
        <v>0</v>
      </c>
      <c r="S57" s="3"/>
      <c r="T57" s="7">
        <v>0</v>
      </c>
      <c r="U57" s="3"/>
      <c r="V57" s="8">
        <f t="shared" si="25"/>
        <v>0</v>
      </c>
      <c r="W57" s="3"/>
      <c r="X57" s="7">
        <f t="shared" si="26"/>
        <v>0</v>
      </c>
      <c r="Y57" s="3"/>
      <c r="Z57" s="8">
        <f t="shared" si="27"/>
        <v>0</v>
      </c>
    </row>
    <row r="58" spans="1:26" s="24" customFormat="1" hidden="1" outlineLevel="2" x14ac:dyDescent="0.25">
      <c r="A58" s="27"/>
      <c r="B58" s="12" t="str">
        <f>CONCATENATE("          ", "6004", " - ", "STAFF HOURLY")</f>
        <v xml:space="preserve">          6004 - STAFF HOURLY</v>
      </c>
      <c r="C58" s="12"/>
      <c r="D58" s="7">
        <v>3023.75</v>
      </c>
      <c r="E58" s="3"/>
      <c r="F58" s="8">
        <f t="shared" si="20"/>
        <v>1.4539561479613093E-2</v>
      </c>
      <c r="G58" s="3"/>
      <c r="H58" s="7">
        <v>3860.15</v>
      </c>
      <c r="I58" s="3"/>
      <c r="J58" s="8">
        <f t="shared" si="21"/>
        <v>1.1581469169286897E-2</v>
      </c>
      <c r="K58" s="3"/>
      <c r="L58" s="7">
        <f t="shared" si="22"/>
        <v>-836.40000000000009</v>
      </c>
      <c r="M58" s="3"/>
      <c r="N58" s="8">
        <f t="shared" si="23"/>
        <v>-0.21667551779075944</v>
      </c>
      <c r="O58" s="12"/>
      <c r="P58" s="7">
        <v>3023.75</v>
      </c>
      <c r="Q58" s="3"/>
      <c r="R58" s="8">
        <f t="shared" si="24"/>
        <v>1.4539561479613093E-2</v>
      </c>
      <c r="S58" s="3"/>
      <c r="T58" s="7">
        <v>3860.15</v>
      </c>
      <c r="U58" s="3"/>
      <c r="V58" s="8">
        <f t="shared" si="25"/>
        <v>1.1581469169286897E-2</v>
      </c>
      <c r="W58" s="3"/>
      <c r="X58" s="7">
        <f t="shared" si="26"/>
        <v>-836.40000000000009</v>
      </c>
      <c r="Y58" s="3"/>
      <c r="Z58" s="8">
        <f t="shared" si="27"/>
        <v>-0.21667551779075944</v>
      </c>
    </row>
    <row r="59" spans="1:26" s="24" customFormat="1" hidden="1" outlineLevel="2" x14ac:dyDescent="0.25">
      <c r="A59" s="27"/>
      <c r="B59" s="12" t="str">
        <f>CONCATENATE("          ", "6005", " - ", "TEMPORARY WAGES-HOURLY")</f>
        <v xml:space="preserve">          6005 - TEMPORARY WAGES-HOURLY</v>
      </c>
      <c r="C59" s="12"/>
      <c r="D59" s="7"/>
      <c r="E59" s="3"/>
      <c r="F59" s="8">
        <f t="shared" si="20"/>
        <v>0</v>
      </c>
      <c r="G59" s="3"/>
      <c r="H59" s="7">
        <v>0</v>
      </c>
      <c r="I59" s="3"/>
      <c r="J59" s="8">
        <f t="shared" si="21"/>
        <v>0</v>
      </c>
      <c r="K59" s="3"/>
      <c r="L59" s="7">
        <f t="shared" si="22"/>
        <v>0</v>
      </c>
      <c r="M59" s="3"/>
      <c r="N59" s="8">
        <f t="shared" si="23"/>
        <v>0</v>
      </c>
      <c r="O59" s="12"/>
      <c r="P59" s="7"/>
      <c r="Q59" s="3"/>
      <c r="R59" s="8">
        <f t="shared" si="24"/>
        <v>0</v>
      </c>
      <c r="S59" s="3"/>
      <c r="T59" s="7">
        <v>0</v>
      </c>
      <c r="U59" s="3"/>
      <c r="V59" s="8">
        <f t="shared" si="25"/>
        <v>0</v>
      </c>
      <c r="W59" s="3"/>
      <c r="X59" s="7">
        <f t="shared" si="26"/>
        <v>0</v>
      </c>
      <c r="Y59" s="3"/>
      <c r="Z59" s="8">
        <f t="shared" si="27"/>
        <v>0</v>
      </c>
    </row>
    <row r="60" spans="1:26" s="24" customFormat="1" hidden="1" outlineLevel="2" x14ac:dyDescent="0.25">
      <c r="A60" s="27"/>
      <c r="B60" s="12" t="str">
        <f>CONCATENATE("          ", "6006", " - ", "TEMPORARY PART TIME")</f>
        <v xml:space="preserve">          6006 - TEMPORARY PART TIME</v>
      </c>
      <c r="C60" s="12"/>
      <c r="D60" s="7"/>
      <c r="E60" s="3"/>
      <c r="F60" s="8">
        <f t="shared" si="20"/>
        <v>0</v>
      </c>
      <c r="G60" s="3"/>
      <c r="H60" s="7">
        <v>0</v>
      </c>
      <c r="I60" s="3"/>
      <c r="J60" s="8">
        <f t="shared" si="21"/>
        <v>0</v>
      </c>
      <c r="K60" s="3"/>
      <c r="L60" s="7">
        <f t="shared" si="22"/>
        <v>0</v>
      </c>
      <c r="M60" s="3"/>
      <c r="N60" s="8">
        <f t="shared" si="23"/>
        <v>0</v>
      </c>
      <c r="O60" s="12"/>
      <c r="P60" s="7"/>
      <c r="Q60" s="3"/>
      <c r="R60" s="8">
        <f t="shared" si="24"/>
        <v>0</v>
      </c>
      <c r="S60" s="3"/>
      <c r="T60" s="7">
        <v>0</v>
      </c>
      <c r="U60" s="3"/>
      <c r="V60" s="8">
        <f t="shared" si="25"/>
        <v>0</v>
      </c>
      <c r="W60" s="3"/>
      <c r="X60" s="7">
        <f t="shared" si="26"/>
        <v>0</v>
      </c>
      <c r="Y60" s="3"/>
      <c r="Z60" s="8">
        <f t="shared" si="27"/>
        <v>0</v>
      </c>
    </row>
    <row r="61" spans="1:26" s="24" customFormat="1" hidden="1" outlineLevel="2" x14ac:dyDescent="0.25">
      <c r="A61" s="27"/>
      <c r="B61" s="12" t="str">
        <f>CONCATENATE("          ", "6007", " - ", "STUDENT HOURLY")</f>
        <v xml:space="preserve">          6007 - STUDENT HOURLY</v>
      </c>
      <c r="C61" s="12"/>
      <c r="D61" s="7">
        <v>769</v>
      </c>
      <c r="E61" s="3"/>
      <c r="F61" s="8">
        <f t="shared" si="20"/>
        <v>3.697700794649845E-3</v>
      </c>
      <c r="G61" s="3"/>
      <c r="H61" s="7">
        <v>2015.66</v>
      </c>
      <c r="I61" s="3"/>
      <c r="J61" s="8">
        <f t="shared" si="21"/>
        <v>6.0475121810719349E-3</v>
      </c>
      <c r="K61" s="3"/>
      <c r="L61" s="7">
        <f t="shared" si="22"/>
        <v>-1246.6600000000001</v>
      </c>
      <c r="M61" s="3"/>
      <c r="N61" s="8">
        <f t="shared" si="23"/>
        <v>-0.61848724487264717</v>
      </c>
      <c r="O61" s="12"/>
      <c r="P61" s="7">
        <v>769</v>
      </c>
      <c r="Q61" s="3"/>
      <c r="R61" s="8">
        <f t="shared" si="24"/>
        <v>3.697700794649845E-3</v>
      </c>
      <c r="S61" s="3"/>
      <c r="T61" s="7">
        <v>2015.66</v>
      </c>
      <c r="U61" s="3"/>
      <c r="V61" s="8">
        <f t="shared" si="25"/>
        <v>6.0475121810719349E-3</v>
      </c>
      <c r="W61" s="3"/>
      <c r="X61" s="7">
        <f t="shared" si="26"/>
        <v>-1246.6600000000001</v>
      </c>
      <c r="Y61" s="3"/>
      <c r="Z61" s="8">
        <f t="shared" si="27"/>
        <v>-0.61848724487264717</v>
      </c>
    </row>
    <row r="62" spans="1:26" s="24" customFormat="1" hidden="1" outlineLevel="2" x14ac:dyDescent="0.25">
      <c r="A62" s="27"/>
      <c r="B62" s="12" t="str">
        <f>CONCATENATE("          ", "6008", " - ", "STUDENT HOURLY-FICA EXEMPT")</f>
        <v xml:space="preserve">          6008 - STUDENT HOURLY-FICA EXEMPT</v>
      </c>
      <c r="C62" s="12"/>
      <c r="D62" s="7"/>
      <c r="E62" s="3"/>
      <c r="F62" s="8">
        <f t="shared" si="20"/>
        <v>0</v>
      </c>
      <c r="G62" s="3"/>
      <c r="H62" s="7">
        <v>0</v>
      </c>
      <c r="I62" s="3"/>
      <c r="J62" s="8">
        <f t="shared" si="21"/>
        <v>0</v>
      </c>
      <c r="K62" s="3"/>
      <c r="L62" s="7">
        <f t="shared" si="22"/>
        <v>0</v>
      </c>
      <c r="M62" s="3"/>
      <c r="N62" s="8">
        <f t="shared" si="23"/>
        <v>0</v>
      </c>
      <c r="O62" s="12"/>
      <c r="P62" s="7"/>
      <c r="Q62" s="3"/>
      <c r="R62" s="8">
        <f t="shared" si="24"/>
        <v>0</v>
      </c>
      <c r="S62" s="3"/>
      <c r="T62" s="7">
        <v>0</v>
      </c>
      <c r="U62" s="3"/>
      <c r="V62" s="8">
        <f t="shared" si="25"/>
        <v>0</v>
      </c>
      <c r="W62" s="3"/>
      <c r="X62" s="7">
        <f t="shared" si="26"/>
        <v>0</v>
      </c>
      <c r="Y62" s="3"/>
      <c r="Z62" s="8">
        <f t="shared" si="27"/>
        <v>0</v>
      </c>
    </row>
    <row r="63" spans="1:26" s="24" customFormat="1" hidden="1" outlineLevel="2" x14ac:dyDescent="0.25">
      <c r="A63" s="27"/>
      <c r="B63" s="12" t="str">
        <f>CONCATENATE("          ", "6009", " - ", "TEMPORARY-SEASONAL")</f>
        <v xml:space="preserve">          6009 - TEMPORARY-SEASONAL</v>
      </c>
      <c r="C63" s="12"/>
      <c r="D63" s="7"/>
      <c r="E63" s="3"/>
      <c r="F63" s="8">
        <f t="shared" si="20"/>
        <v>0</v>
      </c>
      <c r="G63" s="3"/>
      <c r="H63" s="7">
        <v>0</v>
      </c>
      <c r="I63" s="3"/>
      <c r="J63" s="8">
        <f t="shared" si="21"/>
        <v>0</v>
      </c>
      <c r="K63" s="3"/>
      <c r="L63" s="7">
        <f t="shared" si="22"/>
        <v>0</v>
      </c>
      <c r="M63" s="3"/>
      <c r="N63" s="8">
        <f t="shared" si="23"/>
        <v>0</v>
      </c>
      <c r="O63" s="12"/>
      <c r="P63" s="7"/>
      <c r="Q63" s="3"/>
      <c r="R63" s="8">
        <f t="shared" si="24"/>
        <v>0</v>
      </c>
      <c r="S63" s="3"/>
      <c r="T63" s="7">
        <v>0</v>
      </c>
      <c r="U63" s="3"/>
      <c r="V63" s="8">
        <f t="shared" si="25"/>
        <v>0</v>
      </c>
      <c r="W63" s="3"/>
      <c r="X63" s="7">
        <f t="shared" si="26"/>
        <v>0</v>
      </c>
      <c r="Y63" s="3"/>
      <c r="Z63" s="8">
        <f t="shared" si="27"/>
        <v>0</v>
      </c>
    </row>
    <row r="64" spans="1:26" s="24" customFormat="1" hidden="1" outlineLevel="2" x14ac:dyDescent="0.25">
      <c r="A64" s="27"/>
      <c r="B64" s="12" t="str">
        <f>CONCATENATE("          ", "6010", " - ", "GRATUITY")</f>
        <v xml:space="preserve">          6010 - GRATUITY</v>
      </c>
      <c r="C64" s="12"/>
      <c r="D64" s="7"/>
      <c r="E64" s="3"/>
      <c r="F64" s="8">
        <f t="shared" si="20"/>
        <v>0</v>
      </c>
      <c r="G64" s="3"/>
      <c r="H64" s="7">
        <v>0</v>
      </c>
      <c r="I64" s="3"/>
      <c r="J64" s="8">
        <f t="shared" si="21"/>
        <v>0</v>
      </c>
      <c r="K64" s="3"/>
      <c r="L64" s="7">
        <f t="shared" si="22"/>
        <v>0</v>
      </c>
      <c r="M64" s="3"/>
      <c r="N64" s="8">
        <f t="shared" si="23"/>
        <v>0</v>
      </c>
      <c r="O64" s="12"/>
      <c r="P64" s="7"/>
      <c r="Q64" s="3"/>
      <c r="R64" s="8">
        <f t="shared" si="24"/>
        <v>0</v>
      </c>
      <c r="S64" s="3"/>
      <c r="T64" s="7">
        <v>0</v>
      </c>
      <c r="U64" s="3"/>
      <c r="V64" s="8">
        <f t="shared" si="25"/>
        <v>0</v>
      </c>
      <c r="W64" s="3"/>
      <c r="X64" s="7">
        <f t="shared" si="26"/>
        <v>0</v>
      </c>
      <c r="Y64" s="3"/>
      <c r="Z64" s="8">
        <f t="shared" si="27"/>
        <v>0</v>
      </c>
    </row>
    <row r="65" spans="1:26" s="29" customFormat="1" outlineLevel="1" collapsed="1" x14ac:dyDescent="0.25">
      <c r="A65" s="28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149.65</v>
      </c>
      <c r="E65" s="1"/>
      <c r="F65" s="5">
        <f t="shared" ref="F65:F75" si="28">IF(D$12=0,0,D65/D$12)</f>
        <v>7.1958507661813958E-4</v>
      </c>
      <c r="G65" s="1"/>
      <c r="H65" s="1">
        <f>SUM(OSRRefH22_2x_0)</f>
        <v>200</v>
      </c>
      <c r="I65" s="1"/>
      <c r="J65" s="5">
        <f t="shared" ref="J65:J75" si="29">IF(H$12=0,0,H65/H$12)</f>
        <v>6.0005280464680893E-4</v>
      </c>
      <c r="K65" s="1"/>
      <c r="L65" s="1">
        <f t="shared" ref="L65:L75" si="30">+D65-H65</f>
        <v>-50.349999999999994</v>
      </c>
      <c r="M65" s="1"/>
      <c r="N65" s="5">
        <f t="shared" ref="N65:N75" si="31">IF(H65=0,0,L65/H65)</f>
        <v>-0.25174999999999997</v>
      </c>
      <c r="O65" s="14"/>
      <c r="P65" s="1">
        <f>SUM(OSRRefP22_2x_0)</f>
        <v>149.65</v>
      </c>
      <c r="Q65" s="1"/>
      <c r="R65" s="5">
        <f t="shared" ref="R65:R75" si="32">IF(P$12=0,0,P65/P$12)</f>
        <v>7.1958507661813958E-4</v>
      </c>
      <c r="S65" s="1"/>
      <c r="T65" s="1">
        <f>SUM(OSRRefT22_2x_0)</f>
        <v>200</v>
      </c>
      <c r="U65" s="1"/>
      <c r="V65" s="5">
        <f t="shared" ref="V65:V75" si="33">IF(T$12=0,0,T65/T$12)</f>
        <v>6.0005280464680893E-4</v>
      </c>
      <c r="W65" s="1"/>
      <c r="X65" s="1">
        <f t="shared" ref="X65:X75" si="34">+P65-T65</f>
        <v>-50.349999999999994</v>
      </c>
      <c r="Y65" s="1"/>
      <c r="Z65" s="5">
        <f t="shared" ref="Z65:Z75" si="35">IF(T65=0,0,X65/T65)</f>
        <v>-0.25174999999999997</v>
      </c>
    </row>
    <row r="66" spans="1:26" s="24" customFormat="1" hidden="1" outlineLevel="2" x14ac:dyDescent="0.25">
      <c r="A66" s="27"/>
      <c r="B66" s="12" t="str">
        <f>CONCATENATE("          ", "6362", " - ", "ADVERTISING EXPENSE")</f>
        <v xml:space="preserve">          6362 - ADVERTISING EXPENSE</v>
      </c>
      <c r="C66" s="12"/>
      <c r="D66" s="7">
        <v>149.65</v>
      </c>
      <c r="E66" s="3"/>
      <c r="F66" s="8">
        <f t="shared" si="28"/>
        <v>7.1958507661813958E-4</v>
      </c>
      <c r="G66" s="3"/>
      <c r="H66" s="7">
        <v>200</v>
      </c>
      <c r="I66" s="3"/>
      <c r="J66" s="8">
        <f t="shared" si="29"/>
        <v>6.0005280464680893E-4</v>
      </c>
      <c r="K66" s="3"/>
      <c r="L66" s="7">
        <f t="shared" si="30"/>
        <v>-50.349999999999994</v>
      </c>
      <c r="M66" s="3"/>
      <c r="N66" s="8">
        <f t="shared" si="31"/>
        <v>-0.25174999999999997</v>
      </c>
      <c r="O66" s="12"/>
      <c r="P66" s="7">
        <v>149.65</v>
      </c>
      <c r="Q66" s="3"/>
      <c r="R66" s="8">
        <f t="shared" si="32"/>
        <v>7.1958507661813958E-4</v>
      </c>
      <c r="S66" s="3"/>
      <c r="T66" s="7">
        <v>200</v>
      </c>
      <c r="U66" s="3"/>
      <c r="V66" s="8">
        <f t="shared" si="33"/>
        <v>6.0005280464680893E-4</v>
      </c>
      <c r="W66" s="3"/>
      <c r="X66" s="7">
        <f t="shared" si="34"/>
        <v>-50.349999999999994</v>
      </c>
      <c r="Y66" s="3"/>
      <c r="Z66" s="8">
        <f t="shared" si="35"/>
        <v>-0.25174999999999997</v>
      </c>
    </row>
    <row r="67" spans="1:26" s="29" customFormat="1" outlineLevel="1" collapsed="1" x14ac:dyDescent="0.25">
      <c r="A67" s="28"/>
      <c r="B67" s="14" t="str">
        <f>CONCATENATE("     ","Depreciation                                      ")</f>
        <v xml:space="preserve">     Depreciation                                      </v>
      </c>
      <c r="C67" s="14"/>
      <c r="D67" s="1">
        <f>SUM(OSRRefD22_3x_0)</f>
        <v>280.44</v>
      </c>
      <c r="E67" s="1"/>
      <c r="F67" s="5">
        <f t="shared" si="28"/>
        <v>1.3484827189227601E-3</v>
      </c>
      <c r="G67" s="1"/>
      <c r="H67" s="1">
        <f>SUM(OSRRefH22_3x_0)</f>
        <v>300</v>
      </c>
      <c r="I67" s="1"/>
      <c r="J67" s="5">
        <f t="shared" si="29"/>
        <v>9.0007920697021335E-4</v>
      </c>
      <c r="K67" s="1"/>
      <c r="L67" s="1">
        <f t="shared" si="30"/>
        <v>-19.560000000000002</v>
      </c>
      <c r="M67" s="1"/>
      <c r="N67" s="5">
        <f t="shared" si="31"/>
        <v>-6.5200000000000008E-2</v>
      </c>
      <c r="O67" s="14"/>
      <c r="P67" s="1">
        <f>SUM(OSRRefP22_3x_0)</f>
        <v>280.44</v>
      </c>
      <c r="Q67" s="1"/>
      <c r="R67" s="5">
        <f t="shared" si="32"/>
        <v>1.3484827189227601E-3</v>
      </c>
      <c r="S67" s="1"/>
      <c r="T67" s="1">
        <f>SUM(OSRRefT22_3x_0)</f>
        <v>300</v>
      </c>
      <c r="U67" s="1"/>
      <c r="V67" s="5">
        <f t="shared" si="33"/>
        <v>9.0007920697021335E-4</v>
      </c>
      <c r="W67" s="1"/>
      <c r="X67" s="1">
        <f t="shared" si="34"/>
        <v>-19.560000000000002</v>
      </c>
      <c r="Y67" s="1"/>
      <c r="Z67" s="5">
        <f t="shared" si="35"/>
        <v>-6.5200000000000008E-2</v>
      </c>
    </row>
    <row r="68" spans="1:26" s="24" customFormat="1" hidden="1" outlineLevel="2" x14ac:dyDescent="0.25">
      <c r="A68" s="27"/>
      <c r="B68" s="12" t="str">
        <f>CONCATENATE("          ", "6322", " - ", "EQUIPMENT DEPRECIATION EXPENSE")</f>
        <v xml:space="preserve">          6322 - EQUIPMENT DEPRECIATION EXPENSE</v>
      </c>
      <c r="C68" s="12"/>
      <c r="D68" s="7">
        <v>280.44</v>
      </c>
      <c r="E68" s="3"/>
      <c r="F68" s="8">
        <f t="shared" si="28"/>
        <v>1.3484827189227601E-3</v>
      </c>
      <c r="G68" s="3"/>
      <c r="H68" s="7">
        <v>300</v>
      </c>
      <c r="I68" s="3"/>
      <c r="J68" s="8">
        <f t="shared" si="29"/>
        <v>9.0007920697021335E-4</v>
      </c>
      <c r="K68" s="3"/>
      <c r="L68" s="7">
        <f t="shared" si="30"/>
        <v>-19.560000000000002</v>
      </c>
      <c r="M68" s="3"/>
      <c r="N68" s="8">
        <f t="shared" si="31"/>
        <v>-6.5200000000000008E-2</v>
      </c>
      <c r="O68" s="12"/>
      <c r="P68" s="7">
        <v>280.44</v>
      </c>
      <c r="Q68" s="3"/>
      <c r="R68" s="8">
        <f t="shared" si="32"/>
        <v>1.3484827189227601E-3</v>
      </c>
      <c r="S68" s="3"/>
      <c r="T68" s="7">
        <v>300</v>
      </c>
      <c r="U68" s="3"/>
      <c r="V68" s="8">
        <f t="shared" si="33"/>
        <v>9.0007920697021335E-4</v>
      </c>
      <c r="W68" s="3"/>
      <c r="X68" s="7">
        <f t="shared" si="34"/>
        <v>-19.560000000000002</v>
      </c>
      <c r="Y68" s="3"/>
      <c r="Z68" s="8">
        <f t="shared" si="35"/>
        <v>-6.5200000000000008E-2</v>
      </c>
    </row>
    <row r="69" spans="1:26" s="29" customFormat="1" outlineLevel="1" collapsed="1" x14ac:dyDescent="0.25">
      <c r="A69" s="28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SUM(OSRRefD22_4x_0)</f>
        <v>0</v>
      </c>
      <c r="E69" s="1"/>
      <c r="F69" s="5">
        <f t="shared" si="28"/>
        <v>0</v>
      </c>
      <c r="G69" s="1"/>
      <c r="H69" s="1">
        <f>SUM(OSRRefH22_4x_0)</f>
        <v>5301</v>
      </c>
      <c r="I69" s="1"/>
      <c r="J69" s="5">
        <f t="shared" si="29"/>
        <v>1.5904399587163671E-2</v>
      </c>
      <c r="K69" s="1"/>
      <c r="L69" s="1">
        <f t="shared" si="30"/>
        <v>-5301</v>
      </c>
      <c r="M69" s="1"/>
      <c r="N69" s="5">
        <f t="shared" si="31"/>
        <v>-1</v>
      </c>
      <c r="O69" s="14"/>
      <c r="P69" s="1">
        <f>SUM(OSRRefP22_4x_0)</f>
        <v>0</v>
      </c>
      <c r="Q69" s="1"/>
      <c r="R69" s="5">
        <f t="shared" si="32"/>
        <v>0</v>
      </c>
      <c r="S69" s="1"/>
      <c r="T69" s="1">
        <f>SUM(OSRRefT22_4x_0)</f>
        <v>5301</v>
      </c>
      <c r="U69" s="1"/>
      <c r="V69" s="5">
        <f t="shared" si="33"/>
        <v>1.5904399587163671E-2</v>
      </c>
      <c r="W69" s="1"/>
      <c r="X69" s="1">
        <f t="shared" si="34"/>
        <v>-5301</v>
      </c>
      <c r="Y69" s="1"/>
      <c r="Z69" s="5">
        <f t="shared" si="35"/>
        <v>-1</v>
      </c>
    </row>
    <row r="70" spans="1:26" s="24" customFormat="1" hidden="1" outlineLevel="2" x14ac:dyDescent="0.25">
      <c r="A70" s="27"/>
      <c r="B70" s="12" t="str">
        <f>CONCATENATE("          ", "6382", " - ", "DISCOUNTS/MARK DOWNS")</f>
        <v xml:space="preserve">          6382 - DISCOUNTS/MARK DOWNS</v>
      </c>
      <c r="C70" s="12"/>
      <c r="D70" s="7"/>
      <c r="E70" s="3"/>
      <c r="F70" s="8">
        <f t="shared" si="28"/>
        <v>0</v>
      </c>
      <c r="G70" s="3"/>
      <c r="H70" s="7">
        <v>5301</v>
      </c>
      <c r="I70" s="3"/>
      <c r="J70" s="8">
        <f t="shared" si="29"/>
        <v>1.5904399587163671E-2</v>
      </c>
      <c r="K70" s="3"/>
      <c r="L70" s="7">
        <f t="shared" si="30"/>
        <v>-5301</v>
      </c>
      <c r="M70" s="3"/>
      <c r="N70" s="8">
        <f t="shared" si="31"/>
        <v>-1</v>
      </c>
      <c r="O70" s="12"/>
      <c r="P70" s="7"/>
      <c r="Q70" s="3"/>
      <c r="R70" s="8">
        <f t="shared" si="32"/>
        <v>0</v>
      </c>
      <c r="S70" s="3"/>
      <c r="T70" s="7">
        <v>5301</v>
      </c>
      <c r="U70" s="3"/>
      <c r="V70" s="8">
        <f t="shared" si="33"/>
        <v>1.5904399587163671E-2</v>
      </c>
      <c r="W70" s="3"/>
      <c r="X70" s="7">
        <f t="shared" si="34"/>
        <v>-5301</v>
      </c>
      <c r="Y70" s="3"/>
      <c r="Z70" s="8">
        <f t="shared" si="35"/>
        <v>-1</v>
      </c>
    </row>
    <row r="71" spans="1:26" s="29" customFormat="1" outlineLevel="1" collapsed="1" x14ac:dyDescent="0.25">
      <c r="A71" s="28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SUM(OSRRefD22_5x_0)</f>
        <v>0</v>
      </c>
      <c r="E71" s="1"/>
      <c r="F71" s="5">
        <f t="shared" si="28"/>
        <v>0</v>
      </c>
      <c r="G71" s="1"/>
      <c r="H71" s="1">
        <f>SUM(OSRRefH22_5x_0)</f>
        <v>20</v>
      </c>
      <c r="I71" s="1"/>
      <c r="J71" s="5">
        <f t="shared" si="29"/>
        <v>6.0005280464680891E-5</v>
      </c>
      <c r="K71" s="1"/>
      <c r="L71" s="1">
        <f t="shared" si="30"/>
        <v>-20</v>
      </c>
      <c r="M71" s="1"/>
      <c r="N71" s="5">
        <f t="shared" si="31"/>
        <v>-1</v>
      </c>
      <c r="O71" s="14"/>
      <c r="P71" s="1">
        <f>SUM(OSRRefP22_5x_0)</f>
        <v>0</v>
      </c>
      <c r="Q71" s="1"/>
      <c r="R71" s="5">
        <f t="shared" si="32"/>
        <v>0</v>
      </c>
      <c r="S71" s="1"/>
      <c r="T71" s="1">
        <f>SUM(OSRRefT22_5x_0)</f>
        <v>20</v>
      </c>
      <c r="U71" s="1"/>
      <c r="V71" s="5">
        <f t="shared" si="33"/>
        <v>6.0005280464680891E-5</v>
      </c>
      <c r="W71" s="1"/>
      <c r="X71" s="1">
        <f t="shared" si="34"/>
        <v>-20</v>
      </c>
      <c r="Y71" s="1"/>
      <c r="Z71" s="5">
        <f t="shared" si="35"/>
        <v>-1</v>
      </c>
    </row>
    <row r="72" spans="1:26" s="24" customFormat="1" hidden="1" outlineLevel="2" x14ac:dyDescent="0.25">
      <c r="A72" s="27"/>
      <c r="B72" s="12" t="str">
        <f>CONCATENATE("          ", "6277", " - ", "EMPLOYEE APPRECIATION")</f>
        <v xml:space="preserve">          6277 - EMPLOYEE APPRECIATION</v>
      </c>
      <c r="C72" s="12"/>
      <c r="D72" s="7"/>
      <c r="E72" s="3"/>
      <c r="F72" s="8">
        <f t="shared" si="28"/>
        <v>0</v>
      </c>
      <c r="G72" s="3"/>
      <c r="H72" s="7">
        <v>20</v>
      </c>
      <c r="I72" s="3"/>
      <c r="J72" s="8">
        <f t="shared" si="29"/>
        <v>6.0005280464680891E-5</v>
      </c>
      <c r="K72" s="3"/>
      <c r="L72" s="7">
        <f t="shared" si="30"/>
        <v>-20</v>
      </c>
      <c r="M72" s="3"/>
      <c r="N72" s="8">
        <f t="shared" si="31"/>
        <v>-1</v>
      </c>
      <c r="O72" s="12"/>
      <c r="P72" s="7"/>
      <c r="Q72" s="3"/>
      <c r="R72" s="8">
        <f t="shared" si="32"/>
        <v>0</v>
      </c>
      <c r="S72" s="3"/>
      <c r="T72" s="7">
        <v>20</v>
      </c>
      <c r="U72" s="3"/>
      <c r="V72" s="8">
        <f t="shared" si="33"/>
        <v>6.0005280464680891E-5</v>
      </c>
      <c r="W72" s="3"/>
      <c r="X72" s="7">
        <f t="shared" si="34"/>
        <v>-20</v>
      </c>
      <c r="Y72" s="3"/>
      <c r="Z72" s="8">
        <f t="shared" si="35"/>
        <v>-1</v>
      </c>
    </row>
    <row r="73" spans="1:26" s="29" customFormat="1" outlineLevel="1" collapsed="1" x14ac:dyDescent="0.25">
      <c r="A73" s="28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SUM(OSRRefD22_6x_0)</f>
        <v>10.61</v>
      </c>
      <c r="E73" s="1"/>
      <c r="F73" s="5">
        <f t="shared" si="28"/>
        <v>5.1017692368315807E-5</v>
      </c>
      <c r="G73" s="1"/>
      <c r="H73" s="1">
        <f>SUM(OSRRefH22_6x_0)</f>
        <v>15</v>
      </c>
      <c r="I73" s="1"/>
      <c r="J73" s="5">
        <f t="shared" si="29"/>
        <v>4.5003960348510671E-5</v>
      </c>
      <c r="K73" s="1"/>
      <c r="L73" s="1">
        <f t="shared" si="30"/>
        <v>-4.3900000000000006</v>
      </c>
      <c r="M73" s="1"/>
      <c r="N73" s="5">
        <f t="shared" si="31"/>
        <v>-0.29266666666666669</v>
      </c>
      <c r="O73" s="14"/>
      <c r="P73" s="1">
        <f>SUM(OSRRefP22_6x_0)</f>
        <v>10.61</v>
      </c>
      <c r="Q73" s="1"/>
      <c r="R73" s="5">
        <f t="shared" si="32"/>
        <v>5.1017692368315807E-5</v>
      </c>
      <c r="S73" s="1"/>
      <c r="T73" s="1">
        <f>SUM(OSRRefT22_6x_0)</f>
        <v>15</v>
      </c>
      <c r="U73" s="1"/>
      <c r="V73" s="5">
        <f t="shared" si="33"/>
        <v>4.5003960348510671E-5</v>
      </c>
      <c r="W73" s="1"/>
      <c r="X73" s="1">
        <f t="shared" si="34"/>
        <v>-4.3900000000000006</v>
      </c>
      <c r="Y73" s="1"/>
      <c r="Z73" s="5">
        <f t="shared" si="35"/>
        <v>-0.29266666666666669</v>
      </c>
    </row>
    <row r="74" spans="1:26" s="24" customFormat="1" hidden="1" outlineLevel="2" x14ac:dyDescent="0.25">
      <c r="A74" s="27"/>
      <c r="B74" s="12" t="str">
        <f>CONCATENATE("          ", "6305", " - ", "FREIGHT OUT")</f>
        <v xml:space="preserve">          6305 - FREIGHT OUT</v>
      </c>
      <c r="C74" s="12"/>
      <c r="D74" s="7">
        <v>5.61</v>
      </c>
      <c r="E74" s="3"/>
      <c r="F74" s="8">
        <f t="shared" si="28"/>
        <v>2.6975424522738145E-5</v>
      </c>
      <c r="G74" s="3"/>
      <c r="H74" s="7">
        <v>15</v>
      </c>
      <c r="I74" s="3"/>
      <c r="J74" s="8">
        <f t="shared" si="29"/>
        <v>4.5003960348510671E-5</v>
      </c>
      <c r="K74" s="3"/>
      <c r="L74" s="7">
        <f t="shared" si="30"/>
        <v>-9.39</v>
      </c>
      <c r="M74" s="3"/>
      <c r="N74" s="8">
        <f t="shared" si="31"/>
        <v>-0.626</v>
      </c>
      <c r="O74" s="12"/>
      <c r="P74" s="7">
        <v>5.61</v>
      </c>
      <c r="Q74" s="3"/>
      <c r="R74" s="8">
        <f t="shared" si="32"/>
        <v>2.6975424522738145E-5</v>
      </c>
      <c r="S74" s="3"/>
      <c r="T74" s="7">
        <v>15</v>
      </c>
      <c r="U74" s="3"/>
      <c r="V74" s="8">
        <f t="shared" si="33"/>
        <v>4.5003960348510671E-5</v>
      </c>
      <c r="W74" s="3"/>
      <c r="X74" s="7">
        <f t="shared" si="34"/>
        <v>-9.39</v>
      </c>
      <c r="Y74" s="3"/>
      <c r="Z74" s="8">
        <f t="shared" si="35"/>
        <v>-0.626</v>
      </c>
    </row>
    <row r="75" spans="1:26" s="24" customFormat="1" hidden="1" outlineLevel="2" x14ac:dyDescent="0.25">
      <c r="A75" s="27"/>
      <c r="B75" s="12" t="str">
        <f>CONCATENATE("          ", "6307", " - ", "POSTAGE")</f>
        <v xml:space="preserve">          6307 - POSTAGE</v>
      </c>
      <c r="C75" s="12"/>
      <c r="D75" s="7">
        <v>5</v>
      </c>
      <c r="E75" s="3"/>
      <c r="F75" s="8">
        <f t="shared" si="28"/>
        <v>2.4042267845577668E-5</v>
      </c>
      <c r="G75" s="3"/>
      <c r="H75" s="7"/>
      <c r="I75" s="3"/>
      <c r="J75" s="8">
        <f t="shared" si="29"/>
        <v>0</v>
      </c>
      <c r="K75" s="3"/>
      <c r="L75" s="7">
        <f t="shared" si="30"/>
        <v>5</v>
      </c>
      <c r="M75" s="3"/>
      <c r="N75" s="8">
        <f t="shared" si="31"/>
        <v>0</v>
      </c>
      <c r="O75" s="12"/>
      <c r="P75" s="7">
        <v>5</v>
      </c>
      <c r="Q75" s="3"/>
      <c r="R75" s="8">
        <f t="shared" si="32"/>
        <v>2.4042267845577668E-5</v>
      </c>
      <c r="S75" s="3"/>
      <c r="T75" s="7"/>
      <c r="U75" s="3"/>
      <c r="V75" s="8">
        <f t="shared" si="33"/>
        <v>0</v>
      </c>
      <c r="W75" s="3"/>
      <c r="X75" s="7">
        <f t="shared" si="34"/>
        <v>5</v>
      </c>
      <c r="Y75" s="3"/>
      <c r="Z75" s="8">
        <f t="shared" si="35"/>
        <v>0</v>
      </c>
    </row>
    <row r="76" spans="1:26" s="29" customFormat="1" outlineLevel="1" collapsed="1" x14ac:dyDescent="0.25">
      <c r="A76" s="28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SUM(OSRRefD22_7x_0)</f>
        <v>-30.15</v>
      </c>
      <c r="E76" s="1"/>
      <c r="F76" s="5">
        <f t="shared" ref="F76:F85" si="36">IF(D$12=0,0,D76/D$12)</f>
        <v>-1.4497487510883332E-4</v>
      </c>
      <c r="G76" s="1"/>
      <c r="H76" s="1">
        <f>SUM(OSRRefH22_7x_0)</f>
        <v>30</v>
      </c>
      <c r="I76" s="1"/>
      <c r="J76" s="5">
        <f t="shared" ref="J76:J85" si="37">IF(H$12=0,0,H76/H$12)</f>
        <v>9.0007920697021343E-5</v>
      </c>
      <c r="K76" s="1"/>
      <c r="L76" s="1">
        <f t="shared" ref="L76:L85" si="38">+D76-H76</f>
        <v>-60.15</v>
      </c>
      <c r="M76" s="1"/>
      <c r="N76" s="5">
        <f t="shared" ref="N76:N85" si="39">IF(H76=0,0,L76/H76)</f>
        <v>-2.0049999999999999</v>
      </c>
      <c r="O76" s="14"/>
      <c r="P76" s="1">
        <f>SUM(OSRRefP22_7x_0)</f>
        <v>-30.15</v>
      </c>
      <c r="Q76" s="1"/>
      <c r="R76" s="5">
        <f t="shared" ref="R76:R85" si="40">IF(P$12=0,0,P76/P$12)</f>
        <v>-1.4497487510883332E-4</v>
      </c>
      <c r="S76" s="1"/>
      <c r="T76" s="1">
        <f>SUM(OSRRefT22_7x_0)</f>
        <v>30</v>
      </c>
      <c r="U76" s="1"/>
      <c r="V76" s="5">
        <f t="shared" ref="V76:V85" si="41">IF(T$12=0,0,T76/T$12)</f>
        <v>9.0007920697021343E-5</v>
      </c>
      <c r="W76" s="1"/>
      <c r="X76" s="1">
        <f t="shared" ref="X76:X85" si="42">+P76-T76</f>
        <v>-60.15</v>
      </c>
      <c r="Y76" s="1"/>
      <c r="Z76" s="5">
        <f t="shared" ref="Z76:Z85" si="43">IF(T76=0,0,X76/T76)</f>
        <v>-2.0049999999999999</v>
      </c>
    </row>
    <row r="77" spans="1:26" s="24" customFormat="1" hidden="1" outlineLevel="2" x14ac:dyDescent="0.25">
      <c r="A77" s="27"/>
      <c r="B77" s="12" t="str">
        <f>CONCATENATE("          ", "6279", " - ", "GENERAL EXPENSE")</f>
        <v xml:space="preserve">          6279 - GENERAL EXPENSE</v>
      </c>
      <c r="C77" s="12"/>
      <c r="D77" s="7">
        <v>-30.15</v>
      </c>
      <c r="E77" s="3"/>
      <c r="F77" s="8">
        <f t="shared" si="36"/>
        <v>-1.4497487510883332E-4</v>
      </c>
      <c r="G77" s="3"/>
      <c r="H77" s="7">
        <v>30</v>
      </c>
      <c r="I77" s="3"/>
      <c r="J77" s="8">
        <f t="shared" si="37"/>
        <v>9.0007920697021343E-5</v>
      </c>
      <c r="K77" s="3"/>
      <c r="L77" s="7">
        <f t="shared" si="38"/>
        <v>-60.15</v>
      </c>
      <c r="M77" s="3"/>
      <c r="N77" s="8">
        <f t="shared" si="39"/>
        <v>-2.0049999999999999</v>
      </c>
      <c r="O77" s="12"/>
      <c r="P77" s="7">
        <v>-30.15</v>
      </c>
      <c r="Q77" s="3"/>
      <c r="R77" s="8">
        <f t="shared" si="40"/>
        <v>-1.4497487510883332E-4</v>
      </c>
      <c r="S77" s="3"/>
      <c r="T77" s="7">
        <v>30</v>
      </c>
      <c r="U77" s="3"/>
      <c r="V77" s="8">
        <f t="shared" si="41"/>
        <v>9.0007920697021343E-5</v>
      </c>
      <c r="W77" s="3"/>
      <c r="X77" s="7">
        <f t="shared" si="42"/>
        <v>-60.15</v>
      </c>
      <c r="Y77" s="3"/>
      <c r="Z77" s="8">
        <f t="shared" si="43"/>
        <v>-2.0049999999999999</v>
      </c>
    </row>
    <row r="78" spans="1:26" s="29" customFormat="1" outlineLevel="1" collapsed="1" x14ac:dyDescent="0.25">
      <c r="A78" s="28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SUM(OSRRefD22_8x_0)</f>
        <v>1250</v>
      </c>
      <c r="E78" s="1"/>
      <c r="F78" s="5">
        <f t="shared" si="36"/>
        <v>6.0105669613944165E-3</v>
      </c>
      <c r="G78" s="1"/>
      <c r="H78" s="1">
        <f>SUM(OSRRefH22_8x_0)</f>
        <v>1250</v>
      </c>
      <c r="I78" s="1"/>
      <c r="J78" s="5">
        <f t="shared" si="37"/>
        <v>3.7503300290425558E-3</v>
      </c>
      <c r="K78" s="1"/>
      <c r="L78" s="1">
        <f t="shared" si="38"/>
        <v>0</v>
      </c>
      <c r="M78" s="1"/>
      <c r="N78" s="5">
        <f t="shared" si="39"/>
        <v>0</v>
      </c>
      <c r="O78" s="14"/>
      <c r="P78" s="1">
        <f>SUM(OSRRefP22_8x_0)</f>
        <v>1250</v>
      </c>
      <c r="Q78" s="1"/>
      <c r="R78" s="5">
        <f t="shared" si="40"/>
        <v>6.0105669613944165E-3</v>
      </c>
      <c r="S78" s="1"/>
      <c r="T78" s="1">
        <f>SUM(OSRRefT22_8x_0)</f>
        <v>1250</v>
      </c>
      <c r="U78" s="1"/>
      <c r="V78" s="5">
        <f t="shared" si="41"/>
        <v>3.7503300290425558E-3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7"/>
      <c r="B79" s="12" t="str">
        <f>CONCATENATE("          ", "6408", " - ", "INVENTORY ADJUSTMENT")</f>
        <v xml:space="preserve">          6408 - INVENTORY ADJUSTMENT</v>
      </c>
      <c r="C79" s="12"/>
      <c r="D79" s="7">
        <v>1250</v>
      </c>
      <c r="E79" s="3"/>
      <c r="F79" s="8">
        <f t="shared" si="36"/>
        <v>6.0105669613944165E-3</v>
      </c>
      <c r="G79" s="3"/>
      <c r="H79" s="7">
        <v>1250</v>
      </c>
      <c r="I79" s="3"/>
      <c r="J79" s="8">
        <f t="shared" si="37"/>
        <v>3.7503300290425558E-3</v>
      </c>
      <c r="K79" s="3"/>
      <c r="L79" s="7">
        <f t="shared" si="38"/>
        <v>0</v>
      </c>
      <c r="M79" s="3"/>
      <c r="N79" s="8">
        <f t="shared" si="39"/>
        <v>0</v>
      </c>
      <c r="O79" s="12"/>
      <c r="P79" s="7">
        <v>1250</v>
      </c>
      <c r="Q79" s="3"/>
      <c r="R79" s="8">
        <f t="shared" si="40"/>
        <v>6.0105669613944165E-3</v>
      </c>
      <c r="S79" s="3"/>
      <c r="T79" s="7">
        <v>1250</v>
      </c>
      <c r="U79" s="3"/>
      <c r="V79" s="8">
        <f t="shared" si="41"/>
        <v>3.7503300290425558E-3</v>
      </c>
      <c r="W79" s="3"/>
      <c r="X79" s="7">
        <f t="shared" si="42"/>
        <v>0</v>
      </c>
      <c r="Y79" s="3"/>
      <c r="Z79" s="8">
        <f t="shared" si="43"/>
        <v>0</v>
      </c>
    </row>
    <row r="80" spans="1:26" s="29" customFormat="1" outlineLevel="1" collapsed="1" x14ac:dyDescent="0.25">
      <c r="A80" s="28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SUM(OSRRefD22_9x_0)</f>
        <v>0</v>
      </c>
      <c r="E80" s="1"/>
      <c r="F80" s="5">
        <f t="shared" si="36"/>
        <v>0</v>
      </c>
      <c r="G80" s="1"/>
      <c r="H80" s="1">
        <f>SUM(OSRRefH22_9x_0)</f>
        <v>25</v>
      </c>
      <c r="I80" s="1"/>
      <c r="J80" s="5">
        <f t="shared" si="37"/>
        <v>7.5006600580851117E-5</v>
      </c>
      <c r="K80" s="1"/>
      <c r="L80" s="1">
        <f t="shared" si="38"/>
        <v>-25</v>
      </c>
      <c r="M80" s="1"/>
      <c r="N80" s="5">
        <f t="shared" si="39"/>
        <v>-1</v>
      </c>
      <c r="O80" s="14"/>
      <c r="P80" s="1">
        <f>SUM(OSRRefP22_9x_0)</f>
        <v>0</v>
      </c>
      <c r="Q80" s="1"/>
      <c r="R80" s="5">
        <f t="shared" si="40"/>
        <v>0</v>
      </c>
      <c r="S80" s="1"/>
      <c r="T80" s="1">
        <f>SUM(OSRRefT22_9x_0)</f>
        <v>25</v>
      </c>
      <c r="U80" s="1"/>
      <c r="V80" s="5">
        <f t="shared" si="41"/>
        <v>7.5006600580851117E-5</v>
      </c>
      <c r="W80" s="1"/>
      <c r="X80" s="1">
        <f t="shared" si="42"/>
        <v>-25</v>
      </c>
      <c r="Y80" s="1"/>
      <c r="Z80" s="5">
        <f t="shared" si="43"/>
        <v>-1</v>
      </c>
    </row>
    <row r="81" spans="1:26" s="24" customFormat="1" hidden="1" outlineLevel="2" x14ac:dyDescent="0.25">
      <c r="A81" s="27"/>
      <c r="B81" s="12" t="str">
        <f>CONCATENATE("          ", "6375", " - ", "OUTSIDE REPAIRS &amp; MAINTENANCE")</f>
        <v xml:space="preserve">          6375 - OUTSIDE REPAIRS &amp; MAINTENANCE</v>
      </c>
      <c r="C81" s="12"/>
      <c r="D81" s="7"/>
      <c r="E81" s="3"/>
      <c r="F81" s="8">
        <f t="shared" si="36"/>
        <v>0</v>
      </c>
      <c r="G81" s="3"/>
      <c r="H81" s="7">
        <v>25</v>
      </c>
      <c r="I81" s="3"/>
      <c r="J81" s="8">
        <f t="shared" si="37"/>
        <v>7.5006600580851117E-5</v>
      </c>
      <c r="K81" s="3"/>
      <c r="L81" s="7">
        <f t="shared" si="38"/>
        <v>-25</v>
      </c>
      <c r="M81" s="3"/>
      <c r="N81" s="8">
        <f t="shared" si="39"/>
        <v>-1</v>
      </c>
      <c r="O81" s="12"/>
      <c r="P81" s="7"/>
      <c r="Q81" s="3"/>
      <c r="R81" s="8">
        <f t="shared" si="40"/>
        <v>0</v>
      </c>
      <c r="S81" s="3"/>
      <c r="T81" s="7">
        <v>25</v>
      </c>
      <c r="U81" s="3"/>
      <c r="V81" s="8">
        <f t="shared" si="41"/>
        <v>7.5006600580851117E-5</v>
      </c>
      <c r="W81" s="3"/>
      <c r="X81" s="7">
        <f t="shared" si="42"/>
        <v>-25</v>
      </c>
      <c r="Y81" s="3"/>
      <c r="Z81" s="8">
        <f t="shared" si="43"/>
        <v>-1</v>
      </c>
    </row>
    <row r="82" spans="1:26" s="29" customFormat="1" outlineLevel="1" collapsed="1" x14ac:dyDescent="0.25">
      <c r="A82" s="28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SUM(OSRRefD22_10x_0)</f>
        <v>668.12</v>
      </c>
      <c r="E82" s="1"/>
      <c r="F82" s="5">
        <f t="shared" si="36"/>
        <v>3.2126239985974703E-3</v>
      </c>
      <c r="G82" s="1"/>
      <c r="H82" s="1">
        <f>SUM(OSRRefH22_10x_0)</f>
        <v>310</v>
      </c>
      <c r="I82" s="1"/>
      <c r="J82" s="5">
        <f t="shared" si="37"/>
        <v>9.300818472025538E-4</v>
      </c>
      <c r="K82" s="1"/>
      <c r="L82" s="1">
        <f t="shared" si="38"/>
        <v>358.12</v>
      </c>
      <c r="M82" s="1"/>
      <c r="N82" s="5">
        <f t="shared" si="39"/>
        <v>1.155225806451613</v>
      </c>
      <c r="O82" s="14"/>
      <c r="P82" s="1">
        <f>SUM(OSRRefP22_10x_0)</f>
        <v>668.12</v>
      </c>
      <c r="Q82" s="1"/>
      <c r="R82" s="5">
        <f t="shared" si="40"/>
        <v>3.2126239985974703E-3</v>
      </c>
      <c r="S82" s="1"/>
      <c r="T82" s="1">
        <f>SUM(OSRRefT22_10x_0)</f>
        <v>310</v>
      </c>
      <c r="U82" s="1"/>
      <c r="V82" s="5">
        <f t="shared" si="41"/>
        <v>9.300818472025538E-4</v>
      </c>
      <c r="W82" s="1"/>
      <c r="X82" s="1">
        <f t="shared" si="42"/>
        <v>358.12</v>
      </c>
      <c r="Y82" s="1"/>
      <c r="Z82" s="5">
        <f t="shared" si="43"/>
        <v>1.155225806451613</v>
      </c>
    </row>
    <row r="83" spans="1:26" s="24" customFormat="1" hidden="1" outlineLevel="2" x14ac:dyDescent="0.25">
      <c r="A83" s="27"/>
      <c r="B83" s="12" t="str">
        <f>CONCATENATE("          ", "6235", " - ", "COVID-19 EXPENSES")</f>
        <v xml:space="preserve">          6235 - COVID-19 EXPENSES</v>
      </c>
      <c r="C83" s="12"/>
      <c r="D83" s="7">
        <v>668.12</v>
      </c>
      <c r="E83" s="3"/>
      <c r="F83" s="8">
        <f t="shared" si="36"/>
        <v>3.2126239985974703E-3</v>
      </c>
      <c r="G83" s="3"/>
      <c r="H83" s="7"/>
      <c r="I83" s="3"/>
      <c r="J83" s="8">
        <f t="shared" si="37"/>
        <v>0</v>
      </c>
      <c r="K83" s="3"/>
      <c r="L83" s="7">
        <f t="shared" si="38"/>
        <v>668.12</v>
      </c>
      <c r="M83" s="3"/>
      <c r="N83" s="8">
        <f t="shared" si="39"/>
        <v>0</v>
      </c>
      <c r="O83" s="12"/>
      <c r="P83" s="7">
        <v>668.12</v>
      </c>
      <c r="Q83" s="3"/>
      <c r="R83" s="8">
        <f t="shared" si="40"/>
        <v>3.2126239985974703E-3</v>
      </c>
      <c r="S83" s="3"/>
      <c r="T83" s="7"/>
      <c r="U83" s="3"/>
      <c r="V83" s="8">
        <f t="shared" si="41"/>
        <v>0</v>
      </c>
      <c r="W83" s="3"/>
      <c r="X83" s="7">
        <f t="shared" si="42"/>
        <v>668.12</v>
      </c>
      <c r="Y83" s="3"/>
      <c r="Z83" s="8">
        <f t="shared" si="43"/>
        <v>0</v>
      </c>
    </row>
    <row r="84" spans="1:26" s="24" customFormat="1" hidden="1" outlineLevel="2" x14ac:dyDescent="0.25">
      <c r="A84" s="27"/>
      <c r="B84" s="12" t="str">
        <f>CONCATENATE("          ", "6241", " - ", "OFFICE EXPENSE")</f>
        <v xml:space="preserve">          6241 - OFFICE EXPENSE</v>
      </c>
      <c r="C84" s="12"/>
      <c r="D84" s="7"/>
      <c r="E84" s="3"/>
      <c r="F84" s="8">
        <f t="shared" si="36"/>
        <v>0</v>
      </c>
      <c r="G84" s="3"/>
      <c r="H84" s="7">
        <v>110</v>
      </c>
      <c r="I84" s="3"/>
      <c r="J84" s="8">
        <f t="shared" si="37"/>
        <v>3.3002904255574492E-4</v>
      </c>
      <c r="K84" s="3"/>
      <c r="L84" s="7">
        <f t="shared" si="38"/>
        <v>-110</v>
      </c>
      <c r="M84" s="3"/>
      <c r="N84" s="8">
        <f t="shared" si="39"/>
        <v>-1</v>
      </c>
      <c r="O84" s="12"/>
      <c r="P84" s="7"/>
      <c r="Q84" s="3"/>
      <c r="R84" s="8">
        <f t="shared" si="40"/>
        <v>0</v>
      </c>
      <c r="S84" s="3"/>
      <c r="T84" s="7">
        <v>110</v>
      </c>
      <c r="U84" s="3"/>
      <c r="V84" s="8">
        <f t="shared" si="41"/>
        <v>3.3002904255574492E-4</v>
      </c>
      <c r="W84" s="3"/>
      <c r="X84" s="7">
        <f t="shared" si="42"/>
        <v>-110</v>
      </c>
      <c r="Y84" s="3"/>
      <c r="Z84" s="8">
        <f t="shared" si="43"/>
        <v>-1</v>
      </c>
    </row>
    <row r="85" spans="1:26" s="24" customFormat="1" hidden="1" outlineLevel="2" x14ac:dyDescent="0.25">
      <c r="A85" s="27"/>
      <c r="B85" s="12" t="str">
        <f>CONCATENATE("          ", "6247", " - ", "STORE SUPPLIES")</f>
        <v xml:space="preserve">          6247 - STORE SUPPLIES</v>
      </c>
      <c r="C85" s="12"/>
      <c r="D85" s="7"/>
      <c r="E85" s="3"/>
      <c r="F85" s="8">
        <f t="shared" si="36"/>
        <v>0</v>
      </c>
      <c r="G85" s="3"/>
      <c r="H85" s="7">
        <v>200</v>
      </c>
      <c r="I85" s="3"/>
      <c r="J85" s="8">
        <f t="shared" si="37"/>
        <v>6.0005280464680893E-4</v>
      </c>
      <c r="K85" s="3"/>
      <c r="L85" s="7">
        <f t="shared" si="38"/>
        <v>-200</v>
      </c>
      <c r="M85" s="3"/>
      <c r="N85" s="8">
        <f t="shared" si="39"/>
        <v>-1</v>
      </c>
      <c r="O85" s="12"/>
      <c r="P85" s="7"/>
      <c r="Q85" s="3"/>
      <c r="R85" s="8">
        <f t="shared" si="40"/>
        <v>0</v>
      </c>
      <c r="S85" s="3"/>
      <c r="T85" s="7">
        <v>200</v>
      </c>
      <c r="U85" s="3"/>
      <c r="V85" s="8">
        <f t="shared" si="41"/>
        <v>6.0005280464680893E-4</v>
      </c>
      <c r="W85" s="3"/>
      <c r="X85" s="7">
        <f t="shared" si="42"/>
        <v>-200</v>
      </c>
      <c r="Y85" s="3"/>
      <c r="Z85" s="8">
        <f t="shared" si="43"/>
        <v>-1</v>
      </c>
    </row>
    <row r="86" spans="1:26" s="29" customFormat="1" outlineLevel="1" collapsed="1" x14ac:dyDescent="0.25">
      <c r="A86" s="28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SUM(OSRRefD22_11x_0)</f>
        <v>304.8</v>
      </c>
      <c r="E86" s="1"/>
      <c r="F86" s="5">
        <f t="shared" ref="F86:F87" si="44">IF(D$12=0,0,D86/D$12)</f>
        <v>1.4656166478664147E-3</v>
      </c>
      <c r="G86" s="1"/>
      <c r="H86" s="1">
        <f>SUM(OSRRefH22_11x_0)</f>
        <v>260</v>
      </c>
      <c r="I86" s="1"/>
      <c r="J86" s="5">
        <f t="shared" ref="J86:J87" si="45">IF(H$12=0,0,H86/H$12)</f>
        <v>7.8006864604085165E-4</v>
      </c>
      <c r="K86" s="1"/>
      <c r="L86" s="1">
        <f t="shared" ref="L86:L87" si="46">+D86-H86</f>
        <v>44.800000000000011</v>
      </c>
      <c r="M86" s="1"/>
      <c r="N86" s="5">
        <f t="shared" ref="N86:N87" si="47">IF(H86=0,0,L86/H86)</f>
        <v>0.17230769230769236</v>
      </c>
      <c r="O86" s="14"/>
      <c r="P86" s="1">
        <f>SUM(OSRRefP22_11x_0)</f>
        <v>304.8</v>
      </c>
      <c r="Q86" s="1"/>
      <c r="R86" s="5">
        <f t="shared" ref="R86:R87" si="48">IF(P$12=0,0,P86/P$12)</f>
        <v>1.4656166478664147E-3</v>
      </c>
      <c r="S86" s="1"/>
      <c r="T86" s="1">
        <f>SUM(OSRRefT22_11x_0)</f>
        <v>260</v>
      </c>
      <c r="U86" s="1"/>
      <c r="V86" s="5">
        <f t="shared" ref="V86:V87" si="49">IF(T$12=0,0,T86/T$12)</f>
        <v>7.8006864604085165E-4</v>
      </c>
      <c r="W86" s="1"/>
      <c r="X86" s="1">
        <f t="shared" ref="X86:X87" si="50">+P86-T86</f>
        <v>44.800000000000011</v>
      </c>
      <c r="Y86" s="1"/>
      <c r="Z86" s="5">
        <f t="shared" ref="Z86:Z87" si="51">IF(T86=0,0,X86/T86)</f>
        <v>0.17230769230769236</v>
      </c>
    </row>
    <row r="87" spans="1:26" s="24" customFormat="1" hidden="1" outlineLevel="2" x14ac:dyDescent="0.25">
      <c r="A87" s="27"/>
      <c r="B87" s="12" t="str">
        <f>CONCATENATE("          ", "6309", " - ", "TELEPHONE")</f>
        <v xml:space="preserve">          6309 - TELEPHONE</v>
      </c>
      <c r="C87" s="12"/>
      <c r="D87" s="7">
        <v>304.8</v>
      </c>
      <c r="E87" s="3"/>
      <c r="F87" s="8">
        <f t="shared" si="44"/>
        <v>1.4656166478664147E-3</v>
      </c>
      <c r="G87" s="3"/>
      <c r="H87" s="7">
        <v>260</v>
      </c>
      <c r="I87" s="3"/>
      <c r="J87" s="8">
        <f t="shared" si="45"/>
        <v>7.8006864604085165E-4</v>
      </c>
      <c r="K87" s="3"/>
      <c r="L87" s="7">
        <f t="shared" si="46"/>
        <v>44.800000000000011</v>
      </c>
      <c r="M87" s="3"/>
      <c r="N87" s="8">
        <f t="shared" si="47"/>
        <v>0.17230769230769236</v>
      </c>
      <c r="O87" s="12"/>
      <c r="P87" s="7">
        <v>304.8</v>
      </c>
      <c r="Q87" s="3"/>
      <c r="R87" s="8">
        <f t="shared" si="48"/>
        <v>1.4656166478664147E-3</v>
      </c>
      <c r="S87" s="3"/>
      <c r="T87" s="7">
        <v>260</v>
      </c>
      <c r="U87" s="3"/>
      <c r="V87" s="8">
        <f t="shared" si="49"/>
        <v>7.8006864604085165E-4</v>
      </c>
      <c r="W87" s="3"/>
      <c r="X87" s="7">
        <f t="shared" si="50"/>
        <v>44.800000000000011</v>
      </c>
      <c r="Y87" s="3"/>
      <c r="Z87" s="8">
        <f t="shared" si="51"/>
        <v>0.17230769230769236</v>
      </c>
    </row>
    <row r="88" spans="1:26" s="54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2" customFormat="1" collapsed="1" x14ac:dyDescent="0.25">
      <c r="A89" s="10"/>
      <c r="B89" s="26" t="s">
        <v>0</v>
      </c>
      <c r="C89" s="10"/>
      <c r="D89" s="4">
        <f>SUM(OSRRefD25x_0)</f>
        <v>-375.36</v>
      </c>
      <c r="E89" s="4"/>
      <c r="F89" s="11">
        <f t="shared" ref="F89:F91" si="52">IF(D$12=0,0,D89/D$12)</f>
        <v>-1.8049011317032067E-3</v>
      </c>
      <c r="G89" s="4"/>
      <c r="H89" s="4">
        <f>SUM(OSRRefH25x_0)</f>
        <v>2651</v>
      </c>
      <c r="I89" s="4"/>
      <c r="J89" s="11">
        <f t="shared" ref="J89:J91" si="53">IF(H$12=0,0,H89/H$12)</f>
        <v>7.9536999255934524E-3</v>
      </c>
      <c r="K89" s="4"/>
      <c r="L89" s="4">
        <f t="shared" ref="L89:L91" si="54">+D89-H89</f>
        <v>-3026.36</v>
      </c>
      <c r="M89" s="4"/>
      <c r="N89" s="11">
        <f t="shared" ref="N89:N91" si="55">IF(H89=0,0,L89/H89)</f>
        <v>-1.1415918521312713</v>
      </c>
      <c r="O89" s="10"/>
      <c r="P89" s="4">
        <f>SUM(OSRRefP25x_0)</f>
        <v>-375.36</v>
      </c>
      <c r="Q89" s="4"/>
      <c r="R89" s="11">
        <f t="shared" ref="R89:R91" si="56">IF(P$12=0,0,P89/P$12)</f>
        <v>-1.8049011317032067E-3</v>
      </c>
      <c r="S89" s="4"/>
      <c r="T89" s="4">
        <f>SUM(OSRRefT25x_0)</f>
        <v>2651</v>
      </c>
      <c r="U89" s="4"/>
      <c r="V89" s="11">
        <f t="shared" ref="V89:V91" si="57">IF(T$12=0,0,T89/T$12)</f>
        <v>7.9536999255934524E-3</v>
      </c>
      <c r="W89" s="4"/>
      <c r="X89" s="4">
        <f t="shared" ref="X89:X91" si="58">+P89-T89</f>
        <v>-3026.36</v>
      </c>
      <c r="Y89" s="4"/>
      <c r="Z89" s="11">
        <f t="shared" ref="Z89:Z91" si="59">IF(T89=0,0,X89/T89)</f>
        <v>-1.1415918521312713</v>
      </c>
    </row>
    <row r="90" spans="1:26" s="24" customFormat="1" hidden="1" outlineLevel="1" x14ac:dyDescent="0.25">
      <c r="A90" s="51"/>
      <c r="B90" s="12" t="str">
        <f>CONCATENATE("          ", "4187", " - ", "NON-TAXABLE SALES-COMPUTER REP")</f>
        <v xml:space="preserve">          4187 - NON-TAXABLE SALES-COMPUTER REP</v>
      </c>
      <c r="C90" s="12"/>
      <c r="D90" s="3">
        <f>--19.99</f>
        <v>19.989999999999998</v>
      </c>
      <c r="E90" s="3"/>
      <c r="F90" s="23">
        <f t="shared" si="52"/>
        <v>9.6120986846619499E-5</v>
      </c>
      <c r="G90" s="3"/>
      <c r="H90" s="3"/>
      <c r="I90" s="3"/>
      <c r="J90" s="23">
        <f t="shared" si="53"/>
        <v>0</v>
      </c>
      <c r="K90" s="3"/>
      <c r="L90" s="3">
        <f t="shared" si="54"/>
        <v>19.989999999999998</v>
      </c>
      <c r="M90" s="3"/>
      <c r="N90" s="23">
        <f t="shared" si="55"/>
        <v>0</v>
      </c>
      <c r="O90" s="12"/>
      <c r="P90" s="3">
        <f>--19.99</f>
        <v>19.989999999999998</v>
      </c>
      <c r="Q90" s="3"/>
      <c r="R90" s="23">
        <f t="shared" si="56"/>
        <v>9.6120986846619499E-5</v>
      </c>
      <c r="S90" s="3"/>
      <c r="T90" s="3"/>
      <c r="U90" s="3"/>
      <c r="V90" s="23">
        <f t="shared" si="57"/>
        <v>0</v>
      </c>
      <c r="W90" s="3"/>
      <c r="X90" s="3">
        <f t="shared" si="58"/>
        <v>19.989999999999998</v>
      </c>
      <c r="Y90" s="3"/>
      <c r="Z90" s="23">
        <f t="shared" si="59"/>
        <v>0</v>
      </c>
    </row>
    <row r="91" spans="1:26" s="24" customFormat="1" hidden="1" outlineLevel="1" x14ac:dyDescent="0.25">
      <c r="A91" s="51"/>
      <c r="B91" s="12" t="str">
        <f>CONCATENATE("          ", "9150", " - ", "MISC. INCOME")</f>
        <v xml:space="preserve">          9150 - MISC. INCOME</v>
      </c>
      <c r="C91" s="12"/>
      <c r="D91" s="3">
        <f>-395.35</f>
        <v>-395.35</v>
      </c>
      <c r="E91" s="3"/>
      <c r="F91" s="23">
        <f t="shared" si="52"/>
        <v>-1.9010221185498262E-3</v>
      </c>
      <c r="G91" s="3"/>
      <c r="H91" s="3">
        <v>2651</v>
      </c>
      <c r="I91" s="3"/>
      <c r="J91" s="23">
        <f t="shared" si="53"/>
        <v>7.9536999255934524E-3</v>
      </c>
      <c r="K91" s="3"/>
      <c r="L91" s="3">
        <f t="shared" si="54"/>
        <v>-3046.35</v>
      </c>
      <c r="M91" s="3"/>
      <c r="N91" s="23">
        <f t="shared" si="55"/>
        <v>-1.1491324028668426</v>
      </c>
      <c r="O91" s="12"/>
      <c r="P91" s="3">
        <f>-395.35</f>
        <v>-395.35</v>
      </c>
      <c r="Q91" s="3"/>
      <c r="R91" s="23">
        <f t="shared" si="56"/>
        <v>-1.9010221185498262E-3</v>
      </c>
      <c r="S91" s="3"/>
      <c r="T91" s="3">
        <v>2651</v>
      </c>
      <c r="U91" s="3"/>
      <c r="V91" s="23">
        <f t="shared" si="57"/>
        <v>7.9536999255934524E-3</v>
      </c>
      <c r="W91" s="3"/>
      <c r="X91" s="3">
        <f t="shared" si="58"/>
        <v>-3046.35</v>
      </c>
      <c r="Y91" s="3"/>
      <c r="Z91" s="23">
        <f t="shared" si="59"/>
        <v>-1.1491324028668426</v>
      </c>
    </row>
    <row r="92" spans="1:26" x14ac:dyDescent="0.25">
      <c r="A92" s="9"/>
      <c r="B92" s="10"/>
      <c r="C92" s="10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10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22" customFormat="1" x14ac:dyDescent="0.25">
      <c r="A93" s="10"/>
      <c r="B93" s="25" t="s">
        <v>3</v>
      </c>
      <c r="C93" s="25"/>
      <c r="D93" s="21">
        <f>+D40-D42+D89</f>
        <v>11856.049999999947</v>
      </c>
      <c r="E93" s="13"/>
      <c r="F93" s="20">
        <f>IF(D$12=0,0,D93/D$12)</f>
        <v>5.700926593811196E-2</v>
      </c>
      <c r="G93" s="13"/>
      <c r="H93" s="21">
        <f>+H40-H42+H89</f>
        <v>56513.285731442309</v>
      </c>
      <c r="I93" s="13"/>
      <c r="J93" s="20">
        <f>IF(H$12=0,0,H93/H$12)</f>
        <v>0.16955477801479224</v>
      </c>
      <c r="K93" s="15"/>
      <c r="L93" s="21">
        <f>+D93-H93</f>
        <v>-44657.235731442364</v>
      </c>
      <c r="M93" s="15"/>
      <c r="N93" s="20">
        <f>IF(H93=0,0,L93/H93)</f>
        <v>-0.790207738825499</v>
      </c>
      <c r="O93" s="26"/>
      <c r="P93" s="21">
        <f>+P40-P42+P89</f>
        <v>11856.049999999947</v>
      </c>
      <c r="Q93" s="13"/>
      <c r="R93" s="20">
        <f>IF(P$12=0,0,P93/P$12)</f>
        <v>5.700926593811196E-2</v>
      </c>
      <c r="S93" s="13"/>
      <c r="T93" s="21">
        <f>+T40-T42+T89</f>
        <v>56513.285731442309</v>
      </c>
      <c r="U93" s="13"/>
      <c r="V93" s="20">
        <f>IF(T$12=0,0,T93/T$12)</f>
        <v>0.16955477801479224</v>
      </c>
      <c r="W93" s="15"/>
      <c r="X93" s="21">
        <f>+P93-T93</f>
        <v>-44657.235731442364</v>
      </c>
      <c r="Y93" s="15"/>
      <c r="Z93" s="20">
        <f>IF(T93=0,0,X93/T93)</f>
        <v>-0.790207738825499</v>
      </c>
    </row>
    <row r="94" spans="1:26" x14ac:dyDescent="0.25">
      <c r="A94" s="9"/>
      <c r="B94" s="10"/>
      <c r="C94" s="9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22" customFormat="1" x14ac:dyDescent="0.25">
      <c r="A95" s="52"/>
      <c r="B95" s="10" t="s">
        <v>14</v>
      </c>
      <c r="C95" s="10"/>
      <c r="D95" s="4">
        <v>100199.48000000001</v>
      </c>
      <c r="E95" s="4"/>
      <c r="F95" s="11">
        <f>IF(D$12=0,0,D95/D$12)</f>
        <v>0.48180454722952054</v>
      </c>
      <c r="G95" s="4"/>
      <c r="H95" s="4">
        <v>161905</v>
      </c>
      <c r="I95" s="4"/>
      <c r="J95" s="11">
        <f>IF(H$12=0,0,H95/H$12)</f>
        <v>0.48575774668170801</v>
      </c>
      <c r="K95" s="4"/>
      <c r="L95" s="4">
        <f>+D95-H95</f>
        <v>-61705.51999999999</v>
      </c>
      <c r="M95" s="4"/>
      <c r="N95" s="11">
        <f>IF(H95=0,0,L95/H95)</f>
        <v>-0.38112176893857502</v>
      </c>
      <c r="O95" s="10"/>
      <c r="P95" s="4">
        <v>100199.48000000001</v>
      </c>
      <c r="Q95" s="4"/>
      <c r="R95" s="11">
        <f>IF(P$12=0,0,P95/P$12)</f>
        <v>0.48180454722952054</v>
      </c>
      <c r="S95" s="4"/>
      <c r="T95" s="4">
        <v>161905</v>
      </c>
      <c r="U95" s="4"/>
      <c r="V95" s="11">
        <f>IF(T$12=0,0,T95/T$12)</f>
        <v>0.48575774668170801</v>
      </c>
      <c r="W95" s="4"/>
      <c r="X95" s="4">
        <f>+P95-T95</f>
        <v>-61705.51999999999</v>
      </c>
      <c r="Y95" s="4"/>
      <c r="Z95" s="11">
        <f>IF(T95=0,0,X95/T95)</f>
        <v>-0.38112176893857502</v>
      </c>
    </row>
    <row r="96" spans="1:26" x14ac:dyDescent="0.25">
      <c r="A96" s="9"/>
      <c r="B96" s="10"/>
      <c r="C96" s="10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10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2" customFormat="1" ht="15.75" thickBot="1" x14ac:dyDescent="0.3">
      <c r="A97" s="10"/>
      <c r="B97" s="25" t="s">
        <v>4</v>
      </c>
      <c r="C97" s="25"/>
      <c r="D97" s="34">
        <f>+D93-D95</f>
        <v>-88343.430000000066</v>
      </c>
      <c r="E97" s="13"/>
      <c r="F97" s="30">
        <f>IF(D$12=0,0,D97/D$12)</f>
        <v>-0.42479528129140859</v>
      </c>
      <c r="G97" s="13"/>
      <c r="H97" s="34">
        <f>+H93-H95</f>
        <v>-105391.7142685577</v>
      </c>
      <c r="I97" s="13"/>
      <c r="J97" s="30">
        <f>IF(H$12=0,0,H97/H$12)</f>
        <v>-0.31620296866691577</v>
      </c>
      <c r="K97" s="15"/>
      <c r="L97" s="34">
        <f>D97-H97</f>
        <v>17048.284268557632</v>
      </c>
      <c r="M97" s="15"/>
      <c r="N97" s="30">
        <f>IF(H97=0,0,L97/H97)</f>
        <v>-0.16176114400336475</v>
      </c>
      <c r="O97" s="26"/>
      <c r="P97" s="34">
        <f>+P93-P95</f>
        <v>-88343.430000000066</v>
      </c>
      <c r="Q97" s="13"/>
      <c r="R97" s="30">
        <f>IF(P$12=0,0,P97/P$12)</f>
        <v>-0.42479528129140859</v>
      </c>
      <c r="S97" s="13"/>
      <c r="T97" s="34">
        <f>+T93-T95</f>
        <v>-105391.7142685577</v>
      </c>
      <c r="U97" s="13"/>
      <c r="V97" s="30">
        <f>IF(T$12=0,0,T97/T$12)</f>
        <v>-0.31620296866691577</v>
      </c>
      <c r="W97" s="15"/>
      <c r="X97" s="34">
        <f>P97-T97</f>
        <v>17048.284268557632</v>
      </c>
      <c r="Y97" s="15"/>
      <c r="Z97" s="30">
        <f>IF(T97=0,0,X97/T97)</f>
        <v>-0.16176114400336475</v>
      </c>
    </row>
    <row r="98" spans="1:26" ht="15.75" thickTop="1" x14ac:dyDescent="0.25">
      <c r="A98" s="9"/>
      <c r="B98" s="9"/>
      <c r="C98" s="9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x14ac:dyDescent="0.25">
      <c r="A99" s="9"/>
      <c r="B99" s="9"/>
      <c r="C99" s="9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s="22" customFormat="1" ht="15.75" thickBot="1" x14ac:dyDescent="0.3">
      <c r="A100" s="10"/>
      <c r="B100" s="25" t="s">
        <v>5</v>
      </c>
      <c r="C100" s="25"/>
      <c r="D100" s="32">
        <f>SUM(D97:D99)</f>
        <v>-88343.430000000066</v>
      </c>
      <c r="E100" s="13"/>
      <c r="F100" s="33">
        <f>IF(D$12=0,0,D100/D$12)</f>
        <v>-0.42479528129140859</v>
      </c>
      <c r="G100" s="13"/>
      <c r="H100" s="32">
        <f>SUM(H97:H99)</f>
        <v>-105391.7142685577</v>
      </c>
      <c r="I100" s="13"/>
      <c r="J100" s="33">
        <f>IF(H$12=0,0,H100/H$12)</f>
        <v>-0.31620296866691577</v>
      </c>
      <c r="K100" s="15"/>
      <c r="L100" s="32">
        <f>+D100-H100</f>
        <v>17048.284268557632</v>
      </c>
      <c r="M100" s="15"/>
      <c r="N100" s="33">
        <f>IF(H100=0,0,L100/H100)</f>
        <v>-0.16176114400336475</v>
      </c>
      <c r="O100" s="26"/>
      <c r="P100" s="32">
        <f>SUM(P97:P99)</f>
        <v>-88343.430000000066</v>
      </c>
      <c r="Q100" s="13"/>
      <c r="R100" s="33">
        <f>IF(P$12=0,0,P100/P$12)</f>
        <v>-0.42479528129140859</v>
      </c>
      <c r="S100" s="13"/>
      <c r="T100" s="32">
        <f>SUM(T97:T99)</f>
        <v>-105391.7142685577</v>
      </c>
      <c r="U100" s="13"/>
      <c r="V100" s="33">
        <f>IF(T$12=0,0,T100/T$12)</f>
        <v>-0.31620296866691577</v>
      </c>
      <c r="W100" s="15"/>
      <c r="X100" s="32">
        <f>+P100-T100</f>
        <v>17048.284268557632</v>
      </c>
      <c r="Y100" s="15"/>
      <c r="Z100" s="33">
        <f>IF(T100=0,0,X100/T100)</f>
        <v>-0.16176114400336475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8">
        <v>44104.686042210647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6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2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","318", " - ", "E-Commerce")</f>
        <v>Department 318 - E-Commerce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SUM(0)</f>
        <v>0</v>
      </c>
      <c r="E18" s="19"/>
      <c r="F18" s="31">
        <f>IF(D$12=0,0,D18/D$12)</f>
        <v>0</v>
      </c>
      <c r="G18" s="19"/>
      <c r="H18" s="19">
        <f>SUM(0)</f>
        <v>0</v>
      </c>
      <c r="I18" s="19"/>
      <c r="J18" s="31">
        <f>IF(H$12=0,0,H18/H$12)</f>
        <v>0</v>
      </c>
      <c r="K18" s="4"/>
      <c r="L18" s="19">
        <f>+D18-H18</f>
        <v>0</v>
      </c>
      <c r="M18" s="4"/>
      <c r="N18" s="31">
        <f>IF(H18=0,0,L18/H18)</f>
        <v>0</v>
      </c>
      <c r="O18" s="10"/>
      <c r="P18" s="19">
        <f>SUM(0)</f>
        <v>0</v>
      </c>
      <c r="Q18" s="19"/>
      <c r="R18" s="31">
        <f>IF(P$12=0,0,P18/P$12)</f>
        <v>0</v>
      </c>
      <c r="S18" s="19"/>
      <c r="T18" s="19">
        <f>SUM(0)</f>
        <v>0</v>
      </c>
      <c r="U18" s="19"/>
      <c r="V18" s="31">
        <f>IF(T$12=0,0,T18/T$12)</f>
        <v>0</v>
      </c>
      <c r="W18" s="4"/>
      <c r="X18" s="19">
        <f>+P18-T18</f>
        <v>0</v>
      </c>
      <c r="Y18" s="4"/>
      <c r="Z18" s="31">
        <f>IF(T18=0,0,X18/T18)</f>
        <v>0</v>
      </c>
    </row>
    <row r="19" spans="1:26" s="54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0</v>
      </c>
      <c r="C20" s="10"/>
      <c r="D20" s="4">
        <f>SUM(0)</f>
        <v>0</v>
      </c>
      <c r="E20" s="4"/>
      <c r="F20" s="11">
        <f>IF(D$12=0,0,D20/D$12)</f>
        <v>0</v>
      </c>
      <c r="G20" s="4"/>
      <c r="H20" s="4">
        <f>SUM(0)</f>
        <v>0</v>
      </c>
      <c r="I20" s="4"/>
      <c r="J20" s="11">
        <f>IF(H$12=0,0,H20/H$12)</f>
        <v>0</v>
      </c>
      <c r="K20" s="4"/>
      <c r="L20" s="4">
        <f>+D20-H20</f>
        <v>0</v>
      </c>
      <c r="M20" s="4"/>
      <c r="N20" s="11">
        <f>IF(H20=0,0,L20/H20)</f>
        <v>0</v>
      </c>
      <c r="O20" s="10"/>
      <c r="P20" s="4">
        <f>SUM(0)</f>
        <v>0</v>
      </c>
      <c r="Q20" s="4"/>
      <c r="R20" s="11">
        <f>IF(P$12=0,0,P20/P$12)</f>
        <v>0</v>
      </c>
      <c r="S20" s="4"/>
      <c r="T20" s="4">
        <f>SUM(0)</f>
        <v>0</v>
      </c>
      <c r="U20" s="4"/>
      <c r="V20" s="11">
        <f>IF(T$12=0,0,T20/T$12)</f>
        <v>0</v>
      </c>
      <c r="W20" s="4"/>
      <c r="X20" s="4">
        <f>+P20-T20</f>
        <v>0</v>
      </c>
      <c r="Y20" s="4"/>
      <c r="Z20" s="11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2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2" customFormat="1" x14ac:dyDescent="0.25">
      <c r="A24" s="52"/>
      <c r="B24" s="10" t="s">
        <v>14</v>
      </c>
      <c r="C24" s="10"/>
      <c r="D24" s="4"/>
      <c r="E24" s="4"/>
      <c r="F24" s="11">
        <f>IF(D$12=0,0,D24/D$12)</f>
        <v>0</v>
      </c>
      <c r="G24" s="4"/>
      <c r="H24" s="4"/>
      <c r="I24" s="4"/>
      <c r="J24" s="11">
        <f>IF(H$12=0,0,H24/H$12)</f>
        <v>0</v>
      </c>
      <c r="K24" s="4"/>
      <c r="L24" s="4">
        <f>+D24-H24</f>
        <v>0</v>
      </c>
      <c r="M24" s="4"/>
      <c r="N24" s="11">
        <f>IF(H24=0,0,L24/H24)</f>
        <v>0</v>
      </c>
      <c r="O24" s="10"/>
      <c r="P24" s="4"/>
      <c r="Q24" s="4"/>
      <c r="R24" s="11">
        <f>IF(P$12=0,0,P24/P$12)</f>
        <v>0</v>
      </c>
      <c r="S24" s="4"/>
      <c r="T24" s="4"/>
      <c r="U24" s="4"/>
      <c r="V24" s="11">
        <f>IF(T$12=0,0,T24/T$12)</f>
        <v>0</v>
      </c>
      <c r="W24" s="4"/>
      <c r="X24" s="4">
        <f>+P24-T24</f>
        <v>0</v>
      </c>
      <c r="Y24" s="4"/>
      <c r="Z24" s="11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2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0">
        <f>IF(D$12=0,0,D26/D$12)</f>
        <v>0</v>
      </c>
      <c r="G26" s="13"/>
      <c r="H26" s="34">
        <f>+H22-H24</f>
        <v>0</v>
      </c>
      <c r="I26" s="13"/>
      <c r="J26" s="30">
        <f>IF(H$12=0,0,H26/H$12)</f>
        <v>0</v>
      </c>
      <c r="K26" s="15"/>
      <c r="L26" s="34">
        <f>D26-H26</f>
        <v>0</v>
      </c>
      <c r="M26" s="15"/>
      <c r="N26" s="30">
        <f>IF(H26=0,0,L26/H26)</f>
        <v>0</v>
      </c>
      <c r="O26" s="26"/>
      <c r="P26" s="34">
        <f>+P22-P24</f>
        <v>0</v>
      </c>
      <c r="Q26" s="13"/>
      <c r="R26" s="30">
        <f>IF(P$12=0,0,P26/P$12)</f>
        <v>0</v>
      </c>
      <c r="S26" s="13"/>
      <c r="T26" s="34">
        <f>+T22-T24</f>
        <v>0</v>
      </c>
      <c r="U26" s="13"/>
      <c r="V26" s="30">
        <f>IF(T$12=0,0,T26/T$12)</f>
        <v>0</v>
      </c>
      <c r="W26" s="15"/>
      <c r="X26" s="34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x14ac:dyDescent="0.25">
      <c r="A28" s="9"/>
      <c r="B28" s="9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ht="15.75" thickBot="1" x14ac:dyDescent="0.3">
      <c r="A29" s="10"/>
      <c r="B29" s="25" t="s">
        <v>5</v>
      </c>
      <c r="C29" s="25"/>
      <c r="D29" s="32">
        <f>SUM(D26:D28)</f>
        <v>0</v>
      </c>
      <c r="E29" s="13"/>
      <c r="F29" s="33">
        <f>IF(D$12=0,0,D29/D$12)</f>
        <v>0</v>
      </c>
      <c r="G29" s="13"/>
      <c r="H29" s="32">
        <f>SUM(H26:H28)</f>
        <v>0</v>
      </c>
      <c r="I29" s="13"/>
      <c r="J29" s="33">
        <f>IF(H$12=0,0,H29/H$12)</f>
        <v>0</v>
      </c>
      <c r="K29" s="15"/>
      <c r="L29" s="32">
        <f>+D29-H29</f>
        <v>0</v>
      </c>
      <c r="M29" s="15"/>
      <c r="N29" s="33">
        <f>IF(H29=0,0,L29/H29)</f>
        <v>0</v>
      </c>
      <c r="O29" s="26"/>
      <c r="P29" s="32">
        <f>SUM(P26:P28)</f>
        <v>0</v>
      </c>
      <c r="Q29" s="13"/>
      <c r="R29" s="33">
        <f>IF(P$12=0,0,P29/P$12)</f>
        <v>0</v>
      </c>
      <c r="S29" s="13"/>
      <c r="T29" s="32">
        <f>SUM(T26:T28)</f>
        <v>0</v>
      </c>
      <c r="U29" s="13"/>
      <c r="V29" s="33">
        <f>IF(T$12=0,0,T29/T$12)</f>
        <v>0</v>
      </c>
      <c r="W29" s="15"/>
      <c r="X29" s="32">
        <f>+P29-T29</f>
        <v>0</v>
      </c>
      <c r="Y29" s="15"/>
      <c r="Z29" s="33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8">
        <v>44104.686056909719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56" t="s">
        <v>314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62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50</v>
      </c>
      <c r="I12" s="4"/>
      <c r="J12" s="11"/>
      <c r="K12" s="4"/>
      <c r="L12" s="4">
        <f t="shared" ref="L12:L13" si="0">+D12-H12</f>
        <v>-50</v>
      </c>
      <c r="M12" s="4"/>
      <c r="N12" s="11">
        <f t="shared" ref="N12:N13" si="1">IF(H12=0,0,L12/H12)</f>
        <v>-1</v>
      </c>
      <c r="O12" s="10"/>
      <c r="P12" s="4">
        <f>SUM(OSRRefP13x_0)</f>
        <v>0</v>
      </c>
      <c r="Q12" s="4"/>
      <c r="R12" s="11"/>
      <c r="S12" s="4"/>
      <c r="T12" s="4">
        <f>SUM(OSRRefT13x_0)</f>
        <v>50</v>
      </c>
      <c r="U12" s="4"/>
      <c r="V12" s="11"/>
      <c r="W12" s="4"/>
      <c r="X12" s="4">
        <f t="shared" ref="X12:X13" si="2">+P12-T12</f>
        <v>-50</v>
      </c>
      <c r="Y12" s="4"/>
      <c r="Z12" s="11">
        <f t="shared" ref="Z12:Z13" si="3">IF(T12=0,0,X12/T12)</f>
        <v>-1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50</v>
      </c>
      <c r="I13" s="3"/>
      <c r="J13" s="23"/>
      <c r="K13" s="3"/>
      <c r="L13" s="3">
        <f t="shared" si="0"/>
        <v>-50</v>
      </c>
      <c r="M13" s="3"/>
      <c r="N13" s="23">
        <f t="shared" si="1"/>
        <v>-1</v>
      </c>
      <c r="O13" s="12"/>
      <c r="P13" s="3">
        <f>0</f>
        <v>0</v>
      </c>
      <c r="Q13" s="3"/>
      <c r="R13" s="23"/>
      <c r="S13" s="3"/>
      <c r="T13" s="3">
        <v>50</v>
      </c>
      <c r="U13" s="3"/>
      <c r="V13" s="23"/>
      <c r="W13" s="3"/>
      <c r="X13" s="3">
        <f t="shared" si="2"/>
        <v>-50</v>
      </c>
      <c r="Y13" s="3"/>
      <c r="Z13" s="23">
        <f t="shared" si="3"/>
        <v>-1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>
        <f>SUM(OSRRefD16x_0)</f>
        <v>-226.87</v>
      </c>
      <c r="E15" s="4"/>
      <c r="F15" s="11">
        <f t="shared" ref="F15:F17" si="4">IF(D$12=0,0,D15/D$12)</f>
        <v>0</v>
      </c>
      <c r="G15" s="4"/>
      <c r="H15" s="4">
        <f>SUM(OSRRefH16x_0)</f>
        <v>25</v>
      </c>
      <c r="I15" s="4"/>
      <c r="J15" s="11">
        <f t="shared" ref="J15:J17" si="5">IF(H$12=0,0,H15/H$12)</f>
        <v>0.5</v>
      </c>
      <c r="K15" s="4"/>
      <c r="L15" s="4">
        <f t="shared" ref="L15:L17" si="6">+D15-H15</f>
        <v>-251.87</v>
      </c>
      <c r="M15" s="4"/>
      <c r="N15" s="11">
        <f t="shared" ref="N15:N17" si="7">IF(H15=0,0,L15/H15)</f>
        <v>-10.0748</v>
      </c>
      <c r="O15" s="10"/>
      <c r="P15" s="4">
        <f>SUM(OSRRefP16x_0)</f>
        <v>-226.87</v>
      </c>
      <c r="Q15" s="4"/>
      <c r="R15" s="11">
        <f t="shared" ref="R15:R17" si="8">IF(P$12=0,0,P15/P$12)</f>
        <v>0</v>
      </c>
      <c r="S15" s="4"/>
      <c r="T15" s="4">
        <f>SUM(OSRRefT16x_0)</f>
        <v>25</v>
      </c>
      <c r="U15" s="4"/>
      <c r="V15" s="11">
        <f t="shared" ref="V15:V17" si="9">IF(T$12=0,0,T15/T$12)</f>
        <v>0.5</v>
      </c>
      <c r="W15" s="4"/>
      <c r="X15" s="4">
        <f t="shared" ref="X15:X17" si="10">+P15-T15</f>
        <v>-251.87</v>
      </c>
      <c r="Y15" s="4"/>
      <c r="Z15" s="11">
        <f t="shared" ref="Z15:Z17" si="11">IF(T15=0,0,X15/T15)</f>
        <v>-10.0748</v>
      </c>
    </row>
    <row r="16" spans="1:26" s="24" customFormat="1" hidden="1" outlineLevel="1" x14ac:dyDescent="0.25">
      <c r="A16" s="51"/>
      <c r="B16" s="12" t="str">
        <f>CONCATENATE("          ", "5000", " - ", "PURCHASES @ COST")</f>
        <v xml:space="preserve">          5000 - PURCHASES @ COST</v>
      </c>
      <c r="C16" s="12"/>
      <c r="D16" s="3"/>
      <c r="E16" s="3"/>
      <c r="F16" s="23">
        <f t="shared" si="4"/>
        <v>0</v>
      </c>
      <c r="G16" s="3"/>
      <c r="H16" s="3">
        <v>25</v>
      </c>
      <c r="I16" s="3"/>
      <c r="J16" s="23">
        <f t="shared" si="5"/>
        <v>0.5</v>
      </c>
      <c r="K16" s="3"/>
      <c r="L16" s="3">
        <f t="shared" si="6"/>
        <v>-25</v>
      </c>
      <c r="M16" s="3"/>
      <c r="N16" s="23">
        <f t="shared" si="7"/>
        <v>-1</v>
      </c>
      <c r="O16" s="12"/>
      <c r="P16" s="3"/>
      <c r="Q16" s="3"/>
      <c r="R16" s="23">
        <f t="shared" si="8"/>
        <v>0</v>
      </c>
      <c r="S16" s="3"/>
      <c r="T16" s="3">
        <v>25</v>
      </c>
      <c r="U16" s="3"/>
      <c r="V16" s="23">
        <f t="shared" si="9"/>
        <v>0.5</v>
      </c>
      <c r="W16" s="3"/>
      <c r="X16" s="3">
        <f t="shared" si="10"/>
        <v>-25</v>
      </c>
      <c r="Y16" s="3"/>
      <c r="Z16" s="23">
        <f t="shared" si="11"/>
        <v>-1</v>
      </c>
    </row>
    <row r="17" spans="1:26" s="24" customFormat="1" hidden="1" outlineLevel="1" x14ac:dyDescent="0.25">
      <c r="A17" s="51"/>
      <c r="B17" s="12" t="str">
        <f>CONCATENATE("          ", "5053", " - ", "PURCHASES @ COST-FOOD")</f>
        <v xml:space="preserve">          5053 - PURCHASES @ COST-FOOD</v>
      </c>
      <c r="C17" s="12"/>
      <c r="D17" s="3">
        <v>-226.87</v>
      </c>
      <c r="E17" s="3"/>
      <c r="F17" s="23">
        <f t="shared" si="4"/>
        <v>0</v>
      </c>
      <c r="G17" s="3"/>
      <c r="H17" s="3"/>
      <c r="I17" s="3"/>
      <c r="J17" s="23">
        <f t="shared" si="5"/>
        <v>0</v>
      </c>
      <c r="K17" s="3"/>
      <c r="L17" s="3">
        <f t="shared" si="6"/>
        <v>-226.87</v>
      </c>
      <c r="M17" s="3"/>
      <c r="N17" s="23">
        <f t="shared" si="7"/>
        <v>0</v>
      </c>
      <c r="O17" s="12"/>
      <c r="P17" s="3">
        <v>-226.87</v>
      </c>
      <c r="Q17" s="3"/>
      <c r="R17" s="23">
        <f t="shared" si="8"/>
        <v>0</v>
      </c>
      <c r="S17" s="3"/>
      <c r="T17" s="3"/>
      <c r="U17" s="3"/>
      <c r="V17" s="23">
        <f t="shared" si="9"/>
        <v>0</v>
      </c>
      <c r="W17" s="3"/>
      <c r="X17" s="3">
        <f t="shared" si="10"/>
        <v>-226.87</v>
      </c>
      <c r="Y17" s="3"/>
      <c r="Z17" s="23">
        <f t="shared" si="11"/>
        <v>0</v>
      </c>
    </row>
    <row r="18" spans="1:26" x14ac:dyDescent="0.25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2" customFormat="1" x14ac:dyDescent="0.25">
      <c r="A19" s="10"/>
      <c r="B19" s="25" t="s">
        <v>6</v>
      </c>
      <c r="C19" s="25"/>
      <c r="D19" s="21">
        <f>D12-D15</f>
        <v>226.87</v>
      </c>
      <c r="E19" s="13"/>
      <c r="F19" s="20">
        <f>IF(D$12=0,0,D19/D$12)</f>
        <v>0</v>
      </c>
      <c r="G19" s="13"/>
      <c r="H19" s="21">
        <f>H12-H15</f>
        <v>25</v>
      </c>
      <c r="I19" s="13"/>
      <c r="J19" s="20">
        <f>IF(H$12=0,0,H19/H$12)</f>
        <v>0.5</v>
      </c>
      <c r="K19" s="15"/>
      <c r="L19" s="21">
        <f>+D19-H19</f>
        <v>201.87</v>
      </c>
      <c r="M19" s="15"/>
      <c r="N19" s="20">
        <f>IF(H19=0,0,L19/H19)</f>
        <v>8.0747999999999998</v>
      </c>
      <c r="O19" s="26"/>
      <c r="P19" s="21">
        <f>P12-P15</f>
        <v>226.87</v>
      </c>
      <c r="Q19" s="13"/>
      <c r="R19" s="20">
        <f>IF(P$12=0,0,P19/P$12)</f>
        <v>0</v>
      </c>
      <c r="S19" s="13"/>
      <c r="T19" s="21">
        <f>T12-T15</f>
        <v>25</v>
      </c>
      <c r="U19" s="13"/>
      <c r="V19" s="20">
        <f>IF(T$12=0,0,T19/T$12)</f>
        <v>0.5</v>
      </c>
      <c r="W19" s="15"/>
      <c r="X19" s="21">
        <f>+P19-T19</f>
        <v>201.87</v>
      </c>
      <c r="Y19" s="15"/>
      <c r="Z19" s="20">
        <f>IF(T19=0,0,X19/T19)</f>
        <v>8.0747999999999998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2" customFormat="1" x14ac:dyDescent="0.25">
      <c r="A21" s="10"/>
      <c r="B21" s="26" t="s">
        <v>9</v>
      </c>
      <c r="C21" s="10"/>
      <c r="D21" s="19">
        <f>SUM(OSRRefD22x_0)</f>
        <v>35275.079999999994</v>
      </c>
      <c r="E21" s="19"/>
      <c r="F21" s="31">
        <f t="shared" ref="F21:F31" si="12">IF(D$12=0,0,D21/D$12)</f>
        <v>0</v>
      </c>
      <c r="G21" s="19"/>
      <c r="H21" s="19">
        <f>SUM(OSRRefH22x_0)</f>
        <v>38017.981724999998</v>
      </c>
      <c r="I21" s="19"/>
      <c r="J21" s="31">
        <f t="shared" ref="J21:J31" si="13">IF(H$12=0,0,H21/H$12)</f>
        <v>760.35963449999997</v>
      </c>
      <c r="K21" s="4"/>
      <c r="L21" s="19">
        <f t="shared" ref="L21:L31" si="14">+D21-H21</f>
        <v>-2742.9017250000034</v>
      </c>
      <c r="M21" s="4"/>
      <c r="N21" s="31">
        <f t="shared" ref="N21:N31" si="15">IF(H21=0,0,L21/H21)</f>
        <v>-7.2147483915389346E-2</v>
      </c>
      <c r="O21" s="10"/>
      <c r="P21" s="19">
        <f>SUM(OSRRefP22x_0)</f>
        <v>35275.079999999994</v>
      </c>
      <c r="Q21" s="19"/>
      <c r="R21" s="31">
        <f t="shared" ref="R21:R31" si="16">IF(P$12=0,0,P21/P$12)</f>
        <v>0</v>
      </c>
      <c r="S21" s="19"/>
      <c r="T21" s="19">
        <f>SUM(OSRRefT22x_0)</f>
        <v>38017.981724999998</v>
      </c>
      <c r="U21" s="19"/>
      <c r="V21" s="31">
        <f t="shared" ref="V21:V31" si="17">IF(T$12=0,0,T21/T$12)</f>
        <v>760.35963449999997</v>
      </c>
      <c r="W21" s="4"/>
      <c r="X21" s="19">
        <f t="shared" ref="X21:X31" si="18">+P21-T21</f>
        <v>-2742.9017250000034</v>
      </c>
      <c r="Y21" s="4"/>
      <c r="Z21" s="31">
        <f t="shared" ref="Z21:Z31" si="19">IF(T21=0,0,X21/T21)</f>
        <v>-7.2147483915389346E-2</v>
      </c>
    </row>
    <row r="22" spans="1:26" s="29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8995.1999999999989</v>
      </c>
      <c r="E22" s="1"/>
      <c r="F22" s="5">
        <f t="shared" si="12"/>
        <v>0</v>
      </c>
      <c r="G22" s="1"/>
      <c r="H22" s="1">
        <f>SUM(OSRRefH22_0x_0)</f>
        <v>7235.3567249999996</v>
      </c>
      <c r="I22" s="1"/>
      <c r="J22" s="5">
        <f t="shared" si="13"/>
        <v>144.7071345</v>
      </c>
      <c r="K22" s="1"/>
      <c r="L22" s="1">
        <f t="shared" si="14"/>
        <v>1759.8432749999993</v>
      </c>
      <c r="M22" s="1"/>
      <c r="N22" s="5">
        <f t="shared" si="15"/>
        <v>0.24322826667540698</v>
      </c>
      <c r="O22" s="14"/>
      <c r="P22" s="1">
        <f>SUM(OSRRefP22_0x_0)</f>
        <v>8995.1999999999989</v>
      </c>
      <c r="Q22" s="1"/>
      <c r="R22" s="5">
        <f t="shared" si="16"/>
        <v>0</v>
      </c>
      <c r="S22" s="1"/>
      <c r="T22" s="1">
        <f>SUM(OSRRefT22_0x_0)</f>
        <v>7235.3567249999996</v>
      </c>
      <c r="U22" s="1"/>
      <c r="V22" s="5">
        <f t="shared" si="17"/>
        <v>144.7071345</v>
      </c>
      <c r="W22" s="1"/>
      <c r="X22" s="1">
        <f t="shared" si="18"/>
        <v>1759.8432749999993</v>
      </c>
      <c r="Y22" s="1"/>
      <c r="Z22" s="5">
        <f t="shared" si="19"/>
        <v>0.24322826667540698</v>
      </c>
    </row>
    <row r="23" spans="1:26" s="24" customFormat="1" hidden="1" outlineLevel="2" x14ac:dyDescent="0.25">
      <c r="A23" s="27"/>
      <c r="B23" s="12" t="str">
        <f>CONCATENATE("          ", "6111", " - ", "F.I.C.A.")</f>
        <v xml:space="preserve">          6111 - F.I.C.A.</v>
      </c>
      <c r="C23" s="12"/>
      <c r="D23" s="7">
        <v>861.18</v>
      </c>
      <c r="E23" s="3"/>
      <c r="F23" s="8">
        <f t="shared" si="12"/>
        <v>0</v>
      </c>
      <c r="G23" s="3"/>
      <c r="H23" s="7">
        <v>930.41347500000006</v>
      </c>
      <c r="I23" s="3"/>
      <c r="J23" s="8">
        <f t="shared" si="13"/>
        <v>18.608269500000002</v>
      </c>
      <c r="K23" s="3"/>
      <c r="L23" s="7">
        <f t="shared" si="14"/>
        <v>-69.233475000000112</v>
      </c>
      <c r="M23" s="3"/>
      <c r="N23" s="8">
        <f t="shared" si="15"/>
        <v>-7.4411513655259678E-2</v>
      </c>
      <c r="O23" s="12"/>
      <c r="P23" s="7">
        <v>861.18</v>
      </c>
      <c r="Q23" s="3"/>
      <c r="R23" s="8">
        <f t="shared" si="16"/>
        <v>0</v>
      </c>
      <c r="S23" s="3"/>
      <c r="T23" s="7">
        <v>930.41347500000006</v>
      </c>
      <c r="U23" s="3"/>
      <c r="V23" s="8">
        <f t="shared" si="17"/>
        <v>18.608269500000002</v>
      </c>
      <c r="W23" s="3"/>
      <c r="X23" s="7">
        <f t="shared" si="18"/>
        <v>-69.233475000000112</v>
      </c>
      <c r="Y23" s="3"/>
      <c r="Z23" s="8">
        <f t="shared" si="19"/>
        <v>-7.4411513655259678E-2</v>
      </c>
    </row>
    <row r="24" spans="1:26" s="24" customFormat="1" hidden="1" outlineLevel="2" x14ac:dyDescent="0.25">
      <c r="A24" s="27"/>
      <c r="B24" s="12" t="str">
        <f>CONCATENATE("          ", "6112", " - ", "COMPENSATION INSURANCE")</f>
        <v xml:space="preserve">          6112 - COMPENSATION INSURANCE</v>
      </c>
      <c r="C24" s="12"/>
      <c r="D24" s="7">
        <v>169.78</v>
      </c>
      <c r="E24" s="3"/>
      <c r="F24" s="8">
        <f t="shared" si="12"/>
        <v>0</v>
      </c>
      <c r="G24" s="3"/>
      <c r="H24" s="7">
        <v>224.91374999999999</v>
      </c>
      <c r="I24" s="3"/>
      <c r="J24" s="8">
        <f t="shared" si="13"/>
        <v>4.4982749999999996</v>
      </c>
      <c r="K24" s="3"/>
      <c r="L24" s="7">
        <f t="shared" si="14"/>
        <v>-55.133749999999992</v>
      </c>
      <c r="M24" s="3"/>
      <c r="N24" s="8">
        <f t="shared" si="15"/>
        <v>-0.24513285648387434</v>
      </c>
      <c r="O24" s="12"/>
      <c r="P24" s="7">
        <v>169.78</v>
      </c>
      <c r="Q24" s="3"/>
      <c r="R24" s="8">
        <f t="shared" si="16"/>
        <v>0</v>
      </c>
      <c r="S24" s="3"/>
      <c r="T24" s="7">
        <v>224.91374999999999</v>
      </c>
      <c r="U24" s="3"/>
      <c r="V24" s="8">
        <f t="shared" si="17"/>
        <v>4.4982749999999996</v>
      </c>
      <c r="W24" s="3"/>
      <c r="X24" s="7">
        <f t="shared" si="18"/>
        <v>-55.133749999999992</v>
      </c>
      <c r="Y24" s="3"/>
      <c r="Z24" s="8">
        <f t="shared" si="19"/>
        <v>-0.24513285648387434</v>
      </c>
    </row>
    <row r="25" spans="1:26" s="24" customFormat="1" hidden="1" outlineLevel="2" x14ac:dyDescent="0.25">
      <c r="A25" s="27"/>
      <c r="B25" s="12" t="str">
        <f>CONCATENATE("          ", "6113", " - ", "GROUP INSURANCE")</f>
        <v xml:space="preserve">          6113 - GROUP INSURANCE</v>
      </c>
      <c r="C25" s="12"/>
      <c r="D25" s="7">
        <v>4620.57</v>
      </c>
      <c r="E25" s="3"/>
      <c r="F25" s="8">
        <f t="shared" si="12"/>
        <v>0</v>
      </c>
      <c r="G25" s="3"/>
      <c r="H25" s="7">
        <v>3960</v>
      </c>
      <c r="I25" s="3"/>
      <c r="J25" s="8">
        <f t="shared" si="13"/>
        <v>79.2</v>
      </c>
      <c r="K25" s="3"/>
      <c r="L25" s="7">
        <f t="shared" si="14"/>
        <v>660.56999999999971</v>
      </c>
      <c r="M25" s="3"/>
      <c r="N25" s="8">
        <f t="shared" si="15"/>
        <v>0.16681060606060599</v>
      </c>
      <c r="O25" s="12"/>
      <c r="P25" s="7">
        <v>4620.57</v>
      </c>
      <c r="Q25" s="3"/>
      <c r="R25" s="8">
        <f t="shared" si="16"/>
        <v>0</v>
      </c>
      <c r="S25" s="3"/>
      <c r="T25" s="7">
        <v>3960</v>
      </c>
      <c r="U25" s="3"/>
      <c r="V25" s="8">
        <f t="shared" si="17"/>
        <v>79.2</v>
      </c>
      <c r="W25" s="3"/>
      <c r="X25" s="7">
        <f t="shared" si="18"/>
        <v>660.56999999999971</v>
      </c>
      <c r="Y25" s="3"/>
      <c r="Z25" s="8">
        <f t="shared" si="19"/>
        <v>0.16681060606060599</v>
      </c>
    </row>
    <row r="26" spans="1:26" s="24" customFormat="1" hidden="1" outlineLevel="2" x14ac:dyDescent="0.25">
      <c r="A26" s="27"/>
      <c r="B26" s="12" t="str">
        <f>CONCATENATE("          ", "6114", " - ", "STATE UNEMPLOYMENT INSURANCE")</f>
        <v xml:space="preserve">          6114 - STATE UNEMPLOYMENT INSURANCE</v>
      </c>
      <c r="C26" s="12"/>
      <c r="D26" s="7">
        <v>23.86</v>
      </c>
      <c r="E26" s="3"/>
      <c r="F26" s="8">
        <f t="shared" si="12"/>
        <v>0</v>
      </c>
      <c r="G26" s="3"/>
      <c r="H26" s="7">
        <v>31.609500000000001</v>
      </c>
      <c r="I26" s="3"/>
      <c r="J26" s="8">
        <f t="shared" si="13"/>
        <v>0.63219000000000003</v>
      </c>
      <c r="K26" s="3"/>
      <c r="L26" s="7">
        <f t="shared" si="14"/>
        <v>-7.7495000000000012</v>
      </c>
      <c r="M26" s="3"/>
      <c r="N26" s="8">
        <f t="shared" si="15"/>
        <v>-0.24516363751403852</v>
      </c>
      <c r="O26" s="12"/>
      <c r="P26" s="7">
        <v>23.86</v>
      </c>
      <c r="Q26" s="3"/>
      <c r="R26" s="8">
        <f t="shared" si="16"/>
        <v>0</v>
      </c>
      <c r="S26" s="3"/>
      <c r="T26" s="7">
        <v>31.609500000000001</v>
      </c>
      <c r="U26" s="3"/>
      <c r="V26" s="8">
        <f t="shared" si="17"/>
        <v>0.63219000000000003</v>
      </c>
      <c r="W26" s="3"/>
      <c r="X26" s="7">
        <f t="shared" si="18"/>
        <v>-7.7495000000000012</v>
      </c>
      <c r="Y26" s="3"/>
      <c r="Z26" s="8">
        <f t="shared" si="19"/>
        <v>-0.24516363751403852</v>
      </c>
    </row>
    <row r="27" spans="1:26" s="24" customFormat="1" hidden="1" outlineLevel="2" x14ac:dyDescent="0.25">
      <c r="A27" s="27"/>
      <c r="B27" s="12" t="str">
        <f>CONCATENATE("          ", "6115", " - ", "P.E.R.S.")</f>
        <v xml:space="preserve">          6115 - P.E.R.S.</v>
      </c>
      <c r="C27" s="12"/>
      <c r="D27" s="7">
        <v>1862.33</v>
      </c>
      <c r="E27" s="3"/>
      <c r="F27" s="8">
        <f t="shared" si="12"/>
        <v>0</v>
      </c>
      <c r="G27" s="3"/>
      <c r="H27" s="7">
        <v>1045.5450000000001</v>
      </c>
      <c r="I27" s="3"/>
      <c r="J27" s="8">
        <f t="shared" si="13"/>
        <v>20.910900000000002</v>
      </c>
      <c r="K27" s="3"/>
      <c r="L27" s="7">
        <f t="shared" si="14"/>
        <v>816.78499999999985</v>
      </c>
      <c r="M27" s="3"/>
      <c r="N27" s="8">
        <f t="shared" si="15"/>
        <v>0.78120501747892224</v>
      </c>
      <c r="O27" s="12"/>
      <c r="P27" s="7">
        <v>1862.33</v>
      </c>
      <c r="Q27" s="3"/>
      <c r="R27" s="8">
        <f t="shared" si="16"/>
        <v>0</v>
      </c>
      <c r="S27" s="3"/>
      <c r="T27" s="7">
        <v>1045.5450000000001</v>
      </c>
      <c r="U27" s="3"/>
      <c r="V27" s="8">
        <f t="shared" si="17"/>
        <v>20.910900000000002</v>
      </c>
      <c r="W27" s="3"/>
      <c r="X27" s="7">
        <f t="shared" si="18"/>
        <v>816.78499999999985</v>
      </c>
      <c r="Y27" s="3"/>
      <c r="Z27" s="8">
        <f t="shared" si="19"/>
        <v>0.78120501747892224</v>
      </c>
    </row>
    <row r="28" spans="1:26" s="24" customFormat="1" hidden="1" outlineLevel="2" x14ac:dyDescent="0.25">
      <c r="A28" s="27"/>
      <c r="B28" s="12" t="str">
        <f>CONCATENATE("          ", "6116", " - ", "EDUCATIONAL BENEFITS")</f>
        <v xml:space="preserve">          6116 - EDUCATIONAL BENEFITS</v>
      </c>
      <c r="C28" s="12"/>
      <c r="D28" s="7"/>
      <c r="E28" s="3"/>
      <c r="F28" s="8">
        <f t="shared" si="12"/>
        <v>0</v>
      </c>
      <c r="G28" s="3"/>
      <c r="H28" s="7">
        <v>0</v>
      </c>
      <c r="I28" s="3"/>
      <c r="J28" s="8">
        <f t="shared" si="13"/>
        <v>0</v>
      </c>
      <c r="K28" s="3"/>
      <c r="L28" s="7">
        <f t="shared" si="14"/>
        <v>0</v>
      </c>
      <c r="M28" s="3"/>
      <c r="N28" s="8">
        <f t="shared" si="15"/>
        <v>0</v>
      </c>
      <c r="O28" s="12"/>
      <c r="P28" s="7"/>
      <c r="Q28" s="3"/>
      <c r="R28" s="8">
        <f t="shared" si="16"/>
        <v>0</v>
      </c>
      <c r="S28" s="3"/>
      <c r="T28" s="7">
        <v>0</v>
      </c>
      <c r="U28" s="3"/>
      <c r="V28" s="8">
        <f t="shared" si="17"/>
        <v>0</v>
      </c>
      <c r="W28" s="3"/>
      <c r="X28" s="7">
        <f t="shared" si="18"/>
        <v>0</v>
      </c>
      <c r="Y28" s="3"/>
      <c r="Z28" s="8">
        <f t="shared" si="19"/>
        <v>0</v>
      </c>
    </row>
    <row r="29" spans="1:26" s="24" customFormat="1" hidden="1" outlineLevel="2" x14ac:dyDescent="0.25">
      <c r="A29" s="27"/>
      <c r="B29" s="12" t="str">
        <f>CONCATENATE("          ", "6118", " - ", "VACATION")</f>
        <v xml:space="preserve">          6118 - VACATION</v>
      </c>
      <c r="C29" s="12"/>
      <c r="D29" s="7">
        <v>798.88</v>
      </c>
      <c r="E29" s="3"/>
      <c r="F29" s="8">
        <f t="shared" si="12"/>
        <v>0</v>
      </c>
      <c r="G29" s="3"/>
      <c r="H29" s="7">
        <v>468.72500000000002</v>
      </c>
      <c r="I29" s="3"/>
      <c r="J29" s="8">
        <f t="shared" si="13"/>
        <v>9.3745000000000012</v>
      </c>
      <c r="K29" s="3"/>
      <c r="L29" s="7">
        <f t="shared" si="14"/>
        <v>330.15499999999997</v>
      </c>
      <c r="M29" s="3"/>
      <c r="N29" s="8">
        <f t="shared" si="15"/>
        <v>0.70436823297242512</v>
      </c>
      <c r="O29" s="12"/>
      <c r="P29" s="7">
        <v>798.88</v>
      </c>
      <c r="Q29" s="3"/>
      <c r="R29" s="8">
        <f t="shared" si="16"/>
        <v>0</v>
      </c>
      <c r="S29" s="3"/>
      <c r="T29" s="7">
        <v>468.72500000000002</v>
      </c>
      <c r="U29" s="3"/>
      <c r="V29" s="8">
        <f t="shared" si="17"/>
        <v>9.3745000000000012</v>
      </c>
      <c r="W29" s="3"/>
      <c r="X29" s="7">
        <f t="shared" si="18"/>
        <v>330.15499999999997</v>
      </c>
      <c r="Y29" s="3"/>
      <c r="Z29" s="8">
        <f t="shared" si="19"/>
        <v>0.70436823297242512</v>
      </c>
    </row>
    <row r="30" spans="1:26" s="24" customFormat="1" hidden="1" outlineLevel="2" x14ac:dyDescent="0.25">
      <c r="A30" s="27"/>
      <c r="B30" s="12" t="str">
        <f>CONCATENATE("          ", "6119", " - ", "SICK LEAVE")</f>
        <v xml:space="preserve">          6119 - SICK LEAVE</v>
      </c>
      <c r="C30" s="12"/>
      <c r="D30" s="7">
        <v>652.62</v>
      </c>
      <c r="E30" s="3"/>
      <c r="F30" s="8">
        <f t="shared" si="12"/>
        <v>0</v>
      </c>
      <c r="G30" s="3"/>
      <c r="H30" s="7">
        <v>399.15</v>
      </c>
      <c r="I30" s="3"/>
      <c r="J30" s="8">
        <f t="shared" si="13"/>
        <v>7.9829999999999997</v>
      </c>
      <c r="K30" s="3"/>
      <c r="L30" s="7">
        <f t="shared" si="14"/>
        <v>253.47000000000003</v>
      </c>
      <c r="M30" s="3"/>
      <c r="N30" s="8">
        <f t="shared" si="15"/>
        <v>0.63502442690717786</v>
      </c>
      <c r="O30" s="12"/>
      <c r="P30" s="7">
        <v>652.62</v>
      </c>
      <c r="Q30" s="3"/>
      <c r="R30" s="8">
        <f t="shared" si="16"/>
        <v>0</v>
      </c>
      <c r="S30" s="3"/>
      <c r="T30" s="7">
        <v>399.15</v>
      </c>
      <c r="U30" s="3"/>
      <c r="V30" s="8">
        <f t="shared" si="17"/>
        <v>7.9829999999999997</v>
      </c>
      <c r="W30" s="3"/>
      <c r="X30" s="7">
        <f t="shared" si="18"/>
        <v>253.47000000000003</v>
      </c>
      <c r="Y30" s="3"/>
      <c r="Z30" s="8">
        <f t="shared" si="19"/>
        <v>0.63502442690717786</v>
      </c>
    </row>
    <row r="31" spans="1:26" s="24" customFormat="1" hidden="1" outlineLevel="2" x14ac:dyDescent="0.25">
      <c r="A31" s="27"/>
      <c r="B31" s="12" t="str">
        <f>CONCATENATE("          ", "6156", " - ", "EMPLOYEE MEALS")</f>
        <v xml:space="preserve">          6156 - EMPLOYEE MEALS</v>
      </c>
      <c r="C31" s="12"/>
      <c r="D31" s="7">
        <v>5.98</v>
      </c>
      <c r="E31" s="3"/>
      <c r="F31" s="8">
        <f t="shared" si="12"/>
        <v>0</v>
      </c>
      <c r="G31" s="3"/>
      <c r="H31" s="7">
        <v>175</v>
      </c>
      <c r="I31" s="3"/>
      <c r="J31" s="8">
        <f t="shared" si="13"/>
        <v>3.5</v>
      </c>
      <c r="K31" s="3"/>
      <c r="L31" s="7">
        <f t="shared" si="14"/>
        <v>-169.02</v>
      </c>
      <c r="M31" s="3"/>
      <c r="N31" s="8">
        <f t="shared" si="15"/>
        <v>-0.96582857142857148</v>
      </c>
      <c r="O31" s="12"/>
      <c r="P31" s="7">
        <v>5.98</v>
      </c>
      <c r="Q31" s="3"/>
      <c r="R31" s="8">
        <f t="shared" si="16"/>
        <v>0</v>
      </c>
      <c r="S31" s="3"/>
      <c r="T31" s="7">
        <v>175</v>
      </c>
      <c r="U31" s="3"/>
      <c r="V31" s="8">
        <f t="shared" si="17"/>
        <v>3.5</v>
      </c>
      <c r="W31" s="3"/>
      <c r="X31" s="7">
        <f t="shared" si="18"/>
        <v>-169.02</v>
      </c>
      <c r="Y31" s="3"/>
      <c r="Z31" s="8">
        <f t="shared" si="19"/>
        <v>-0.96582857142857148</v>
      </c>
    </row>
    <row r="32" spans="1:26" s="29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11477.03</v>
      </c>
      <c r="E32" s="1"/>
      <c r="F32" s="5">
        <f t="shared" ref="F32:F42" si="20">IF(D$12=0,0,D32/D$12)</f>
        <v>0</v>
      </c>
      <c r="G32" s="1"/>
      <c r="H32" s="1">
        <f>SUM(OSRRefH22_1x_0)</f>
        <v>11289.625</v>
      </c>
      <c r="I32" s="1"/>
      <c r="J32" s="5">
        <f t="shared" ref="J32:J42" si="21">IF(H$12=0,0,H32/H$12)</f>
        <v>225.79249999999999</v>
      </c>
      <c r="K32" s="1"/>
      <c r="L32" s="1">
        <f t="shared" ref="L32:L42" si="22">+D32-H32</f>
        <v>187.40500000000065</v>
      </c>
      <c r="M32" s="1"/>
      <c r="N32" s="5">
        <f t="shared" ref="N32:N42" si="23">IF(H32=0,0,L32/H32)</f>
        <v>1.6599754199098787E-2</v>
      </c>
      <c r="O32" s="14"/>
      <c r="P32" s="1">
        <f>SUM(OSRRefP22_1x_0)</f>
        <v>11477.03</v>
      </c>
      <c r="Q32" s="1"/>
      <c r="R32" s="5">
        <f t="shared" ref="R32:R42" si="24">IF(P$12=0,0,P32/P$12)</f>
        <v>0</v>
      </c>
      <c r="S32" s="1"/>
      <c r="T32" s="1">
        <f>SUM(OSRRefT22_1x_0)</f>
        <v>11289.625</v>
      </c>
      <c r="U32" s="1"/>
      <c r="V32" s="5">
        <f t="shared" ref="V32:V42" si="25">IF(T$12=0,0,T32/T$12)</f>
        <v>225.79249999999999</v>
      </c>
      <c r="W32" s="1"/>
      <c r="X32" s="1">
        <f t="shared" ref="X32:X42" si="26">+P32-T32</f>
        <v>187.40500000000065</v>
      </c>
      <c r="Y32" s="1"/>
      <c r="Z32" s="5">
        <f t="shared" ref="Z32:Z42" si="27">IF(T32=0,0,X32/T32)</f>
        <v>1.6599754199098787E-2</v>
      </c>
    </row>
    <row r="33" spans="1:26" s="24" customFormat="1" hidden="1" outlineLevel="2" x14ac:dyDescent="0.25">
      <c r="A33" s="27"/>
      <c r="B33" s="12" t="str">
        <f>CONCATENATE("          ", "6001", " - ", "ADMINISTRATIVE SALARIES")</f>
        <v xml:space="preserve">          6001 - ADMINISTRATIVE SALARIES</v>
      </c>
      <c r="C33" s="12"/>
      <c r="D33" s="7"/>
      <c r="E33" s="3"/>
      <c r="F33" s="8">
        <f t="shared" si="20"/>
        <v>0</v>
      </c>
      <c r="G33" s="3"/>
      <c r="H33" s="7">
        <v>6609.625</v>
      </c>
      <c r="I33" s="3"/>
      <c r="J33" s="8">
        <f t="shared" si="21"/>
        <v>132.1925</v>
      </c>
      <c r="K33" s="3"/>
      <c r="L33" s="7">
        <f t="shared" si="22"/>
        <v>-6609.625</v>
      </c>
      <c r="M33" s="3"/>
      <c r="N33" s="8">
        <f t="shared" si="23"/>
        <v>-1</v>
      </c>
      <c r="O33" s="12"/>
      <c r="P33" s="7"/>
      <c r="Q33" s="3"/>
      <c r="R33" s="8">
        <f t="shared" si="24"/>
        <v>0</v>
      </c>
      <c r="S33" s="3"/>
      <c r="T33" s="7">
        <v>6609.625</v>
      </c>
      <c r="U33" s="3"/>
      <c r="V33" s="8">
        <f t="shared" si="25"/>
        <v>132.1925</v>
      </c>
      <c r="W33" s="3"/>
      <c r="X33" s="7">
        <f t="shared" si="26"/>
        <v>-6609.625</v>
      </c>
      <c r="Y33" s="3"/>
      <c r="Z33" s="8">
        <f t="shared" si="27"/>
        <v>-1</v>
      </c>
    </row>
    <row r="34" spans="1:26" s="24" customFormat="1" hidden="1" outlineLevel="2" x14ac:dyDescent="0.25">
      <c r="A34" s="27"/>
      <c r="B34" s="12" t="str">
        <f>CONCATENATE("          ", "6002", " - ", "STAFF SALARIES")</f>
        <v xml:space="preserve">          6002 - STAFF SALARIES</v>
      </c>
      <c r="C34" s="12"/>
      <c r="D34" s="7">
        <v>11477.03</v>
      </c>
      <c r="E34" s="3"/>
      <c r="F34" s="8">
        <f t="shared" si="20"/>
        <v>0</v>
      </c>
      <c r="G34" s="3"/>
      <c r="H34" s="7">
        <v>4680</v>
      </c>
      <c r="I34" s="3"/>
      <c r="J34" s="8">
        <f t="shared" si="21"/>
        <v>93.6</v>
      </c>
      <c r="K34" s="3"/>
      <c r="L34" s="7">
        <f t="shared" si="22"/>
        <v>6797.0300000000007</v>
      </c>
      <c r="M34" s="3"/>
      <c r="N34" s="8">
        <f t="shared" si="23"/>
        <v>1.4523568376068376</v>
      </c>
      <c r="O34" s="12"/>
      <c r="P34" s="7">
        <v>11477.03</v>
      </c>
      <c r="Q34" s="3"/>
      <c r="R34" s="8">
        <f t="shared" si="24"/>
        <v>0</v>
      </c>
      <c r="S34" s="3"/>
      <c r="T34" s="7">
        <v>4680</v>
      </c>
      <c r="U34" s="3"/>
      <c r="V34" s="8">
        <f t="shared" si="25"/>
        <v>93.6</v>
      </c>
      <c r="W34" s="3"/>
      <c r="X34" s="7">
        <f t="shared" si="26"/>
        <v>6797.0300000000007</v>
      </c>
      <c r="Y34" s="3"/>
      <c r="Z34" s="8">
        <f t="shared" si="27"/>
        <v>1.4523568376068376</v>
      </c>
    </row>
    <row r="35" spans="1:26" s="24" customFormat="1" hidden="1" outlineLevel="2" x14ac:dyDescent="0.25">
      <c r="A35" s="27"/>
      <c r="B35" s="12" t="str">
        <f>CONCATENATE("          ", "6003", " - ", "STAFF HOURLY-9 MONTH")</f>
        <v xml:space="preserve">          6003 - STAFF HOURLY-9 MONTH</v>
      </c>
      <c r="C35" s="12"/>
      <c r="D35" s="7"/>
      <c r="E35" s="3"/>
      <c r="F35" s="8">
        <f t="shared" si="20"/>
        <v>0</v>
      </c>
      <c r="G35" s="3"/>
      <c r="H35" s="7">
        <v>0</v>
      </c>
      <c r="I35" s="3"/>
      <c r="J35" s="8">
        <f t="shared" si="21"/>
        <v>0</v>
      </c>
      <c r="K35" s="3"/>
      <c r="L35" s="7">
        <f t="shared" si="22"/>
        <v>0</v>
      </c>
      <c r="M35" s="3"/>
      <c r="N35" s="8">
        <f t="shared" si="23"/>
        <v>0</v>
      </c>
      <c r="O35" s="12"/>
      <c r="P35" s="7"/>
      <c r="Q35" s="3"/>
      <c r="R35" s="8">
        <f t="shared" si="24"/>
        <v>0</v>
      </c>
      <c r="S35" s="3"/>
      <c r="T35" s="7">
        <v>0</v>
      </c>
      <c r="U35" s="3"/>
      <c r="V35" s="8">
        <f t="shared" si="25"/>
        <v>0</v>
      </c>
      <c r="W35" s="3"/>
      <c r="X35" s="7">
        <f t="shared" si="26"/>
        <v>0</v>
      </c>
      <c r="Y35" s="3"/>
      <c r="Z35" s="8">
        <f t="shared" si="27"/>
        <v>0</v>
      </c>
    </row>
    <row r="36" spans="1:26" s="24" customFormat="1" hidden="1" outlineLevel="2" x14ac:dyDescent="0.25">
      <c r="A36" s="27"/>
      <c r="B36" s="12" t="str">
        <f>CONCATENATE("          ", "6004", " - ", "STAFF HOURLY")</f>
        <v xml:space="preserve">          6004 - STAFF HOURLY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"6005", " - ", "TEMPORARY WAGES-HOURLY")</f>
        <v xml:space="preserve">          6005 - TEMPORARY WAGES-HOURLY</v>
      </c>
      <c r="C37" s="12"/>
      <c r="D37" s="7"/>
      <c r="E37" s="3"/>
      <c r="F37" s="8">
        <f t="shared" si="20"/>
        <v>0</v>
      </c>
      <c r="G37" s="3"/>
      <c r="H37" s="7">
        <v>0</v>
      </c>
      <c r="I37" s="3"/>
      <c r="J37" s="8">
        <f t="shared" si="21"/>
        <v>0</v>
      </c>
      <c r="K37" s="3"/>
      <c r="L37" s="7">
        <f t="shared" si="22"/>
        <v>0</v>
      </c>
      <c r="M37" s="3"/>
      <c r="N37" s="8">
        <f t="shared" si="23"/>
        <v>0</v>
      </c>
      <c r="O37" s="12"/>
      <c r="P37" s="7"/>
      <c r="Q37" s="3"/>
      <c r="R37" s="8">
        <f t="shared" si="24"/>
        <v>0</v>
      </c>
      <c r="S37" s="3"/>
      <c r="T37" s="7">
        <v>0</v>
      </c>
      <c r="U37" s="3"/>
      <c r="V37" s="8">
        <f t="shared" si="25"/>
        <v>0</v>
      </c>
      <c r="W37" s="3"/>
      <c r="X37" s="7">
        <f t="shared" si="26"/>
        <v>0</v>
      </c>
      <c r="Y37" s="3"/>
      <c r="Z37" s="8">
        <f t="shared" si="27"/>
        <v>0</v>
      </c>
    </row>
    <row r="38" spans="1:26" s="24" customFormat="1" hidden="1" outlineLevel="2" x14ac:dyDescent="0.25">
      <c r="A38" s="27"/>
      <c r="B38" s="12" t="str">
        <f>CONCATENATE("          ", "6006", " - ", "TEMPORARY PART TIME")</f>
        <v xml:space="preserve">          6006 - TEMPORARY PART TIME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"6007", " - ", "STUDENT HOURLY")</f>
        <v xml:space="preserve">          6007 - STUDENT HOURLY</v>
      </c>
      <c r="C39" s="12"/>
      <c r="D39" s="7"/>
      <c r="E39" s="3"/>
      <c r="F39" s="8">
        <f t="shared" si="20"/>
        <v>0</v>
      </c>
      <c r="G39" s="3"/>
      <c r="H39" s="7">
        <v>0</v>
      </c>
      <c r="I39" s="3"/>
      <c r="J39" s="8">
        <f t="shared" si="21"/>
        <v>0</v>
      </c>
      <c r="K39" s="3"/>
      <c r="L39" s="7">
        <f t="shared" si="22"/>
        <v>0</v>
      </c>
      <c r="M39" s="3"/>
      <c r="N39" s="8">
        <f t="shared" si="23"/>
        <v>0</v>
      </c>
      <c r="O39" s="12"/>
      <c r="P39" s="7"/>
      <c r="Q39" s="3"/>
      <c r="R39" s="8">
        <f t="shared" si="24"/>
        <v>0</v>
      </c>
      <c r="S39" s="3"/>
      <c r="T39" s="7">
        <v>0</v>
      </c>
      <c r="U39" s="3"/>
      <c r="V39" s="8">
        <f t="shared" si="25"/>
        <v>0</v>
      </c>
      <c r="W39" s="3"/>
      <c r="X39" s="7">
        <f t="shared" si="26"/>
        <v>0</v>
      </c>
      <c r="Y39" s="3"/>
      <c r="Z39" s="8">
        <f t="shared" si="27"/>
        <v>0</v>
      </c>
    </row>
    <row r="40" spans="1:26" s="24" customFormat="1" hidden="1" outlineLevel="2" x14ac:dyDescent="0.25">
      <c r="A40" s="27"/>
      <c r="B40" s="12" t="str">
        <f>CONCATENATE("          ", "6008", " - ", "STUDENT HOURLY-FICA EXEMPT")</f>
        <v xml:space="preserve">          6008 - STUDENT HOURLY-FICA EXEMPT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4" customFormat="1" hidden="1" outlineLevel="2" x14ac:dyDescent="0.25">
      <c r="A41" s="27"/>
      <c r="B41" s="12" t="str">
        <f>CONCATENATE("          ", "6009", " - ", "TEMPORARY-SEASONAL")</f>
        <v xml:space="preserve">          6009 - TEMPORARY-SEASONAL</v>
      </c>
      <c r="C41" s="12"/>
      <c r="D41" s="7"/>
      <c r="E41" s="3"/>
      <c r="F41" s="8">
        <f t="shared" si="20"/>
        <v>0</v>
      </c>
      <c r="G41" s="3"/>
      <c r="H41" s="7">
        <v>0</v>
      </c>
      <c r="I41" s="3"/>
      <c r="J41" s="8">
        <f t="shared" si="21"/>
        <v>0</v>
      </c>
      <c r="K41" s="3"/>
      <c r="L41" s="7">
        <f t="shared" si="22"/>
        <v>0</v>
      </c>
      <c r="M41" s="3"/>
      <c r="N41" s="8">
        <f t="shared" si="23"/>
        <v>0</v>
      </c>
      <c r="O41" s="12"/>
      <c r="P41" s="7"/>
      <c r="Q41" s="3"/>
      <c r="R41" s="8">
        <f t="shared" si="24"/>
        <v>0</v>
      </c>
      <c r="S41" s="3"/>
      <c r="T41" s="7">
        <v>0</v>
      </c>
      <c r="U41" s="3"/>
      <c r="V41" s="8">
        <f t="shared" si="25"/>
        <v>0</v>
      </c>
      <c r="W41" s="3"/>
      <c r="X41" s="7">
        <f t="shared" si="26"/>
        <v>0</v>
      </c>
      <c r="Y41" s="3"/>
      <c r="Z41" s="8">
        <f t="shared" si="27"/>
        <v>0</v>
      </c>
    </row>
    <row r="42" spans="1:26" s="24" customFormat="1" hidden="1" outlineLevel="2" x14ac:dyDescent="0.25">
      <c r="A42" s="27"/>
      <c r="B42" s="12" t="str">
        <f>CONCATENATE("          ", "6010", " - ", "GRATUITY")</f>
        <v xml:space="preserve">          6010 - GRATUITY</v>
      </c>
      <c r="C42" s="12"/>
      <c r="D42" s="7"/>
      <c r="E42" s="3"/>
      <c r="F42" s="8">
        <f t="shared" si="20"/>
        <v>0</v>
      </c>
      <c r="G42" s="3"/>
      <c r="H42" s="7">
        <v>0</v>
      </c>
      <c r="I42" s="3"/>
      <c r="J42" s="8">
        <f t="shared" si="21"/>
        <v>0</v>
      </c>
      <c r="K42" s="3"/>
      <c r="L42" s="7">
        <f t="shared" si="22"/>
        <v>0</v>
      </c>
      <c r="M42" s="3"/>
      <c r="N42" s="8">
        <f t="shared" si="23"/>
        <v>0</v>
      </c>
      <c r="O42" s="12"/>
      <c r="P42" s="7"/>
      <c r="Q42" s="3"/>
      <c r="R42" s="8">
        <f t="shared" si="24"/>
        <v>0</v>
      </c>
      <c r="S42" s="3"/>
      <c r="T42" s="7">
        <v>0</v>
      </c>
      <c r="U42" s="3"/>
      <c r="V42" s="8">
        <f t="shared" si="25"/>
        <v>0</v>
      </c>
      <c r="W42" s="3"/>
      <c r="X42" s="7">
        <f t="shared" si="26"/>
        <v>0</v>
      </c>
      <c r="Y42" s="3"/>
      <c r="Z42" s="8">
        <f t="shared" si="27"/>
        <v>0</v>
      </c>
    </row>
    <row r="43" spans="1:26" s="29" customFormat="1" outlineLevel="1" collapsed="1" x14ac:dyDescent="0.25">
      <c r="A43" s="28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1" si="28">IF(D$12=0,0,D43/D$12)</f>
        <v>0</v>
      </c>
      <c r="G43" s="1"/>
      <c r="H43" s="1">
        <f>SUM(OSRRefH22_2x_0)</f>
        <v>100</v>
      </c>
      <c r="I43" s="1"/>
      <c r="J43" s="5">
        <f t="shared" ref="J43:J51" si="29">IF(H$12=0,0,H43/H$12)</f>
        <v>2</v>
      </c>
      <c r="K43" s="1"/>
      <c r="L43" s="1">
        <f t="shared" ref="L43:L51" si="30">+D43-H43</f>
        <v>-100</v>
      </c>
      <c r="M43" s="1"/>
      <c r="N43" s="5">
        <f t="shared" ref="N43:N51" si="31">IF(H43=0,0,L43/H43)</f>
        <v>-1</v>
      </c>
      <c r="O43" s="14"/>
      <c r="P43" s="1">
        <f>SUM(OSRRefP22_2x_0)</f>
        <v>0</v>
      </c>
      <c r="Q43" s="1"/>
      <c r="R43" s="5">
        <f t="shared" ref="R43:R51" si="32">IF(P$12=0,0,P43/P$12)</f>
        <v>0</v>
      </c>
      <c r="S43" s="1"/>
      <c r="T43" s="1">
        <f>SUM(OSRRefT22_2x_0)</f>
        <v>100</v>
      </c>
      <c r="U43" s="1"/>
      <c r="V43" s="5">
        <f t="shared" ref="V43:V51" si="33">IF(T$12=0,0,T43/T$12)</f>
        <v>2</v>
      </c>
      <c r="W43" s="1"/>
      <c r="X43" s="1">
        <f t="shared" ref="X43:X51" si="34">+P43-T43</f>
        <v>-100</v>
      </c>
      <c r="Y43" s="1"/>
      <c r="Z43" s="5">
        <f t="shared" ref="Z43:Z51" si="35">IF(T43=0,0,X43/T43)</f>
        <v>-1</v>
      </c>
    </row>
    <row r="44" spans="1:26" s="24" customFormat="1" hidden="1" outlineLevel="2" x14ac:dyDescent="0.25">
      <c r="A44" s="27"/>
      <c r="B44" s="12" t="str">
        <f>CONCATENATE("          ", "6362", " - ", "ADVERTISING EXPENSE")</f>
        <v xml:space="preserve">          6362 - ADVERTISING EXPENSE</v>
      </c>
      <c r="C44" s="12"/>
      <c r="D44" s="7"/>
      <c r="E44" s="3"/>
      <c r="F44" s="8">
        <f t="shared" si="28"/>
        <v>0</v>
      </c>
      <c r="G44" s="3"/>
      <c r="H44" s="7">
        <v>100</v>
      </c>
      <c r="I44" s="3"/>
      <c r="J44" s="8">
        <f t="shared" si="29"/>
        <v>2</v>
      </c>
      <c r="K44" s="3"/>
      <c r="L44" s="7">
        <f t="shared" si="30"/>
        <v>-100</v>
      </c>
      <c r="M44" s="3"/>
      <c r="N44" s="8">
        <f t="shared" si="31"/>
        <v>-1</v>
      </c>
      <c r="O44" s="12"/>
      <c r="P44" s="7"/>
      <c r="Q44" s="3"/>
      <c r="R44" s="8">
        <f t="shared" si="32"/>
        <v>0</v>
      </c>
      <c r="S44" s="3"/>
      <c r="T44" s="7">
        <v>100</v>
      </c>
      <c r="U44" s="3"/>
      <c r="V44" s="8">
        <f t="shared" si="33"/>
        <v>2</v>
      </c>
      <c r="W44" s="3"/>
      <c r="X44" s="7">
        <f t="shared" si="34"/>
        <v>-100</v>
      </c>
      <c r="Y44" s="3"/>
      <c r="Z44" s="8">
        <f t="shared" si="35"/>
        <v>-1</v>
      </c>
    </row>
    <row r="45" spans="1:26" s="29" customFormat="1" outlineLevel="1" collapsed="1" x14ac:dyDescent="0.25">
      <c r="A45" s="28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28"/>
        <v>0</v>
      </c>
      <c r="G45" s="1"/>
      <c r="H45" s="1">
        <f>SUM(OSRRefH22_3x_0)</f>
        <v>5</v>
      </c>
      <c r="I45" s="1"/>
      <c r="J45" s="5">
        <f t="shared" si="29"/>
        <v>0.1</v>
      </c>
      <c r="K45" s="1"/>
      <c r="L45" s="1">
        <f t="shared" si="30"/>
        <v>-5</v>
      </c>
      <c r="M45" s="1"/>
      <c r="N45" s="5">
        <f t="shared" si="31"/>
        <v>-1</v>
      </c>
      <c r="O45" s="14"/>
      <c r="P45" s="1">
        <f>SUM(OSRRefP22_3x_0)</f>
        <v>0</v>
      </c>
      <c r="Q45" s="1"/>
      <c r="R45" s="5">
        <f t="shared" si="32"/>
        <v>0</v>
      </c>
      <c r="S45" s="1"/>
      <c r="T45" s="1">
        <f>SUM(OSRRefT22_3x_0)</f>
        <v>5</v>
      </c>
      <c r="U45" s="1"/>
      <c r="V45" s="5">
        <f t="shared" si="33"/>
        <v>0.1</v>
      </c>
      <c r="W45" s="1"/>
      <c r="X45" s="1">
        <f t="shared" si="34"/>
        <v>-5</v>
      </c>
      <c r="Y45" s="1"/>
      <c r="Z45" s="5">
        <f t="shared" si="35"/>
        <v>-1</v>
      </c>
    </row>
    <row r="46" spans="1:26" s="24" customFormat="1" hidden="1" outlineLevel="2" x14ac:dyDescent="0.25">
      <c r="A46" s="27"/>
      <c r="B46" s="12" t="str">
        <f>CONCATENATE("          ", "6272", " - ", "CASH (OVER/SHORT)")</f>
        <v xml:space="preserve">          6272 - CASH (OVER/SHORT)</v>
      </c>
      <c r="C46" s="12"/>
      <c r="D46" s="7"/>
      <c r="E46" s="3"/>
      <c r="F46" s="8">
        <f t="shared" si="28"/>
        <v>0</v>
      </c>
      <c r="G46" s="3"/>
      <c r="H46" s="7">
        <v>5</v>
      </c>
      <c r="I46" s="3"/>
      <c r="J46" s="8">
        <f t="shared" si="29"/>
        <v>0.1</v>
      </c>
      <c r="K46" s="3"/>
      <c r="L46" s="7">
        <f t="shared" si="30"/>
        <v>-5</v>
      </c>
      <c r="M46" s="3"/>
      <c r="N46" s="8">
        <f t="shared" si="31"/>
        <v>-1</v>
      </c>
      <c r="O46" s="12"/>
      <c r="P46" s="7"/>
      <c r="Q46" s="3"/>
      <c r="R46" s="8">
        <f t="shared" si="32"/>
        <v>0</v>
      </c>
      <c r="S46" s="3"/>
      <c r="T46" s="7">
        <v>5</v>
      </c>
      <c r="U46" s="3"/>
      <c r="V46" s="8">
        <f t="shared" si="33"/>
        <v>0.1</v>
      </c>
      <c r="W46" s="3"/>
      <c r="X46" s="7">
        <f t="shared" si="34"/>
        <v>-5</v>
      </c>
      <c r="Y46" s="3"/>
      <c r="Z46" s="8">
        <f t="shared" si="35"/>
        <v>-1</v>
      </c>
    </row>
    <row r="47" spans="1:26" s="29" customFormat="1" outlineLevel="1" collapsed="1" x14ac:dyDescent="0.25">
      <c r="A47" s="28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60</v>
      </c>
      <c r="E47" s="1"/>
      <c r="F47" s="5">
        <f t="shared" si="28"/>
        <v>0</v>
      </c>
      <c r="G47" s="1"/>
      <c r="H47" s="1">
        <f>SUM(OSRRefH22_4x_0)</f>
        <v>409</v>
      </c>
      <c r="I47" s="1"/>
      <c r="J47" s="5">
        <f t="shared" si="29"/>
        <v>8.18</v>
      </c>
      <c r="K47" s="1"/>
      <c r="L47" s="1">
        <f t="shared" si="30"/>
        <v>-349</v>
      </c>
      <c r="M47" s="1"/>
      <c r="N47" s="5">
        <f t="shared" si="31"/>
        <v>-0.85330073349633251</v>
      </c>
      <c r="O47" s="14"/>
      <c r="P47" s="1">
        <f>SUM(OSRRefP22_4x_0)</f>
        <v>60</v>
      </c>
      <c r="Q47" s="1"/>
      <c r="R47" s="5">
        <f t="shared" si="32"/>
        <v>0</v>
      </c>
      <c r="S47" s="1"/>
      <c r="T47" s="1">
        <f>SUM(OSRRefT22_4x_0)</f>
        <v>409</v>
      </c>
      <c r="U47" s="1"/>
      <c r="V47" s="5">
        <f t="shared" si="33"/>
        <v>8.18</v>
      </c>
      <c r="W47" s="1"/>
      <c r="X47" s="1">
        <f t="shared" si="34"/>
        <v>-349</v>
      </c>
      <c r="Y47" s="1"/>
      <c r="Z47" s="5">
        <f t="shared" si="35"/>
        <v>-0.85330073349633251</v>
      </c>
    </row>
    <row r="48" spans="1:26" s="24" customFormat="1" hidden="1" outlineLevel="2" x14ac:dyDescent="0.25">
      <c r="A48" s="27"/>
      <c r="B48" s="12" t="str">
        <f>CONCATENATE("          ", "6381", " - ", "BANK/CREDIT CARD FEES")</f>
        <v xml:space="preserve">          6381 - BANK/CREDIT CARD FEES</v>
      </c>
      <c r="C48" s="12"/>
      <c r="D48" s="7">
        <v>60</v>
      </c>
      <c r="E48" s="3"/>
      <c r="F48" s="8">
        <f t="shared" si="28"/>
        <v>0</v>
      </c>
      <c r="G48" s="3"/>
      <c r="H48" s="7">
        <v>409</v>
      </c>
      <c r="I48" s="3"/>
      <c r="J48" s="8">
        <f t="shared" si="29"/>
        <v>8.18</v>
      </c>
      <c r="K48" s="3"/>
      <c r="L48" s="7">
        <f t="shared" si="30"/>
        <v>-349</v>
      </c>
      <c r="M48" s="3"/>
      <c r="N48" s="8">
        <f t="shared" si="31"/>
        <v>-0.85330073349633251</v>
      </c>
      <c r="O48" s="12"/>
      <c r="P48" s="7">
        <v>60</v>
      </c>
      <c r="Q48" s="3"/>
      <c r="R48" s="8">
        <f t="shared" si="32"/>
        <v>0</v>
      </c>
      <c r="S48" s="3"/>
      <c r="T48" s="7">
        <v>409</v>
      </c>
      <c r="U48" s="3"/>
      <c r="V48" s="8">
        <f t="shared" si="33"/>
        <v>8.18</v>
      </c>
      <c r="W48" s="3"/>
      <c r="X48" s="7">
        <f t="shared" si="34"/>
        <v>-349</v>
      </c>
      <c r="Y48" s="3"/>
      <c r="Z48" s="8">
        <f t="shared" si="35"/>
        <v>-0.85330073349633251</v>
      </c>
    </row>
    <row r="49" spans="1:26" s="29" customFormat="1" outlineLevel="1" collapsed="1" x14ac:dyDescent="0.25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8990.73</v>
      </c>
      <c r="E49" s="1"/>
      <c r="F49" s="5">
        <f t="shared" si="28"/>
        <v>0</v>
      </c>
      <c r="G49" s="1"/>
      <c r="H49" s="1">
        <f>SUM(OSRRefH22_5x_0)</f>
        <v>8675</v>
      </c>
      <c r="I49" s="1"/>
      <c r="J49" s="5">
        <f t="shared" si="29"/>
        <v>173.5</v>
      </c>
      <c r="K49" s="1"/>
      <c r="L49" s="1">
        <f t="shared" si="30"/>
        <v>315.72999999999956</v>
      </c>
      <c r="M49" s="1"/>
      <c r="N49" s="5">
        <f t="shared" si="31"/>
        <v>3.6395389048991304E-2</v>
      </c>
      <c r="O49" s="14"/>
      <c r="P49" s="1">
        <f>SUM(OSRRefP22_5x_0)</f>
        <v>8990.73</v>
      </c>
      <c r="Q49" s="1"/>
      <c r="R49" s="5">
        <f t="shared" si="32"/>
        <v>0</v>
      </c>
      <c r="S49" s="1"/>
      <c r="T49" s="1">
        <f>SUM(OSRRefT22_5x_0)</f>
        <v>8675</v>
      </c>
      <c r="U49" s="1"/>
      <c r="V49" s="5">
        <f t="shared" si="33"/>
        <v>173.5</v>
      </c>
      <c r="W49" s="1"/>
      <c r="X49" s="1">
        <f t="shared" si="34"/>
        <v>315.72999999999956</v>
      </c>
      <c r="Y49" s="1"/>
      <c r="Z49" s="5">
        <f t="shared" si="35"/>
        <v>3.6395389048991304E-2</v>
      </c>
    </row>
    <row r="50" spans="1:26" s="24" customFormat="1" hidden="1" outlineLevel="2" x14ac:dyDescent="0.25">
      <c r="A50" s="27"/>
      <c r="B50" s="12" t="str">
        <f>CONCATENATE("          ", "6321", " - ", "BUILDING DEPRECIATION")</f>
        <v xml:space="preserve">          6321 - BUILDING DEPRECIATION</v>
      </c>
      <c r="C50" s="12"/>
      <c r="D50" s="7">
        <v>5080.51</v>
      </c>
      <c r="E50" s="3"/>
      <c r="F50" s="8">
        <f t="shared" si="28"/>
        <v>0</v>
      </c>
      <c r="G50" s="3"/>
      <c r="H50" s="7"/>
      <c r="I50" s="3"/>
      <c r="J50" s="8">
        <f t="shared" si="29"/>
        <v>0</v>
      </c>
      <c r="K50" s="3"/>
      <c r="L50" s="7">
        <f t="shared" si="30"/>
        <v>5080.51</v>
      </c>
      <c r="M50" s="3"/>
      <c r="N50" s="8">
        <f t="shared" si="31"/>
        <v>0</v>
      </c>
      <c r="O50" s="12"/>
      <c r="P50" s="7">
        <v>5080.51</v>
      </c>
      <c r="Q50" s="3"/>
      <c r="R50" s="8">
        <f t="shared" si="32"/>
        <v>0</v>
      </c>
      <c r="S50" s="3"/>
      <c r="T50" s="7"/>
      <c r="U50" s="3"/>
      <c r="V50" s="8">
        <f t="shared" si="33"/>
        <v>0</v>
      </c>
      <c r="W50" s="3"/>
      <c r="X50" s="7">
        <f t="shared" si="34"/>
        <v>5080.51</v>
      </c>
      <c r="Y50" s="3"/>
      <c r="Z50" s="8">
        <f t="shared" si="35"/>
        <v>0</v>
      </c>
    </row>
    <row r="51" spans="1:26" s="24" customFormat="1" hidden="1" outlineLevel="2" x14ac:dyDescent="0.25">
      <c r="A51" s="27"/>
      <c r="B51" s="12" t="str">
        <f>CONCATENATE("          ", "6322", " - ", "EQUIPMENT DEPRECIATION EXPENSE")</f>
        <v xml:space="preserve">          6322 - EQUIPMENT DEPRECIATION EXPENSE</v>
      </c>
      <c r="C51" s="12"/>
      <c r="D51" s="7">
        <v>3910.22</v>
      </c>
      <c r="E51" s="3"/>
      <c r="F51" s="8">
        <f t="shared" si="28"/>
        <v>0</v>
      </c>
      <c r="G51" s="3"/>
      <c r="H51" s="7">
        <v>8675</v>
      </c>
      <c r="I51" s="3"/>
      <c r="J51" s="8">
        <f t="shared" si="29"/>
        <v>173.5</v>
      </c>
      <c r="K51" s="3"/>
      <c r="L51" s="7">
        <f t="shared" si="30"/>
        <v>-4764.7800000000007</v>
      </c>
      <c r="M51" s="3"/>
      <c r="N51" s="8">
        <f t="shared" si="31"/>
        <v>-0.54925417867435167</v>
      </c>
      <c r="O51" s="12"/>
      <c r="P51" s="7">
        <v>3910.22</v>
      </c>
      <c r="Q51" s="3"/>
      <c r="R51" s="8">
        <f t="shared" si="32"/>
        <v>0</v>
      </c>
      <c r="S51" s="3"/>
      <c r="T51" s="7">
        <v>8675</v>
      </c>
      <c r="U51" s="3"/>
      <c r="V51" s="8">
        <f t="shared" si="33"/>
        <v>173.5</v>
      </c>
      <c r="W51" s="3"/>
      <c r="X51" s="7">
        <f t="shared" si="34"/>
        <v>-4764.7800000000007</v>
      </c>
      <c r="Y51" s="3"/>
      <c r="Z51" s="8">
        <f t="shared" si="35"/>
        <v>-0.54925417867435167</v>
      </c>
    </row>
    <row r="52" spans="1:26" s="29" customFormat="1" outlineLevel="1" collapsed="1" x14ac:dyDescent="0.25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SUM(OSRRefD22_6x_0)</f>
        <v>1509.1</v>
      </c>
      <c r="E52" s="1"/>
      <c r="F52" s="5">
        <f t="shared" ref="F52:F66" si="36">IF(D$12=0,0,D52/D$12)</f>
        <v>0</v>
      </c>
      <c r="G52" s="1"/>
      <c r="H52" s="1">
        <f>SUM(OSRRefH22_6x_0)</f>
        <v>3150</v>
      </c>
      <c r="I52" s="1"/>
      <c r="J52" s="5">
        <f t="shared" ref="J52:J66" si="37">IF(H$12=0,0,H52/H$12)</f>
        <v>63</v>
      </c>
      <c r="K52" s="1"/>
      <c r="L52" s="1">
        <f t="shared" ref="L52:L66" si="38">+D52-H52</f>
        <v>-1640.9</v>
      </c>
      <c r="M52" s="1"/>
      <c r="N52" s="5">
        <f t="shared" ref="N52:N66" si="39">IF(H52=0,0,L52/H52)</f>
        <v>-0.5209206349206349</v>
      </c>
      <c r="O52" s="14"/>
      <c r="P52" s="1">
        <f>SUM(OSRRefP22_6x_0)</f>
        <v>1509.1</v>
      </c>
      <c r="Q52" s="1"/>
      <c r="R52" s="5">
        <f t="shared" ref="R52:R66" si="40">IF(P$12=0,0,P52/P$12)</f>
        <v>0</v>
      </c>
      <c r="S52" s="1"/>
      <c r="T52" s="1">
        <f>SUM(OSRRefT22_6x_0)</f>
        <v>3150</v>
      </c>
      <c r="U52" s="1"/>
      <c r="V52" s="5">
        <f t="shared" ref="V52:V66" si="41">IF(T$12=0,0,T52/T$12)</f>
        <v>63</v>
      </c>
      <c r="W52" s="1"/>
      <c r="X52" s="1">
        <f t="shared" ref="X52:X66" si="42">+P52-T52</f>
        <v>-1640.9</v>
      </c>
      <c r="Y52" s="1"/>
      <c r="Z52" s="5">
        <f t="shared" ref="Z52:Z66" si="43">IF(T52=0,0,X52/T52)</f>
        <v>-0.5209206349206349</v>
      </c>
    </row>
    <row r="53" spans="1:26" s="24" customFormat="1" hidden="1" outlineLevel="2" x14ac:dyDescent="0.25">
      <c r="A53" s="27"/>
      <c r="B53" s="12" t="str">
        <f>CONCATENATE("          ", "6279", " - ", "GENERAL EXPENSE")</f>
        <v xml:space="preserve">          6279 - GENERAL EXPENSE</v>
      </c>
      <c r="C53" s="12"/>
      <c r="D53" s="7">
        <v>1509.1</v>
      </c>
      <c r="E53" s="3"/>
      <c r="F53" s="8">
        <f t="shared" si="36"/>
        <v>0</v>
      </c>
      <c r="G53" s="3"/>
      <c r="H53" s="7">
        <v>3150</v>
      </c>
      <c r="I53" s="3"/>
      <c r="J53" s="8">
        <f t="shared" si="37"/>
        <v>63</v>
      </c>
      <c r="K53" s="3"/>
      <c r="L53" s="7">
        <f t="shared" si="38"/>
        <v>-1640.9</v>
      </c>
      <c r="M53" s="3"/>
      <c r="N53" s="8">
        <f t="shared" si="39"/>
        <v>-0.5209206349206349</v>
      </c>
      <c r="O53" s="12"/>
      <c r="P53" s="7">
        <v>1509.1</v>
      </c>
      <c r="Q53" s="3"/>
      <c r="R53" s="8">
        <f t="shared" si="40"/>
        <v>0</v>
      </c>
      <c r="S53" s="3"/>
      <c r="T53" s="7">
        <v>3150</v>
      </c>
      <c r="U53" s="3"/>
      <c r="V53" s="8">
        <f t="shared" si="41"/>
        <v>63</v>
      </c>
      <c r="W53" s="3"/>
      <c r="X53" s="7">
        <f t="shared" si="42"/>
        <v>-1640.9</v>
      </c>
      <c r="Y53" s="3"/>
      <c r="Z53" s="8">
        <f t="shared" si="43"/>
        <v>-0.5209206349206349</v>
      </c>
    </row>
    <row r="54" spans="1:26" s="29" customFormat="1" outlineLevel="1" collapsed="1" x14ac:dyDescent="0.25">
      <c r="A54" s="28"/>
      <c r="B54" s="14" t="str">
        <f>CONCATENATE("     ","Insurance                                         ")</f>
        <v xml:space="preserve">     Insurance                                         </v>
      </c>
      <c r="C54" s="14"/>
      <c r="D54" s="1">
        <f>SUM(OSRRefD22_7x_0)</f>
        <v>243.54</v>
      </c>
      <c r="E54" s="1"/>
      <c r="F54" s="5">
        <f t="shared" si="36"/>
        <v>0</v>
      </c>
      <c r="G54" s="1"/>
      <c r="H54" s="1">
        <f>SUM(OSRRefH22_7x_0)</f>
        <v>270</v>
      </c>
      <c r="I54" s="1"/>
      <c r="J54" s="5">
        <f t="shared" si="37"/>
        <v>5.4</v>
      </c>
      <c r="K54" s="1"/>
      <c r="L54" s="1">
        <f t="shared" si="38"/>
        <v>-26.460000000000008</v>
      </c>
      <c r="M54" s="1"/>
      <c r="N54" s="5">
        <f t="shared" si="39"/>
        <v>-9.8000000000000032E-2</v>
      </c>
      <c r="O54" s="14"/>
      <c r="P54" s="1">
        <f>SUM(OSRRefP22_7x_0)</f>
        <v>243.54</v>
      </c>
      <c r="Q54" s="1"/>
      <c r="R54" s="5">
        <f t="shared" si="40"/>
        <v>0</v>
      </c>
      <c r="S54" s="1"/>
      <c r="T54" s="1">
        <f>SUM(OSRRefT22_7x_0)</f>
        <v>270</v>
      </c>
      <c r="U54" s="1"/>
      <c r="V54" s="5">
        <f t="shared" si="41"/>
        <v>5.4</v>
      </c>
      <c r="W54" s="1"/>
      <c r="X54" s="1">
        <f t="shared" si="42"/>
        <v>-26.460000000000008</v>
      </c>
      <c r="Y54" s="1"/>
      <c r="Z54" s="5">
        <f t="shared" si="43"/>
        <v>-9.8000000000000032E-2</v>
      </c>
    </row>
    <row r="55" spans="1:26" s="24" customFormat="1" hidden="1" outlineLevel="2" x14ac:dyDescent="0.25">
      <c r="A55" s="27"/>
      <c r="B55" s="12" t="str">
        <f>CONCATENATE("          ", "6314", " - ", "LIABILITY INSURANCE")</f>
        <v xml:space="preserve">          6314 - LIABILITY INSURANCE</v>
      </c>
      <c r="C55" s="12"/>
      <c r="D55" s="7">
        <v>243.54</v>
      </c>
      <c r="E55" s="3"/>
      <c r="F55" s="8">
        <f t="shared" si="36"/>
        <v>0</v>
      </c>
      <c r="G55" s="3"/>
      <c r="H55" s="7">
        <v>270</v>
      </c>
      <c r="I55" s="3"/>
      <c r="J55" s="8">
        <f t="shared" si="37"/>
        <v>5.4</v>
      </c>
      <c r="K55" s="3"/>
      <c r="L55" s="7">
        <f t="shared" si="38"/>
        <v>-26.460000000000008</v>
      </c>
      <c r="M55" s="3"/>
      <c r="N55" s="8">
        <f t="shared" si="39"/>
        <v>-9.8000000000000032E-2</v>
      </c>
      <c r="O55" s="12"/>
      <c r="P55" s="7">
        <v>243.54</v>
      </c>
      <c r="Q55" s="3"/>
      <c r="R55" s="8">
        <f t="shared" si="40"/>
        <v>0</v>
      </c>
      <c r="S55" s="3"/>
      <c r="T55" s="7">
        <v>270</v>
      </c>
      <c r="U55" s="3"/>
      <c r="V55" s="8">
        <f t="shared" si="41"/>
        <v>5.4</v>
      </c>
      <c r="W55" s="3"/>
      <c r="X55" s="7">
        <f t="shared" si="42"/>
        <v>-26.460000000000008</v>
      </c>
      <c r="Y55" s="3"/>
      <c r="Z55" s="8">
        <f t="shared" si="43"/>
        <v>-9.8000000000000032E-2</v>
      </c>
    </row>
    <row r="56" spans="1:26" s="29" customFormat="1" outlineLevel="1" collapsed="1" x14ac:dyDescent="0.25">
      <c r="A56" s="28"/>
      <c r="B56" s="14" t="str">
        <f>CONCATENATE("     ","Interest                                          ")</f>
        <v xml:space="preserve">     Interest                                          </v>
      </c>
      <c r="C56" s="14"/>
      <c r="D56" s="1">
        <f>SUM(OSRRefD22_8x_0)</f>
        <v>4044</v>
      </c>
      <c r="E56" s="1"/>
      <c r="F56" s="5">
        <f t="shared" si="36"/>
        <v>0</v>
      </c>
      <c r="G56" s="1"/>
      <c r="H56" s="1">
        <f>SUM(OSRRefH22_8x_0)</f>
        <v>4044</v>
      </c>
      <c r="I56" s="1"/>
      <c r="J56" s="5">
        <f t="shared" si="37"/>
        <v>80.88</v>
      </c>
      <c r="K56" s="1"/>
      <c r="L56" s="1">
        <f t="shared" si="38"/>
        <v>0</v>
      </c>
      <c r="M56" s="1"/>
      <c r="N56" s="5">
        <f t="shared" si="39"/>
        <v>0</v>
      </c>
      <c r="O56" s="14"/>
      <c r="P56" s="1">
        <f>SUM(OSRRefP22_8x_0)</f>
        <v>4044</v>
      </c>
      <c r="Q56" s="1"/>
      <c r="R56" s="5">
        <f t="shared" si="40"/>
        <v>0</v>
      </c>
      <c r="S56" s="1"/>
      <c r="T56" s="1">
        <f>SUM(OSRRefT22_8x_0)</f>
        <v>4044</v>
      </c>
      <c r="U56" s="1"/>
      <c r="V56" s="5">
        <f t="shared" si="41"/>
        <v>80.88</v>
      </c>
      <c r="W56" s="1"/>
      <c r="X56" s="1">
        <f t="shared" si="42"/>
        <v>0</v>
      </c>
      <c r="Y56" s="1"/>
      <c r="Z56" s="5">
        <f t="shared" si="43"/>
        <v>0</v>
      </c>
    </row>
    <row r="57" spans="1:26" s="24" customFormat="1" hidden="1" outlineLevel="2" x14ac:dyDescent="0.25">
      <c r="A57" s="27"/>
      <c r="B57" s="12" t="str">
        <f>CONCATENATE("          ", "6401", " - ", "INTEREST EXPENSE")</f>
        <v xml:space="preserve">          6401 - INTEREST EXPENSE</v>
      </c>
      <c r="C57" s="12"/>
      <c r="D57" s="7">
        <v>4044</v>
      </c>
      <c r="E57" s="3"/>
      <c r="F57" s="8">
        <f t="shared" si="36"/>
        <v>0</v>
      </c>
      <c r="G57" s="3"/>
      <c r="H57" s="7">
        <v>4044</v>
      </c>
      <c r="I57" s="3"/>
      <c r="J57" s="8">
        <f t="shared" si="37"/>
        <v>80.88</v>
      </c>
      <c r="K57" s="3"/>
      <c r="L57" s="7">
        <f t="shared" si="38"/>
        <v>0</v>
      </c>
      <c r="M57" s="3"/>
      <c r="N57" s="8">
        <f t="shared" si="39"/>
        <v>0</v>
      </c>
      <c r="O57" s="12"/>
      <c r="P57" s="7">
        <v>4044</v>
      </c>
      <c r="Q57" s="3"/>
      <c r="R57" s="8">
        <f t="shared" si="40"/>
        <v>0</v>
      </c>
      <c r="S57" s="3"/>
      <c r="T57" s="7">
        <v>4044</v>
      </c>
      <c r="U57" s="3"/>
      <c r="V57" s="8">
        <f t="shared" si="41"/>
        <v>80.88</v>
      </c>
      <c r="W57" s="3"/>
      <c r="X57" s="7">
        <f t="shared" si="42"/>
        <v>0</v>
      </c>
      <c r="Y57" s="3"/>
      <c r="Z57" s="8">
        <f t="shared" si="43"/>
        <v>0</v>
      </c>
    </row>
    <row r="58" spans="1:26" s="29" customFormat="1" outlineLevel="1" collapsed="1" x14ac:dyDescent="0.25">
      <c r="A58" s="28"/>
      <c r="B58" s="14" t="str">
        <f>CONCATENATE("     ","Rent                                              ")</f>
        <v xml:space="preserve">     Rent                                              </v>
      </c>
      <c r="C58" s="14"/>
      <c r="D58" s="1">
        <f>SUM(OSRRefD22_9x_0)</f>
        <v>0</v>
      </c>
      <c r="E58" s="1"/>
      <c r="F58" s="5">
        <f t="shared" si="36"/>
        <v>0</v>
      </c>
      <c r="G58" s="1"/>
      <c r="H58" s="1">
        <f>SUM(OSRRefH22_9x_0)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SUM(OSRRefP22_9x_0)</f>
        <v>0</v>
      </c>
      <c r="Q58" s="1"/>
      <c r="R58" s="5">
        <f t="shared" si="40"/>
        <v>0</v>
      </c>
      <c r="S58" s="1"/>
      <c r="T58" s="1">
        <f>SUM(OSRRefT22_9x_0)</f>
        <v>0</v>
      </c>
      <c r="U58" s="1"/>
      <c r="V58" s="5">
        <f t="shared" si="41"/>
        <v>0</v>
      </c>
      <c r="W58" s="1"/>
      <c r="X58" s="1">
        <f t="shared" si="42"/>
        <v>0</v>
      </c>
      <c r="Y58" s="1"/>
      <c r="Z58" s="5">
        <f t="shared" si="43"/>
        <v>0</v>
      </c>
    </row>
    <row r="59" spans="1:26" s="24" customFormat="1" hidden="1" outlineLevel="2" x14ac:dyDescent="0.25">
      <c r="A59" s="27"/>
      <c r="B59" s="12" t="str">
        <f>CONCATENATE("          ", "6273", " - ", "RENT")</f>
        <v xml:space="preserve">          6273 - RENT</v>
      </c>
      <c r="C59" s="12"/>
      <c r="D59" s="7"/>
      <c r="E59" s="3"/>
      <c r="F59" s="8">
        <f t="shared" si="36"/>
        <v>0</v>
      </c>
      <c r="G59" s="3"/>
      <c r="H59" s="7">
        <v>0</v>
      </c>
      <c r="I59" s="3"/>
      <c r="J59" s="8">
        <f t="shared" si="37"/>
        <v>0</v>
      </c>
      <c r="K59" s="3"/>
      <c r="L59" s="7">
        <f t="shared" si="38"/>
        <v>0</v>
      </c>
      <c r="M59" s="3"/>
      <c r="N59" s="8">
        <f t="shared" si="39"/>
        <v>0</v>
      </c>
      <c r="O59" s="12"/>
      <c r="P59" s="7"/>
      <c r="Q59" s="3"/>
      <c r="R59" s="8">
        <f t="shared" si="40"/>
        <v>0</v>
      </c>
      <c r="S59" s="3"/>
      <c r="T59" s="7">
        <v>0</v>
      </c>
      <c r="U59" s="3"/>
      <c r="V59" s="8">
        <f t="shared" si="41"/>
        <v>0</v>
      </c>
      <c r="W59" s="3"/>
      <c r="X59" s="7">
        <f t="shared" si="42"/>
        <v>0</v>
      </c>
      <c r="Y59" s="3"/>
      <c r="Z59" s="8">
        <f t="shared" si="43"/>
        <v>0</v>
      </c>
    </row>
    <row r="60" spans="1:26" s="29" customFormat="1" outlineLevel="1" collapsed="1" x14ac:dyDescent="0.25">
      <c r="A60" s="28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SUM(OSRRefD22_10x_0)</f>
        <v>114</v>
      </c>
      <c r="E60" s="1"/>
      <c r="F60" s="5">
        <f t="shared" si="36"/>
        <v>0</v>
      </c>
      <c r="G60" s="1"/>
      <c r="H60" s="1">
        <f>SUM(OSRRefH22_10x_0)</f>
        <v>75</v>
      </c>
      <c r="I60" s="1"/>
      <c r="J60" s="5">
        <f t="shared" si="37"/>
        <v>1.5</v>
      </c>
      <c r="K60" s="1"/>
      <c r="L60" s="1">
        <f t="shared" si="38"/>
        <v>39</v>
      </c>
      <c r="M60" s="1"/>
      <c r="N60" s="5">
        <f t="shared" si="39"/>
        <v>0.52</v>
      </c>
      <c r="O60" s="14"/>
      <c r="P60" s="1">
        <f>SUM(OSRRefP22_10x_0)</f>
        <v>114</v>
      </c>
      <c r="Q60" s="1"/>
      <c r="R60" s="5">
        <f t="shared" si="40"/>
        <v>0</v>
      </c>
      <c r="S60" s="1"/>
      <c r="T60" s="1">
        <f>SUM(OSRRefT22_10x_0)</f>
        <v>75</v>
      </c>
      <c r="U60" s="1"/>
      <c r="V60" s="5">
        <f t="shared" si="41"/>
        <v>1.5</v>
      </c>
      <c r="W60" s="1"/>
      <c r="X60" s="1">
        <f t="shared" si="42"/>
        <v>39</v>
      </c>
      <c r="Y60" s="1"/>
      <c r="Z60" s="5">
        <f t="shared" si="43"/>
        <v>0.52</v>
      </c>
    </row>
    <row r="61" spans="1:26" s="24" customFormat="1" hidden="1" outlineLevel="2" x14ac:dyDescent="0.25">
      <c r="A61" s="27"/>
      <c r="B61" s="12" t="str">
        <f>CONCATENATE("          ", "6375", " - ", "OUTSIDE REPAIRS &amp; MAINTENANCE")</f>
        <v xml:space="preserve">          6375 - OUTSIDE REPAIRS &amp; MAINTENANCE</v>
      </c>
      <c r="C61" s="12"/>
      <c r="D61" s="7">
        <v>114</v>
      </c>
      <c r="E61" s="3"/>
      <c r="F61" s="8">
        <f t="shared" si="36"/>
        <v>0</v>
      </c>
      <c r="G61" s="3"/>
      <c r="H61" s="7">
        <v>75</v>
      </c>
      <c r="I61" s="3"/>
      <c r="J61" s="8">
        <f t="shared" si="37"/>
        <v>1.5</v>
      </c>
      <c r="K61" s="3"/>
      <c r="L61" s="7">
        <f t="shared" si="38"/>
        <v>39</v>
      </c>
      <c r="M61" s="3"/>
      <c r="N61" s="8">
        <f t="shared" si="39"/>
        <v>0.52</v>
      </c>
      <c r="O61" s="12"/>
      <c r="P61" s="7">
        <v>114</v>
      </c>
      <c r="Q61" s="3"/>
      <c r="R61" s="8">
        <f t="shared" si="40"/>
        <v>0</v>
      </c>
      <c r="S61" s="3"/>
      <c r="T61" s="7">
        <v>75</v>
      </c>
      <c r="U61" s="3"/>
      <c r="V61" s="8">
        <f t="shared" si="41"/>
        <v>1.5</v>
      </c>
      <c r="W61" s="3"/>
      <c r="X61" s="7">
        <f t="shared" si="42"/>
        <v>39</v>
      </c>
      <c r="Y61" s="3"/>
      <c r="Z61" s="8">
        <f t="shared" si="43"/>
        <v>0.52</v>
      </c>
    </row>
    <row r="62" spans="1:26" s="29" customFormat="1" outlineLevel="1" collapsed="1" x14ac:dyDescent="0.25">
      <c r="A62" s="28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SUM(OSRRefD22_11x_0)</f>
        <v>-804.6</v>
      </c>
      <c r="E62" s="1"/>
      <c r="F62" s="5">
        <f t="shared" si="36"/>
        <v>0</v>
      </c>
      <c r="G62" s="1"/>
      <c r="H62" s="1">
        <f>SUM(OSRRefH22_11x_0)</f>
        <v>599</v>
      </c>
      <c r="I62" s="1"/>
      <c r="J62" s="5">
        <f t="shared" si="37"/>
        <v>11.98</v>
      </c>
      <c r="K62" s="1"/>
      <c r="L62" s="1">
        <f t="shared" si="38"/>
        <v>-1403.6</v>
      </c>
      <c r="M62" s="1"/>
      <c r="N62" s="5">
        <f t="shared" si="39"/>
        <v>-2.3432387312186975</v>
      </c>
      <c r="O62" s="14"/>
      <c r="P62" s="1">
        <f>SUM(OSRRefP22_11x_0)</f>
        <v>-804.6</v>
      </c>
      <c r="Q62" s="1"/>
      <c r="R62" s="5">
        <f t="shared" si="40"/>
        <v>0</v>
      </c>
      <c r="S62" s="1"/>
      <c r="T62" s="1">
        <f>SUM(OSRRefT22_11x_0)</f>
        <v>599</v>
      </c>
      <c r="U62" s="1"/>
      <c r="V62" s="5">
        <f t="shared" si="41"/>
        <v>11.98</v>
      </c>
      <c r="W62" s="1"/>
      <c r="X62" s="1">
        <f t="shared" si="42"/>
        <v>-1403.6</v>
      </c>
      <c r="Y62" s="1"/>
      <c r="Z62" s="5">
        <f t="shared" si="43"/>
        <v>-2.3432387312186975</v>
      </c>
    </row>
    <row r="63" spans="1:26" s="24" customFormat="1" hidden="1" outlineLevel="2" x14ac:dyDescent="0.25">
      <c r="A63" s="27"/>
      <c r="B63" s="12" t="str">
        <f>CONCATENATE("          ", "6282", " - ", "JANITORIAL/EXTERMINATOR EXPENS")</f>
        <v xml:space="preserve">          6282 - JANITORIAL/EXTERMINATOR EXPENS</v>
      </c>
      <c r="C63" s="12"/>
      <c r="D63" s="7"/>
      <c r="E63" s="3"/>
      <c r="F63" s="8">
        <f t="shared" si="36"/>
        <v>0</v>
      </c>
      <c r="G63" s="3"/>
      <c r="H63" s="7">
        <v>157</v>
      </c>
      <c r="I63" s="3"/>
      <c r="J63" s="8">
        <f t="shared" si="37"/>
        <v>3.14</v>
      </c>
      <c r="K63" s="3"/>
      <c r="L63" s="7">
        <f t="shared" si="38"/>
        <v>-157</v>
      </c>
      <c r="M63" s="3"/>
      <c r="N63" s="8">
        <f t="shared" si="39"/>
        <v>-1</v>
      </c>
      <c r="O63" s="12"/>
      <c r="P63" s="7"/>
      <c r="Q63" s="3"/>
      <c r="R63" s="8">
        <f t="shared" si="40"/>
        <v>0</v>
      </c>
      <c r="S63" s="3"/>
      <c r="T63" s="7">
        <v>157</v>
      </c>
      <c r="U63" s="3"/>
      <c r="V63" s="8">
        <f t="shared" si="41"/>
        <v>3.14</v>
      </c>
      <c r="W63" s="3"/>
      <c r="X63" s="7">
        <f t="shared" si="42"/>
        <v>-157</v>
      </c>
      <c r="Y63" s="3"/>
      <c r="Z63" s="8">
        <f t="shared" si="43"/>
        <v>-1</v>
      </c>
    </row>
    <row r="64" spans="1:26" s="24" customFormat="1" hidden="1" outlineLevel="2" x14ac:dyDescent="0.25">
      <c r="A64" s="27"/>
      <c r="B64" s="12" t="str">
        <f>CONCATENATE("          ", "6284", " - ", "TRASH REMOVAL EXPENSE")</f>
        <v xml:space="preserve">          6284 - TRASH REMOVAL EXPENSE</v>
      </c>
      <c r="C64" s="12"/>
      <c r="D64" s="7"/>
      <c r="E64" s="3"/>
      <c r="F64" s="8">
        <f t="shared" si="36"/>
        <v>0</v>
      </c>
      <c r="G64" s="3"/>
      <c r="H64" s="7">
        <v>237</v>
      </c>
      <c r="I64" s="3"/>
      <c r="J64" s="8">
        <f t="shared" si="37"/>
        <v>4.74</v>
      </c>
      <c r="K64" s="3"/>
      <c r="L64" s="7">
        <f t="shared" si="38"/>
        <v>-237</v>
      </c>
      <c r="M64" s="3"/>
      <c r="N64" s="8">
        <f t="shared" si="39"/>
        <v>-1</v>
      </c>
      <c r="O64" s="12"/>
      <c r="P64" s="7"/>
      <c r="Q64" s="3"/>
      <c r="R64" s="8">
        <f t="shared" si="40"/>
        <v>0</v>
      </c>
      <c r="S64" s="3"/>
      <c r="T64" s="7">
        <v>237</v>
      </c>
      <c r="U64" s="3"/>
      <c r="V64" s="8">
        <f t="shared" si="41"/>
        <v>4.74</v>
      </c>
      <c r="W64" s="3"/>
      <c r="X64" s="7">
        <f t="shared" si="42"/>
        <v>-237</v>
      </c>
      <c r="Y64" s="3"/>
      <c r="Z64" s="8">
        <f t="shared" si="43"/>
        <v>-1</v>
      </c>
    </row>
    <row r="65" spans="1:26" s="24" customFormat="1" hidden="1" outlineLevel="2" x14ac:dyDescent="0.25">
      <c r="A65" s="27"/>
      <c r="B65" s="12" t="str">
        <f>CONCATENATE("          ", "6285", " - ", "JANITORIAL SERVICES")</f>
        <v xml:space="preserve">          6285 - JANITORIAL SERVICES</v>
      </c>
      <c r="C65" s="12"/>
      <c r="D65" s="7">
        <v>-804.6</v>
      </c>
      <c r="E65" s="3"/>
      <c r="F65" s="8">
        <f t="shared" si="36"/>
        <v>0</v>
      </c>
      <c r="G65" s="3"/>
      <c r="H65" s="7">
        <v>163</v>
      </c>
      <c r="I65" s="3"/>
      <c r="J65" s="8">
        <f t="shared" si="37"/>
        <v>3.26</v>
      </c>
      <c r="K65" s="3"/>
      <c r="L65" s="7">
        <f t="shared" si="38"/>
        <v>-967.6</v>
      </c>
      <c r="M65" s="3"/>
      <c r="N65" s="8">
        <f t="shared" si="39"/>
        <v>-5.9361963190184053</v>
      </c>
      <c r="O65" s="12"/>
      <c r="P65" s="7">
        <v>-804.6</v>
      </c>
      <c r="Q65" s="3"/>
      <c r="R65" s="8">
        <f t="shared" si="40"/>
        <v>0</v>
      </c>
      <c r="S65" s="3"/>
      <c r="T65" s="7">
        <v>163</v>
      </c>
      <c r="U65" s="3"/>
      <c r="V65" s="8">
        <f t="shared" si="41"/>
        <v>3.26</v>
      </c>
      <c r="W65" s="3"/>
      <c r="X65" s="7">
        <f t="shared" si="42"/>
        <v>-967.6</v>
      </c>
      <c r="Y65" s="3"/>
      <c r="Z65" s="8">
        <f t="shared" si="43"/>
        <v>-5.9361963190184053</v>
      </c>
    </row>
    <row r="66" spans="1:26" s="24" customFormat="1" hidden="1" outlineLevel="2" x14ac:dyDescent="0.25">
      <c r="A66" s="27"/>
      <c r="B66" s="12" t="str">
        <f>CONCATENATE("          ", "6286", " - ", "LAUNDRY EXPENSE")</f>
        <v xml:space="preserve">          6286 - LAUNDRY EXPENSE</v>
      </c>
      <c r="C66" s="12"/>
      <c r="D66" s="7"/>
      <c r="E66" s="3"/>
      <c r="F66" s="8">
        <f t="shared" si="36"/>
        <v>0</v>
      </c>
      <c r="G66" s="3"/>
      <c r="H66" s="7">
        <v>42</v>
      </c>
      <c r="I66" s="3"/>
      <c r="J66" s="8">
        <f t="shared" si="37"/>
        <v>0.84</v>
      </c>
      <c r="K66" s="3"/>
      <c r="L66" s="7">
        <f t="shared" si="38"/>
        <v>-42</v>
      </c>
      <c r="M66" s="3"/>
      <c r="N66" s="8">
        <f t="shared" si="39"/>
        <v>-1</v>
      </c>
      <c r="O66" s="12"/>
      <c r="P66" s="7"/>
      <c r="Q66" s="3"/>
      <c r="R66" s="8">
        <f t="shared" si="40"/>
        <v>0</v>
      </c>
      <c r="S66" s="3"/>
      <c r="T66" s="7">
        <v>42</v>
      </c>
      <c r="U66" s="3"/>
      <c r="V66" s="8">
        <f t="shared" si="41"/>
        <v>0.84</v>
      </c>
      <c r="W66" s="3"/>
      <c r="X66" s="7">
        <f t="shared" si="42"/>
        <v>-42</v>
      </c>
      <c r="Y66" s="3"/>
      <c r="Z66" s="8">
        <f t="shared" si="43"/>
        <v>-1</v>
      </c>
    </row>
    <row r="67" spans="1:26" s="29" customFormat="1" outlineLevel="1" collapsed="1" x14ac:dyDescent="0.25">
      <c r="A67" s="28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1">
        <f>SUM(OSRRefD22_12x_0)</f>
        <v>0</v>
      </c>
      <c r="E67" s="1"/>
      <c r="F67" s="5">
        <f t="shared" ref="F67:F72" si="44">IF(D$12=0,0,D67/D$12)</f>
        <v>0</v>
      </c>
      <c r="G67" s="1"/>
      <c r="H67" s="1">
        <f>SUM(OSRRefH22_12x_0)</f>
        <v>176</v>
      </c>
      <c r="I67" s="1"/>
      <c r="J67" s="5">
        <f t="shared" ref="J67:J72" si="45">IF(H$12=0,0,H67/H$12)</f>
        <v>3.52</v>
      </c>
      <c r="K67" s="1"/>
      <c r="L67" s="1">
        <f t="shared" ref="L67:L72" si="46">+D67-H67</f>
        <v>-176</v>
      </c>
      <c r="M67" s="1"/>
      <c r="N67" s="5">
        <f t="shared" ref="N67:N72" si="47">IF(H67=0,0,L67/H67)</f>
        <v>-1</v>
      </c>
      <c r="O67" s="14"/>
      <c r="P67" s="1">
        <f>SUM(OSRRefP22_12x_0)</f>
        <v>0</v>
      </c>
      <c r="Q67" s="1"/>
      <c r="R67" s="5">
        <f t="shared" ref="R67:R72" si="48">IF(P$12=0,0,P67/P$12)</f>
        <v>0</v>
      </c>
      <c r="S67" s="1"/>
      <c r="T67" s="1">
        <f>SUM(OSRRefT22_12x_0)</f>
        <v>176</v>
      </c>
      <c r="U67" s="1"/>
      <c r="V67" s="5">
        <f t="shared" ref="V67:V72" si="49">IF(T$12=0,0,T67/T$12)</f>
        <v>3.52</v>
      </c>
      <c r="W67" s="1"/>
      <c r="X67" s="1">
        <f t="shared" ref="X67:X72" si="50">+P67-T67</f>
        <v>-176</v>
      </c>
      <c r="Y67" s="1"/>
      <c r="Z67" s="5">
        <f t="shared" ref="Z67:Z72" si="51">IF(T67=0,0,X67/T67)</f>
        <v>-1</v>
      </c>
    </row>
    <row r="68" spans="1:26" s="24" customFormat="1" hidden="1" outlineLevel="2" x14ac:dyDescent="0.25">
      <c r="A68" s="27"/>
      <c r="B68" s="12" t="str">
        <f>CONCATENATE("          ", "6275", " - ", "SUBSCRIPTIONS")</f>
        <v xml:space="preserve">          6275 - SUBSCRIPTIONS</v>
      </c>
      <c r="C68" s="12"/>
      <c r="D68" s="7"/>
      <c r="E68" s="3"/>
      <c r="F68" s="8">
        <f t="shared" si="44"/>
        <v>0</v>
      </c>
      <c r="G68" s="3"/>
      <c r="H68" s="7">
        <v>176</v>
      </c>
      <c r="I68" s="3"/>
      <c r="J68" s="8">
        <f t="shared" si="45"/>
        <v>3.52</v>
      </c>
      <c r="K68" s="3"/>
      <c r="L68" s="7">
        <f t="shared" si="46"/>
        <v>-176</v>
      </c>
      <c r="M68" s="3"/>
      <c r="N68" s="8">
        <f t="shared" si="47"/>
        <v>-1</v>
      </c>
      <c r="O68" s="12"/>
      <c r="P68" s="7"/>
      <c r="Q68" s="3"/>
      <c r="R68" s="8">
        <f t="shared" si="48"/>
        <v>0</v>
      </c>
      <c r="S68" s="3"/>
      <c r="T68" s="7">
        <v>176</v>
      </c>
      <c r="U68" s="3"/>
      <c r="V68" s="8">
        <f t="shared" si="49"/>
        <v>3.52</v>
      </c>
      <c r="W68" s="3"/>
      <c r="X68" s="7">
        <f t="shared" si="50"/>
        <v>-176</v>
      </c>
      <c r="Y68" s="3"/>
      <c r="Z68" s="8">
        <f t="shared" si="51"/>
        <v>-1</v>
      </c>
    </row>
    <row r="69" spans="1:26" s="29" customFormat="1" outlineLevel="1" collapsed="1" x14ac:dyDescent="0.25">
      <c r="A69" s="28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SUM(OSRRefD22_13x_0)</f>
        <v>207.27</v>
      </c>
      <c r="E69" s="1"/>
      <c r="F69" s="5">
        <f t="shared" si="44"/>
        <v>0</v>
      </c>
      <c r="G69" s="1"/>
      <c r="H69" s="1">
        <f>SUM(OSRRefH22_13x_0)</f>
        <v>787</v>
      </c>
      <c r="I69" s="1"/>
      <c r="J69" s="5">
        <f t="shared" si="45"/>
        <v>15.74</v>
      </c>
      <c r="K69" s="1"/>
      <c r="L69" s="1">
        <f t="shared" si="46"/>
        <v>-579.73</v>
      </c>
      <c r="M69" s="1"/>
      <c r="N69" s="5">
        <f t="shared" si="47"/>
        <v>-0.73663278271918686</v>
      </c>
      <c r="O69" s="14"/>
      <c r="P69" s="1">
        <f>SUM(OSRRefP22_13x_0)</f>
        <v>207.27</v>
      </c>
      <c r="Q69" s="1"/>
      <c r="R69" s="5">
        <f t="shared" si="48"/>
        <v>0</v>
      </c>
      <c r="S69" s="1"/>
      <c r="T69" s="1">
        <f>SUM(OSRRefT22_13x_0)</f>
        <v>787</v>
      </c>
      <c r="U69" s="1"/>
      <c r="V69" s="5">
        <f t="shared" si="49"/>
        <v>15.74</v>
      </c>
      <c r="W69" s="1"/>
      <c r="X69" s="1">
        <f t="shared" si="50"/>
        <v>-579.73</v>
      </c>
      <c r="Y69" s="1"/>
      <c r="Z69" s="5">
        <f t="shared" si="51"/>
        <v>-0.73663278271918686</v>
      </c>
    </row>
    <row r="70" spans="1:26" s="24" customFormat="1" hidden="1" outlineLevel="2" x14ac:dyDescent="0.25">
      <c r="A70" s="27"/>
      <c r="B70" s="12" t="str">
        <f>CONCATENATE("          ", "6235", " - ", "COVID-19 EXPENSES")</f>
        <v xml:space="preserve">          6235 - COVID-19 EXPENSES</v>
      </c>
      <c r="C70" s="12"/>
      <c r="D70" s="7">
        <v>207.27</v>
      </c>
      <c r="E70" s="3"/>
      <c r="F70" s="8">
        <f t="shared" si="44"/>
        <v>0</v>
      </c>
      <c r="G70" s="3"/>
      <c r="H70" s="7">
        <v>0</v>
      </c>
      <c r="I70" s="3"/>
      <c r="J70" s="8">
        <f t="shared" si="45"/>
        <v>0</v>
      </c>
      <c r="K70" s="3"/>
      <c r="L70" s="7">
        <f t="shared" si="46"/>
        <v>207.27</v>
      </c>
      <c r="M70" s="3"/>
      <c r="N70" s="8">
        <f t="shared" si="47"/>
        <v>0</v>
      </c>
      <c r="O70" s="12"/>
      <c r="P70" s="7">
        <v>207.27</v>
      </c>
      <c r="Q70" s="3"/>
      <c r="R70" s="8">
        <f t="shared" si="48"/>
        <v>0</v>
      </c>
      <c r="S70" s="3"/>
      <c r="T70" s="7">
        <v>0</v>
      </c>
      <c r="U70" s="3"/>
      <c r="V70" s="8">
        <f t="shared" si="49"/>
        <v>0</v>
      </c>
      <c r="W70" s="3"/>
      <c r="X70" s="7">
        <f t="shared" si="50"/>
        <v>207.27</v>
      </c>
      <c r="Y70" s="3"/>
      <c r="Z70" s="8">
        <f t="shared" si="51"/>
        <v>0</v>
      </c>
    </row>
    <row r="71" spans="1:26" s="24" customFormat="1" hidden="1" outlineLevel="2" x14ac:dyDescent="0.25">
      <c r="A71" s="27"/>
      <c r="B71" s="12" t="str">
        <f>CONCATENATE("          ", "6247", " - ", "STORE SUPPLIES")</f>
        <v xml:space="preserve">          6247 - STORE SUPPLIES</v>
      </c>
      <c r="C71" s="12"/>
      <c r="D71" s="7"/>
      <c r="E71" s="3"/>
      <c r="F71" s="8">
        <f t="shared" si="44"/>
        <v>0</v>
      </c>
      <c r="G71" s="3"/>
      <c r="H71" s="7">
        <v>787</v>
      </c>
      <c r="I71" s="3"/>
      <c r="J71" s="8">
        <f t="shared" si="45"/>
        <v>15.74</v>
      </c>
      <c r="K71" s="3"/>
      <c r="L71" s="7">
        <f t="shared" si="46"/>
        <v>-787</v>
      </c>
      <c r="M71" s="3"/>
      <c r="N71" s="8">
        <f t="shared" si="47"/>
        <v>-1</v>
      </c>
      <c r="O71" s="12"/>
      <c r="P71" s="7"/>
      <c r="Q71" s="3"/>
      <c r="R71" s="8">
        <f t="shared" si="48"/>
        <v>0</v>
      </c>
      <c r="S71" s="3"/>
      <c r="T71" s="7">
        <v>787</v>
      </c>
      <c r="U71" s="3"/>
      <c r="V71" s="8">
        <f t="shared" si="49"/>
        <v>15.74</v>
      </c>
      <c r="W71" s="3"/>
      <c r="X71" s="7">
        <f t="shared" si="50"/>
        <v>-787</v>
      </c>
      <c r="Y71" s="3"/>
      <c r="Z71" s="8">
        <f t="shared" si="51"/>
        <v>-1</v>
      </c>
    </row>
    <row r="72" spans="1:26" s="24" customFormat="1" hidden="1" outlineLevel="2" x14ac:dyDescent="0.25">
      <c r="A72" s="27"/>
      <c r="B72" s="12" t="str">
        <f>CONCATENATE("          ", "6248", " - ", "UNIFORMS")</f>
        <v xml:space="preserve">          6248 - UNIFORMS</v>
      </c>
      <c r="C72" s="12"/>
      <c r="D72" s="7"/>
      <c r="E72" s="3"/>
      <c r="F72" s="8">
        <f t="shared" si="44"/>
        <v>0</v>
      </c>
      <c r="G72" s="3"/>
      <c r="H72" s="7">
        <v>0</v>
      </c>
      <c r="I72" s="3"/>
      <c r="J72" s="8">
        <f t="shared" si="45"/>
        <v>0</v>
      </c>
      <c r="K72" s="3"/>
      <c r="L72" s="7">
        <f t="shared" si="46"/>
        <v>0</v>
      </c>
      <c r="M72" s="3"/>
      <c r="N72" s="8">
        <f t="shared" si="47"/>
        <v>0</v>
      </c>
      <c r="O72" s="12"/>
      <c r="P72" s="7"/>
      <c r="Q72" s="3"/>
      <c r="R72" s="8">
        <f t="shared" si="48"/>
        <v>0</v>
      </c>
      <c r="S72" s="3"/>
      <c r="T72" s="7">
        <v>0</v>
      </c>
      <c r="U72" s="3"/>
      <c r="V72" s="8">
        <f t="shared" si="49"/>
        <v>0</v>
      </c>
      <c r="W72" s="3"/>
      <c r="X72" s="7">
        <f t="shared" si="50"/>
        <v>0</v>
      </c>
      <c r="Y72" s="3"/>
      <c r="Z72" s="8">
        <f t="shared" si="51"/>
        <v>0</v>
      </c>
    </row>
    <row r="73" spans="1:26" s="29" customFormat="1" outlineLevel="1" collapsed="1" x14ac:dyDescent="0.25">
      <c r="A73" s="28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SUM(OSRRefD22_14x_0)</f>
        <v>388.81</v>
      </c>
      <c r="E73" s="1"/>
      <c r="F73" s="5">
        <f t="shared" ref="F73:F75" si="52">IF(D$12=0,0,D73/D$12)</f>
        <v>0</v>
      </c>
      <c r="G73" s="1"/>
      <c r="H73" s="1">
        <f>SUM(OSRRefH22_14x_0)</f>
        <v>382</v>
      </c>
      <c r="I73" s="1"/>
      <c r="J73" s="5">
        <f t="shared" ref="J73:J75" si="53">IF(H$12=0,0,H73/H$12)</f>
        <v>7.64</v>
      </c>
      <c r="K73" s="1"/>
      <c r="L73" s="1">
        <f t="shared" ref="L73:L75" si="54">+D73-H73</f>
        <v>6.8100000000000023</v>
      </c>
      <c r="M73" s="1"/>
      <c r="N73" s="5">
        <f t="shared" ref="N73:N75" si="55">IF(H73=0,0,L73/H73)</f>
        <v>1.7827225130890058E-2</v>
      </c>
      <c r="O73" s="14"/>
      <c r="P73" s="1">
        <f>SUM(OSRRefP22_14x_0)</f>
        <v>388.81</v>
      </c>
      <c r="Q73" s="1"/>
      <c r="R73" s="5">
        <f t="shared" ref="R73:R75" si="56">IF(P$12=0,0,P73/P$12)</f>
        <v>0</v>
      </c>
      <c r="S73" s="1"/>
      <c r="T73" s="1">
        <f>SUM(OSRRefT22_14x_0)</f>
        <v>382</v>
      </c>
      <c r="U73" s="1"/>
      <c r="V73" s="5">
        <f t="shared" ref="V73:V75" si="57">IF(T$12=0,0,T73/T$12)</f>
        <v>7.64</v>
      </c>
      <c r="W73" s="1"/>
      <c r="X73" s="1">
        <f t="shared" ref="X73:X75" si="58">+P73-T73</f>
        <v>6.8100000000000023</v>
      </c>
      <c r="Y73" s="1"/>
      <c r="Z73" s="5">
        <f t="shared" ref="Z73:Z75" si="59">IF(T73=0,0,X73/T73)</f>
        <v>1.7827225130890058E-2</v>
      </c>
    </row>
    <row r="74" spans="1:26" s="24" customFormat="1" hidden="1" outlineLevel="2" x14ac:dyDescent="0.25">
      <c r="A74" s="27"/>
      <c r="B74" s="12" t="str">
        <f>CONCATENATE("          ", "6303", " - ", "DATA PHONE LINES")</f>
        <v xml:space="preserve">          6303 - DATA PHONE LINES</v>
      </c>
      <c r="C74" s="12"/>
      <c r="D74" s="7"/>
      <c r="E74" s="3"/>
      <c r="F74" s="8">
        <f t="shared" si="52"/>
        <v>0</v>
      </c>
      <c r="G74" s="3"/>
      <c r="H74" s="7">
        <v>232</v>
      </c>
      <c r="I74" s="3"/>
      <c r="J74" s="8">
        <f t="shared" si="53"/>
        <v>4.6399999999999997</v>
      </c>
      <c r="K74" s="3"/>
      <c r="L74" s="7">
        <f t="shared" si="54"/>
        <v>-232</v>
      </c>
      <c r="M74" s="3"/>
      <c r="N74" s="8">
        <f t="shared" si="55"/>
        <v>-1</v>
      </c>
      <c r="O74" s="12"/>
      <c r="P74" s="7"/>
      <c r="Q74" s="3"/>
      <c r="R74" s="8">
        <f t="shared" si="56"/>
        <v>0</v>
      </c>
      <c r="S74" s="3"/>
      <c r="T74" s="7">
        <v>232</v>
      </c>
      <c r="U74" s="3"/>
      <c r="V74" s="8">
        <f t="shared" si="57"/>
        <v>4.6399999999999997</v>
      </c>
      <c r="W74" s="3"/>
      <c r="X74" s="7">
        <f t="shared" si="58"/>
        <v>-232</v>
      </c>
      <c r="Y74" s="3"/>
      <c r="Z74" s="8">
        <f t="shared" si="59"/>
        <v>-1</v>
      </c>
    </row>
    <row r="75" spans="1:26" s="24" customFormat="1" hidden="1" outlineLevel="2" x14ac:dyDescent="0.25">
      <c r="A75" s="27"/>
      <c r="B75" s="12" t="str">
        <f>CONCATENATE("          ", "6309", " - ", "TELEPHONE")</f>
        <v xml:space="preserve">          6309 - TELEPHONE</v>
      </c>
      <c r="C75" s="12"/>
      <c r="D75" s="7">
        <v>388.81</v>
      </c>
      <c r="E75" s="3"/>
      <c r="F75" s="8">
        <f t="shared" si="52"/>
        <v>0</v>
      </c>
      <c r="G75" s="3"/>
      <c r="H75" s="7">
        <v>150</v>
      </c>
      <c r="I75" s="3"/>
      <c r="J75" s="8">
        <f t="shared" si="53"/>
        <v>3</v>
      </c>
      <c r="K75" s="3"/>
      <c r="L75" s="7">
        <f t="shared" si="54"/>
        <v>238.81</v>
      </c>
      <c r="M75" s="3"/>
      <c r="N75" s="8">
        <f t="shared" si="55"/>
        <v>1.5920666666666667</v>
      </c>
      <c r="O75" s="12"/>
      <c r="P75" s="7">
        <v>388.81</v>
      </c>
      <c r="Q75" s="3"/>
      <c r="R75" s="8">
        <f t="shared" si="56"/>
        <v>0</v>
      </c>
      <c r="S75" s="3"/>
      <c r="T75" s="7">
        <v>150</v>
      </c>
      <c r="U75" s="3"/>
      <c r="V75" s="8">
        <f t="shared" si="57"/>
        <v>3</v>
      </c>
      <c r="W75" s="3"/>
      <c r="X75" s="7">
        <f t="shared" si="58"/>
        <v>238.81</v>
      </c>
      <c r="Y75" s="3"/>
      <c r="Z75" s="8">
        <f t="shared" si="59"/>
        <v>1.5920666666666667</v>
      </c>
    </row>
    <row r="76" spans="1:26" s="29" customFormat="1" outlineLevel="1" collapsed="1" x14ac:dyDescent="0.25">
      <c r="A76" s="28"/>
      <c r="B76" s="14" t="str">
        <f>CONCATENATE("     ","Utilities                                         ")</f>
        <v xml:space="preserve">     Utilities                                         </v>
      </c>
      <c r="C76" s="14"/>
      <c r="D76" s="1">
        <f>SUM(OSRRefD22_15x_0)</f>
        <v>50</v>
      </c>
      <c r="E76" s="1"/>
      <c r="F76" s="5">
        <f t="shared" ref="F76:F77" si="60">IF(D$12=0,0,D76/D$12)</f>
        <v>0</v>
      </c>
      <c r="G76" s="1"/>
      <c r="H76" s="1">
        <f>SUM(OSRRefH22_15x_0)</f>
        <v>821</v>
      </c>
      <c r="I76" s="1"/>
      <c r="J76" s="5">
        <f t="shared" ref="J76:J77" si="61">IF(H$12=0,0,H76/H$12)</f>
        <v>16.420000000000002</v>
      </c>
      <c r="K76" s="1"/>
      <c r="L76" s="1">
        <f t="shared" ref="L76:L77" si="62">+D76-H76</f>
        <v>-771</v>
      </c>
      <c r="M76" s="1"/>
      <c r="N76" s="5">
        <f t="shared" ref="N76:N77" si="63">IF(H76=0,0,L76/H76)</f>
        <v>-0.93909866017052379</v>
      </c>
      <c r="O76" s="14"/>
      <c r="P76" s="1">
        <f>SUM(OSRRefP22_15x_0)</f>
        <v>50</v>
      </c>
      <c r="Q76" s="1"/>
      <c r="R76" s="5">
        <f t="shared" ref="R76:R77" si="64">IF(P$12=0,0,P76/P$12)</f>
        <v>0</v>
      </c>
      <c r="S76" s="1"/>
      <c r="T76" s="1">
        <f>SUM(OSRRefT22_15x_0)</f>
        <v>821</v>
      </c>
      <c r="U76" s="1"/>
      <c r="V76" s="5">
        <f t="shared" ref="V76:V77" si="65">IF(T$12=0,0,T76/T$12)</f>
        <v>16.420000000000002</v>
      </c>
      <c r="W76" s="1"/>
      <c r="X76" s="1">
        <f t="shared" ref="X76:X77" si="66">+P76-T76</f>
        <v>-771</v>
      </c>
      <c r="Y76" s="1"/>
      <c r="Z76" s="5">
        <f t="shared" ref="Z76:Z77" si="67">IF(T76=0,0,X76/T76)</f>
        <v>-0.93909866017052379</v>
      </c>
    </row>
    <row r="77" spans="1:26" s="24" customFormat="1" hidden="1" outlineLevel="2" x14ac:dyDescent="0.25">
      <c r="A77" s="27"/>
      <c r="B77" s="12" t="str">
        <f>CONCATENATE("          ", "6274", " - ", "UTILITIES")</f>
        <v xml:space="preserve">          6274 - UTILITIES</v>
      </c>
      <c r="C77" s="12"/>
      <c r="D77" s="7">
        <v>50</v>
      </c>
      <c r="E77" s="3"/>
      <c r="F77" s="8">
        <f t="shared" si="60"/>
        <v>0</v>
      </c>
      <c r="G77" s="3"/>
      <c r="H77" s="7">
        <v>821</v>
      </c>
      <c r="I77" s="3"/>
      <c r="J77" s="8">
        <f t="shared" si="61"/>
        <v>16.420000000000002</v>
      </c>
      <c r="K77" s="3"/>
      <c r="L77" s="7">
        <f t="shared" si="62"/>
        <v>-771</v>
      </c>
      <c r="M77" s="3"/>
      <c r="N77" s="8">
        <f t="shared" si="63"/>
        <v>-0.93909866017052379</v>
      </c>
      <c r="O77" s="12"/>
      <c r="P77" s="7">
        <v>50</v>
      </c>
      <c r="Q77" s="3"/>
      <c r="R77" s="8">
        <f t="shared" si="64"/>
        <v>0</v>
      </c>
      <c r="S77" s="3"/>
      <c r="T77" s="7">
        <v>821</v>
      </c>
      <c r="U77" s="3"/>
      <c r="V77" s="8">
        <f t="shared" si="65"/>
        <v>16.420000000000002</v>
      </c>
      <c r="W77" s="3"/>
      <c r="X77" s="7">
        <f t="shared" si="66"/>
        <v>-771</v>
      </c>
      <c r="Y77" s="3"/>
      <c r="Z77" s="8">
        <f t="shared" si="67"/>
        <v>-0.93909866017052379</v>
      </c>
    </row>
    <row r="78" spans="1:26" s="54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2" customFormat="1" x14ac:dyDescent="0.25">
      <c r="A79" s="10"/>
      <c r="B79" s="26" t="s">
        <v>0</v>
      </c>
      <c r="C79" s="10"/>
      <c r="D79" s="4">
        <f>SUM(0)</f>
        <v>0</v>
      </c>
      <c r="E79" s="4"/>
      <c r="F79" s="11">
        <f>IF(D$12=0,0,D79/D$12)</f>
        <v>0</v>
      </c>
      <c r="G79" s="4"/>
      <c r="H79" s="4">
        <f>SUM(0)</f>
        <v>0</v>
      </c>
      <c r="I79" s="4"/>
      <c r="J79" s="11">
        <f>IF(H$12=0,0,H79/H$12)</f>
        <v>0</v>
      </c>
      <c r="K79" s="4"/>
      <c r="L79" s="4">
        <f>+D79-H79</f>
        <v>0</v>
      </c>
      <c r="M79" s="4"/>
      <c r="N79" s="11">
        <f>IF(H79=0,0,L79/H79)</f>
        <v>0</v>
      </c>
      <c r="O79" s="10"/>
      <c r="P79" s="4">
        <f>SUM(0)</f>
        <v>0</v>
      </c>
      <c r="Q79" s="4"/>
      <c r="R79" s="11">
        <f>IF(P$12=0,0,P79/P$12)</f>
        <v>0</v>
      </c>
      <c r="S79" s="4"/>
      <c r="T79" s="4">
        <f>SUM(0)</f>
        <v>0</v>
      </c>
      <c r="U79" s="4"/>
      <c r="V79" s="11">
        <f>IF(T$12=0,0,T79/T$12)</f>
        <v>0</v>
      </c>
      <c r="W79" s="4"/>
      <c r="X79" s="4">
        <f>+P79-T79</f>
        <v>0</v>
      </c>
      <c r="Y79" s="4"/>
      <c r="Z79" s="11">
        <f>IF(T79=0,0,X79/T79)</f>
        <v>0</v>
      </c>
    </row>
    <row r="80" spans="1:26" x14ac:dyDescent="0.25">
      <c r="A80" s="9"/>
      <c r="B80" s="10"/>
      <c r="C80" s="10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10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2" customFormat="1" x14ac:dyDescent="0.25">
      <c r="A81" s="10"/>
      <c r="B81" s="25" t="s">
        <v>3</v>
      </c>
      <c r="C81" s="25"/>
      <c r="D81" s="21">
        <f>+D19-D21+D79</f>
        <v>-35048.209999999992</v>
      </c>
      <c r="E81" s="13"/>
      <c r="F81" s="20">
        <f>IF(D$12=0,0,D81/D$12)</f>
        <v>0</v>
      </c>
      <c r="G81" s="13"/>
      <c r="H81" s="21">
        <f>+H19-H21+H79</f>
        <v>-37992.981724999998</v>
      </c>
      <c r="I81" s="13"/>
      <c r="J81" s="20">
        <f>IF(H$12=0,0,H81/H$12)</f>
        <v>-759.85963449999997</v>
      </c>
      <c r="K81" s="15"/>
      <c r="L81" s="21">
        <f>+D81-H81</f>
        <v>2944.771725000006</v>
      </c>
      <c r="M81" s="15"/>
      <c r="N81" s="20">
        <f>IF(H81=0,0,L81/H81)</f>
        <v>-7.7508307884724362E-2</v>
      </c>
      <c r="O81" s="26"/>
      <c r="P81" s="21">
        <f>+P19-P21+P79</f>
        <v>-35048.209999999992</v>
      </c>
      <c r="Q81" s="13"/>
      <c r="R81" s="20">
        <f>IF(P$12=0,0,P81/P$12)</f>
        <v>0</v>
      </c>
      <c r="S81" s="13"/>
      <c r="T81" s="21">
        <f>+T19-T21+T79</f>
        <v>-37992.981724999998</v>
      </c>
      <c r="U81" s="13"/>
      <c r="V81" s="20">
        <f>IF(T$12=0,0,T81/T$12)</f>
        <v>-759.85963449999997</v>
      </c>
      <c r="W81" s="15"/>
      <c r="X81" s="21">
        <f>+P81-T81</f>
        <v>2944.771725000006</v>
      </c>
      <c r="Y81" s="15"/>
      <c r="Z81" s="20">
        <f>IF(T81=0,0,X81/T81)</f>
        <v>-7.7508307884724362E-2</v>
      </c>
    </row>
    <row r="82" spans="1:26" x14ac:dyDescent="0.25">
      <c r="A82" s="9"/>
      <c r="B82" s="10"/>
      <c r="C82" s="9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22" customFormat="1" x14ac:dyDescent="0.25">
      <c r="A83" s="52"/>
      <c r="B83" s="10" t="s">
        <v>14</v>
      </c>
      <c r="C83" s="10"/>
      <c r="D83" s="4"/>
      <c r="E83" s="4"/>
      <c r="F83" s="11">
        <f>IF(D$12=0,0,D83/D$12)</f>
        <v>0</v>
      </c>
      <c r="G83" s="4"/>
      <c r="H83" s="4">
        <v>24</v>
      </c>
      <c r="I83" s="4"/>
      <c r="J83" s="11">
        <f>IF(H$12=0,0,H83/H$12)</f>
        <v>0.48</v>
      </c>
      <c r="K83" s="4"/>
      <c r="L83" s="4">
        <f>+D83-H83</f>
        <v>-24</v>
      </c>
      <c r="M83" s="4"/>
      <c r="N83" s="11">
        <f>IF(H83=0,0,L83/H83)</f>
        <v>-1</v>
      </c>
      <c r="O83" s="10"/>
      <c r="P83" s="4"/>
      <c r="Q83" s="4"/>
      <c r="R83" s="11">
        <f>IF(P$12=0,0,P83/P$12)</f>
        <v>0</v>
      </c>
      <c r="S83" s="4"/>
      <c r="T83" s="4">
        <v>24</v>
      </c>
      <c r="U83" s="4"/>
      <c r="V83" s="11">
        <f>IF(T$12=0,0,T83/T$12)</f>
        <v>0.48</v>
      </c>
      <c r="W83" s="4"/>
      <c r="X83" s="4">
        <f>+P83-T83</f>
        <v>-24</v>
      </c>
      <c r="Y83" s="4"/>
      <c r="Z83" s="11">
        <f>IF(T83=0,0,X83/T83)</f>
        <v>-1</v>
      </c>
    </row>
    <row r="84" spans="1:26" x14ac:dyDescent="0.25">
      <c r="A84" s="9"/>
      <c r="B84" s="10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10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2" customFormat="1" ht="15.75" thickBot="1" x14ac:dyDescent="0.3">
      <c r="A85" s="10"/>
      <c r="B85" s="25" t="s">
        <v>4</v>
      </c>
      <c r="C85" s="25"/>
      <c r="D85" s="34">
        <f>+D81-D83</f>
        <v>-35048.209999999992</v>
      </c>
      <c r="E85" s="13"/>
      <c r="F85" s="30">
        <f>IF(D$12=0,0,D85/D$12)</f>
        <v>0</v>
      </c>
      <c r="G85" s="13"/>
      <c r="H85" s="34">
        <f>+H81-H83</f>
        <v>-38016.981724999998</v>
      </c>
      <c r="I85" s="13"/>
      <c r="J85" s="30">
        <f>IF(H$12=0,0,H85/H$12)</f>
        <v>-760.33963449999999</v>
      </c>
      <c r="K85" s="15"/>
      <c r="L85" s="34">
        <f>D85-H85</f>
        <v>2968.771725000006</v>
      </c>
      <c r="M85" s="15"/>
      <c r="N85" s="30">
        <f>IF(H85=0,0,L85/H85)</f>
        <v>-7.8090673964465188E-2</v>
      </c>
      <c r="O85" s="26"/>
      <c r="P85" s="34">
        <f>+P81-P83</f>
        <v>-35048.209999999992</v>
      </c>
      <c r="Q85" s="13"/>
      <c r="R85" s="30">
        <f>IF(P$12=0,0,P85/P$12)</f>
        <v>0</v>
      </c>
      <c r="S85" s="13"/>
      <c r="T85" s="34">
        <f>+T81-T83</f>
        <v>-38016.981724999998</v>
      </c>
      <c r="U85" s="13"/>
      <c r="V85" s="30">
        <f>IF(T$12=0,0,T85/T$12)</f>
        <v>-760.33963449999999</v>
      </c>
      <c r="W85" s="15"/>
      <c r="X85" s="34">
        <f>P85-T85</f>
        <v>2968.771725000006</v>
      </c>
      <c r="Y85" s="15"/>
      <c r="Z85" s="30">
        <f>IF(T85=0,0,X85/T85)</f>
        <v>-7.8090673964465188E-2</v>
      </c>
    </row>
    <row r="86" spans="1:26" ht="15.75" thickTop="1" x14ac:dyDescent="0.25">
      <c r="A86" s="9"/>
      <c r="B86" s="9"/>
      <c r="C86" s="9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x14ac:dyDescent="0.25">
      <c r="A87" s="9"/>
      <c r="B87" s="9"/>
      <c r="C87" s="9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2" customFormat="1" ht="15.75" thickBot="1" x14ac:dyDescent="0.3">
      <c r="A88" s="10"/>
      <c r="B88" s="25" t="s">
        <v>5</v>
      </c>
      <c r="C88" s="25"/>
      <c r="D88" s="32">
        <f>SUM(D85:D87)</f>
        <v>-35048.209999999992</v>
      </c>
      <c r="E88" s="13"/>
      <c r="F88" s="33">
        <f>IF(D$12=0,0,D88/D$12)</f>
        <v>0</v>
      </c>
      <c r="G88" s="13"/>
      <c r="H88" s="32">
        <f>SUM(H85:H87)</f>
        <v>-38016.981724999998</v>
      </c>
      <c r="I88" s="13"/>
      <c r="J88" s="33">
        <f>IF(H$12=0,0,H88/H$12)</f>
        <v>-760.33963449999999</v>
      </c>
      <c r="K88" s="15"/>
      <c r="L88" s="32">
        <f>+D88-H88</f>
        <v>2968.771725000006</v>
      </c>
      <c r="M88" s="15"/>
      <c r="N88" s="33">
        <f>IF(H88=0,0,L88/H88)</f>
        <v>-7.8090673964465188E-2</v>
      </c>
      <c r="O88" s="26"/>
      <c r="P88" s="32">
        <f>SUM(P85:P87)</f>
        <v>-35048.209999999992</v>
      </c>
      <c r="Q88" s="13"/>
      <c r="R88" s="33">
        <f>IF(P$12=0,0,P88/P$12)</f>
        <v>0</v>
      </c>
      <c r="S88" s="13"/>
      <c r="T88" s="32">
        <f>SUM(T85:T87)</f>
        <v>-38016.981724999998</v>
      </c>
      <c r="U88" s="13"/>
      <c r="V88" s="33">
        <f>IF(T$12=0,0,T88/T$12)</f>
        <v>-760.33963449999999</v>
      </c>
      <c r="W88" s="15"/>
      <c r="X88" s="32">
        <f>+P88-T88</f>
        <v>2968.771725000006</v>
      </c>
      <c r="Y88" s="15"/>
      <c r="Z88" s="33">
        <f>IF(T88=0,0,X88/T88)</f>
        <v>-7.8090673964465188E-2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8">
        <v>44104.685453900463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6" t="s">
        <v>314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62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","309", " - ", "Carts")</f>
        <v>Department 309 - Carts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347.4</v>
      </c>
      <c r="E18" s="19"/>
      <c r="F18" s="31">
        <f t="shared" ref="F18:F27" si="0">IF(D$12=0,0,D18/D$12)</f>
        <v>0</v>
      </c>
      <c r="G18" s="19"/>
      <c r="H18" s="19">
        <f>SUM(OSRRefH22x_0)</f>
        <v>0</v>
      </c>
      <c r="I18" s="19"/>
      <c r="J18" s="31">
        <f t="shared" ref="J18:J27" si="1">IF(H$12=0,0,H18/H$12)</f>
        <v>0</v>
      </c>
      <c r="K18" s="4"/>
      <c r="L18" s="19">
        <f t="shared" ref="L18:L27" si="2">+D18-H18</f>
        <v>347.4</v>
      </c>
      <c r="M18" s="4"/>
      <c r="N18" s="31">
        <f t="shared" ref="N18:N27" si="3">IF(H18=0,0,L18/H18)</f>
        <v>0</v>
      </c>
      <c r="O18" s="10"/>
      <c r="P18" s="19">
        <f>SUM(OSRRefP22x_0)</f>
        <v>347.4</v>
      </c>
      <c r="Q18" s="19"/>
      <c r="R18" s="31">
        <f t="shared" ref="R18:R27" si="4">IF(P$12=0,0,P18/P$12)</f>
        <v>0</v>
      </c>
      <c r="S18" s="19"/>
      <c r="T18" s="19">
        <f>SUM(OSRRefT22x_0)</f>
        <v>0</v>
      </c>
      <c r="U18" s="19"/>
      <c r="V18" s="31">
        <f t="shared" ref="V18:V27" si="5">IF(T$12=0,0,T18/T$12)</f>
        <v>0</v>
      </c>
      <c r="W18" s="4"/>
      <c r="X18" s="19">
        <f t="shared" ref="X18:X27" si="6">+P18-T18</f>
        <v>347.4</v>
      </c>
      <c r="Y18" s="4"/>
      <c r="Z18" s="31">
        <f t="shared" ref="Z18:Z27" si="7">IF(T18=0,0,X18/T18)</f>
        <v>0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/>
      <c r="E20" s="3"/>
      <c r="F20" s="8">
        <f t="shared" si="0"/>
        <v>0</v>
      </c>
      <c r="G20" s="3"/>
      <c r="H20" s="7">
        <v>0</v>
      </c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/>
      <c r="Q20" s="3"/>
      <c r="R20" s="8">
        <f t="shared" si="4"/>
        <v>0</v>
      </c>
      <c r="S20" s="3"/>
      <c r="T20" s="7">
        <v>0</v>
      </c>
      <c r="U20" s="3"/>
      <c r="V20" s="8">
        <f t="shared" si="5"/>
        <v>0</v>
      </c>
      <c r="W20" s="3"/>
      <c r="X20" s="7">
        <f t="shared" si="6"/>
        <v>0</v>
      </c>
      <c r="Y20" s="3"/>
      <c r="Z20" s="8">
        <f t="shared" si="7"/>
        <v>0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/>
      <c r="E21" s="3"/>
      <c r="F21" s="8">
        <f t="shared" si="0"/>
        <v>0</v>
      </c>
      <c r="G21" s="3"/>
      <c r="H21" s="7">
        <v>0</v>
      </c>
      <c r="I21" s="3"/>
      <c r="J21" s="8">
        <f t="shared" si="1"/>
        <v>0</v>
      </c>
      <c r="K21" s="3"/>
      <c r="L21" s="7">
        <f t="shared" si="2"/>
        <v>0</v>
      </c>
      <c r="M21" s="3"/>
      <c r="N21" s="8">
        <f t="shared" si="3"/>
        <v>0</v>
      </c>
      <c r="O21" s="12"/>
      <c r="P21" s="7"/>
      <c r="Q21" s="3"/>
      <c r="R21" s="8">
        <f t="shared" si="4"/>
        <v>0</v>
      </c>
      <c r="S21" s="3"/>
      <c r="T21" s="7">
        <v>0</v>
      </c>
      <c r="U21" s="3"/>
      <c r="V21" s="8">
        <f t="shared" si="5"/>
        <v>0</v>
      </c>
      <c r="W21" s="3"/>
      <c r="X21" s="7">
        <f t="shared" si="6"/>
        <v>0</v>
      </c>
      <c r="Y21" s="3"/>
      <c r="Z21" s="8">
        <f t="shared" si="7"/>
        <v>0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/>
      <c r="E22" s="3"/>
      <c r="F22" s="8">
        <f t="shared" si="0"/>
        <v>0</v>
      </c>
      <c r="G22" s="3"/>
      <c r="H22" s="7">
        <v>0</v>
      </c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/>
      <c r="Q22" s="3"/>
      <c r="R22" s="8">
        <f t="shared" si="4"/>
        <v>0</v>
      </c>
      <c r="S22" s="3"/>
      <c r="T22" s="7">
        <v>0</v>
      </c>
      <c r="U22" s="3"/>
      <c r="V22" s="8">
        <f t="shared" si="5"/>
        <v>0</v>
      </c>
      <c r="W22" s="3"/>
      <c r="X22" s="7">
        <f t="shared" si="6"/>
        <v>0</v>
      </c>
      <c r="Y22" s="3"/>
      <c r="Z22" s="8">
        <f t="shared" si="7"/>
        <v>0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/>
      <c r="E23" s="3"/>
      <c r="F23" s="8">
        <f t="shared" si="0"/>
        <v>0</v>
      </c>
      <c r="G23" s="3"/>
      <c r="H23" s="7">
        <v>0</v>
      </c>
      <c r="I23" s="3"/>
      <c r="J23" s="8">
        <f t="shared" si="1"/>
        <v>0</v>
      </c>
      <c r="K23" s="3"/>
      <c r="L23" s="7">
        <f t="shared" si="2"/>
        <v>0</v>
      </c>
      <c r="M23" s="3"/>
      <c r="N23" s="8">
        <f t="shared" si="3"/>
        <v>0</v>
      </c>
      <c r="O23" s="12"/>
      <c r="P23" s="7"/>
      <c r="Q23" s="3"/>
      <c r="R23" s="8">
        <f t="shared" si="4"/>
        <v>0</v>
      </c>
      <c r="S23" s="3"/>
      <c r="T23" s="7">
        <v>0</v>
      </c>
      <c r="U23" s="3"/>
      <c r="V23" s="8">
        <f t="shared" si="5"/>
        <v>0</v>
      </c>
      <c r="W23" s="3"/>
      <c r="X23" s="7">
        <f t="shared" si="6"/>
        <v>0</v>
      </c>
      <c r="Y23" s="3"/>
      <c r="Z23" s="8">
        <f t="shared" si="7"/>
        <v>0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/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"6118", " - ", "VACATION")</f>
        <v xml:space="preserve">          6118 - VACATION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24" customFormat="1" hidden="1" outlineLevel="2" x14ac:dyDescent="0.25">
      <c r="A27" s="27"/>
      <c r="B27" s="12" t="str">
        <f>CONCATENATE("          ", "6119", " - ", "SICK LEAVE")</f>
        <v xml:space="preserve">          6119 - SICK LEAVE</v>
      </c>
      <c r="C27" s="12"/>
      <c r="D27" s="7"/>
      <c r="E27" s="3"/>
      <c r="F27" s="8">
        <f t="shared" si="0"/>
        <v>0</v>
      </c>
      <c r="G27" s="3"/>
      <c r="H27" s="7">
        <v>0</v>
      </c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0</v>
      </c>
      <c r="U27" s="3"/>
      <c r="V27" s="8">
        <f t="shared" si="5"/>
        <v>0</v>
      </c>
      <c r="W27" s="3"/>
      <c r="X27" s="7">
        <f t="shared" si="6"/>
        <v>0</v>
      </c>
      <c r="Y27" s="3"/>
      <c r="Z27" s="8">
        <f t="shared" si="7"/>
        <v>0</v>
      </c>
    </row>
    <row r="28" spans="1:26" s="29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0</v>
      </c>
      <c r="M28" s="1"/>
      <c r="N28" s="5">
        <f t="shared" ref="N28:N38" si="11">IF(H28=0,0,L28/H28)</f>
        <v>0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0</v>
      </c>
      <c r="Y28" s="1"/>
      <c r="Z28" s="5">
        <f t="shared" ref="Z28:Z38" si="15">IF(T28=0,0,X28/T28)</f>
        <v>0</v>
      </c>
    </row>
    <row r="29" spans="1:26" s="24" customFormat="1" hidden="1" outlineLevel="2" x14ac:dyDescent="0.25">
      <c r="A29" s="27"/>
      <c r="B29" s="12" t="str">
        <f>CONCATENATE("          ", "6001", " - ", "ADMINISTRATIVE SALARIES")</f>
        <v xml:space="preserve">          6001 - ADMINISTRATIVE SALARIES</v>
      </c>
      <c r="C29" s="12"/>
      <c r="D29" s="7"/>
      <c r="E29" s="3"/>
      <c r="F29" s="8">
        <f t="shared" si="8"/>
        <v>0</v>
      </c>
      <c r="G29" s="3"/>
      <c r="H29" s="7">
        <v>0</v>
      </c>
      <c r="I29" s="3"/>
      <c r="J29" s="8">
        <f t="shared" si="9"/>
        <v>0</v>
      </c>
      <c r="K29" s="3"/>
      <c r="L29" s="7">
        <f t="shared" si="10"/>
        <v>0</v>
      </c>
      <c r="M29" s="3"/>
      <c r="N29" s="8">
        <f t="shared" si="11"/>
        <v>0</v>
      </c>
      <c r="O29" s="12"/>
      <c r="P29" s="7"/>
      <c r="Q29" s="3"/>
      <c r="R29" s="8">
        <f t="shared" si="12"/>
        <v>0</v>
      </c>
      <c r="S29" s="3"/>
      <c r="T29" s="7">
        <v>0</v>
      </c>
      <c r="U29" s="3"/>
      <c r="V29" s="8">
        <f t="shared" si="13"/>
        <v>0</v>
      </c>
      <c r="W29" s="3"/>
      <c r="X29" s="7">
        <f t="shared" si="14"/>
        <v>0</v>
      </c>
      <c r="Y29" s="3"/>
      <c r="Z29" s="8">
        <f t="shared" si="15"/>
        <v>0</v>
      </c>
    </row>
    <row r="30" spans="1:26" s="24" customFormat="1" hidden="1" outlineLevel="2" x14ac:dyDescent="0.25">
      <c r="A30" s="27"/>
      <c r="B30" s="12" t="str">
        <f>CONCATENATE("          ", "6002", " - ", "STAFF SALARIES")</f>
        <v xml:space="preserve">          6002 - STAFF SALARIES</v>
      </c>
      <c r="C30" s="12"/>
      <c r="D30" s="7"/>
      <c r="E30" s="3"/>
      <c r="F30" s="8">
        <f t="shared" si="8"/>
        <v>0</v>
      </c>
      <c r="G30" s="3"/>
      <c r="H30" s="7">
        <v>0</v>
      </c>
      <c r="I30" s="3"/>
      <c r="J30" s="8">
        <f t="shared" si="9"/>
        <v>0</v>
      </c>
      <c r="K30" s="3"/>
      <c r="L30" s="7">
        <f t="shared" si="10"/>
        <v>0</v>
      </c>
      <c r="M30" s="3"/>
      <c r="N30" s="8">
        <f t="shared" si="11"/>
        <v>0</v>
      </c>
      <c r="O30" s="12"/>
      <c r="P30" s="7"/>
      <c r="Q30" s="3"/>
      <c r="R30" s="8">
        <f t="shared" si="12"/>
        <v>0</v>
      </c>
      <c r="S30" s="3"/>
      <c r="T30" s="7">
        <v>0</v>
      </c>
      <c r="U30" s="3"/>
      <c r="V30" s="8">
        <f t="shared" si="13"/>
        <v>0</v>
      </c>
      <c r="W30" s="3"/>
      <c r="X30" s="7">
        <f t="shared" si="14"/>
        <v>0</v>
      </c>
      <c r="Y30" s="3"/>
      <c r="Z30" s="8">
        <f t="shared" si="15"/>
        <v>0</v>
      </c>
    </row>
    <row r="31" spans="1:26" s="24" customFormat="1" hidden="1" outlineLevel="2" x14ac:dyDescent="0.25">
      <c r="A31" s="27"/>
      <c r="B31" s="12" t="str">
        <f>CONCATENATE("          ", "6003", " - ", "STAFF HOURLY-9 MONTH")</f>
        <v xml:space="preserve">          6003 - STAFF HOURLY-9 MONTH</v>
      </c>
      <c r="C31" s="12"/>
      <c r="D31" s="7"/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0</v>
      </c>
      <c r="M31" s="3"/>
      <c r="N31" s="8">
        <f t="shared" si="11"/>
        <v>0</v>
      </c>
      <c r="O31" s="12"/>
      <c r="P31" s="7"/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0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"6004", " - ", "STAFF HOURLY")</f>
        <v xml:space="preserve">          6004 - STAFF HOURLY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"6005", " - ", "TEMPORARY WAGES-HOURLY")</f>
        <v xml:space="preserve">          6005 - TEMPORARY WAGES-HOURLY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"6006", " - ", "TEMPORARY PART TIME")</f>
        <v xml:space="preserve">          6006 - TEMPORARY PART TIME</v>
      </c>
      <c r="C34" s="12"/>
      <c r="D34" s="7"/>
      <c r="E34" s="3"/>
      <c r="F34" s="8">
        <f t="shared" si="8"/>
        <v>0</v>
      </c>
      <c r="G34" s="3"/>
      <c r="H34" s="7">
        <v>0</v>
      </c>
      <c r="I34" s="3"/>
      <c r="J34" s="8">
        <f t="shared" si="9"/>
        <v>0</v>
      </c>
      <c r="K34" s="3"/>
      <c r="L34" s="7">
        <f t="shared" si="10"/>
        <v>0</v>
      </c>
      <c r="M34" s="3"/>
      <c r="N34" s="8">
        <f t="shared" si="11"/>
        <v>0</v>
      </c>
      <c r="O34" s="12"/>
      <c r="P34" s="7"/>
      <c r="Q34" s="3"/>
      <c r="R34" s="8">
        <f t="shared" si="12"/>
        <v>0</v>
      </c>
      <c r="S34" s="3"/>
      <c r="T34" s="7">
        <v>0</v>
      </c>
      <c r="U34" s="3"/>
      <c r="V34" s="8">
        <f t="shared" si="13"/>
        <v>0</v>
      </c>
      <c r="W34" s="3"/>
      <c r="X34" s="7">
        <f t="shared" si="14"/>
        <v>0</v>
      </c>
      <c r="Y34" s="3"/>
      <c r="Z34" s="8">
        <f t="shared" si="15"/>
        <v>0</v>
      </c>
    </row>
    <row r="35" spans="1:26" s="24" customFormat="1" hidden="1" outlineLevel="2" x14ac:dyDescent="0.25">
      <c r="A35" s="27"/>
      <c r="B35" s="12" t="str">
        <f>CONCATENATE("          ", "6007", " - ", "STUDENT HOURLY")</f>
        <v xml:space="preserve">          6007 - STUDENT HOURLY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"6008", " - ", "STUDENT HOURLY-FICA EXEMPT")</f>
        <v xml:space="preserve">          6008 - STUDENT HOURLY-FICA EXEMPT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"6009", " - ", "TEMPORARY-SEASONAL")</f>
        <v xml:space="preserve">          6009 - TEMPORARY-SEASONAL</v>
      </c>
      <c r="C37" s="12"/>
      <c r="D37" s="7"/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0</v>
      </c>
      <c r="M37" s="3"/>
      <c r="N37" s="8">
        <f t="shared" si="11"/>
        <v>0</v>
      </c>
      <c r="O37" s="12"/>
      <c r="P37" s="7"/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0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"6010", " - ", "GRATUITY")</f>
        <v xml:space="preserve">          6010 - GRATUITY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9" customFormat="1" outlineLevel="1" collapsed="1" x14ac:dyDescent="0.25">
      <c r="A39" s="28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SUM(OSRRefD22_2x_0)</f>
        <v>315.43</v>
      </c>
      <c r="E39" s="1"/>
      <c r="F39" s="5">
        <f t="shared" ref="F39:F48" si="16">IF(D$12=0,0,D39/D$12)</f>
        <v>0</v>
      </c>
      <c r="G39" s="1"/>
      <c r="H39" s="1">
        <f>SUM(OSRRefH22_2x_0)</f>
        <v>0</v>
      </c>
      <c r="I39" s="1"/>
      <c r="J39" s="5">
        <f t="shared" ref="J39:J48" si="17">IF(H$12=0,0,H39/H$12)</f>
        <v>0</v>
      </c>
      <c r="K39" s="1"/>
      <c r="L39" s="1">
        <f t="shared" ref="L39:L48" si="18">+D39-H39</f>
        <v>315.43</v>
      </c>
      <c r="M39" s="1"/>
      <c r="N39" s="5">
        <f t="shared" ref="N39:N48" si="19">IF(H39=0,0,L39/H39)</f>
        <v>0</v>
      </c>
      <c r="O39" s="14"/>
      <c r="P39" s="1">
        <f>SUM(OSRRefP22_2x_0)</f>
        <v>315.43</v>
      </c>
      <c r="Q39" s="1"/>
      <c r="R39" s="5">
        <f t="shared" ref="R39:R48" si="20">IF(P$12=0,0,P39/P$12)</f>
        <v>0</v>
      </c>
      <c r="S39" s="1"/>
      <c r="T39" s="1">
        <f>SUM(OSRRefT22_2x_0)</f>
        <v>0</v>
      </c>
      <c r="U39" s="1"/>
      <c r="V39" s="5">
        <f t="shared" ref="V39:V48" si="21">IF(T$12=0,0,T39/T$12)</f>
        <v>0</v>
      </c>
      <c r="W39" s="1"/>
      <c r="X39" s="1">
        <f t="shared" ref="X39:X48" si="22">+P39-T39</f>
        <v>315.43</v>
      </c>
      <c r="Y39" s="1"/>
      <c r="Z39" s="5">
        <f t="shared" ref="Z39:Z48" si="23">IF(T39=0,0,X39/T39)</f>
        <v>0</v>
      </c>
    </row>
    <row r="40" spans="1:26" s="24" customFormat="1" hidden="1" outlineLevel="2" x14ac:dyDescent="0.25">
      <c r="A40" s="27"/>
      <c r="B40" s="12" t="str">
        <f>CONCATENATE("          ", "6322", " - ", "EQUIPMENT DEPRECIATION EXPENSE")</f>
        <v xml:space="preserve">          6322 - EQUIPMENT DEPRECIATION EXPENSE</v>
      </c>
      <c r="C40" s="12"/>
      <c r="D40" s="7">
        <v>315.43</v>
      </c>
      <c r="E40" s="3"/>
      <c r="F40" s="8">
        <f t="shared" si="16"/>
        <v>0</v>
      </c>
      <c r="G40" s="3"/>
      <c r="H40" s="7"/>
      <c r="I40" s="3"/>
      <c r="J40" s="8">
        <f t="shared" si="17"/>
        <v>0</v>
      </c>
      <c r="K40" s="3"/>
      <c r="L40" s="7">
        <f t="shared" si="18"/>
        <v>315.43</v>
      </c>
      <c r="M40" s="3"/>
      <c r="N40" s="8">
        <f t="shared" si="19"/>
        <v>0</v>
      </c>
      <c r="O40" s="12"/>
      <c r="P40" s="7">
        <v>315.43</v>
      </c>
      <c r="Q40" s="3"/>
      <c r="R40" s="8">
        <f t="shared" si="20"/>
        <v>0</v>
      </c>
      <c r="S40" s="3"/>
      <c r="T40" s="7"/>
      <c r="U40" s="3"/>
      <c r="V40" s="8">
        <f t="shared" si="21"/>
        <v>0</v>
      </c>
      <c r="W40" s="3"/>
      <c r="X40" s="7">
        <f t="shared" si="22"/>
        <v>315.43</v>
      </c>
      <c r="Y40" s="3"/>
      <c r="Z40" s="8">
        <f t="shared" si="23"/>
        <v>0</v>
      </c>
    </row>
    <row r="41" spans="1:26" s="29" customFormat="1" outlineLevel="1" collapsed="1" x14ac:dyDescent="0.25">
      <c r="A41" s="28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7"/>
      <c r="B42" s="12" t="str">
        <f>CONCATENATE("          ", "6279", " - ", "GENERAL EXPENSE")</f>
        <v xml:space="preserve">          6279 - GENERAL EXPENSE</v>
      </c>
      <c r="C42" s="12"/>
      <c r="D42" s="7"/>
      <c r="E42" s="3"/>
      <c r="F42" s="8">
        <f t="shared" si="16"/>
        <v>0</v>
      </c>
      <c r="G42" s="3"/>
      <c r="H42" s="7">
        <v>0</v>
      </c>
      <c r="I42" s="3"/>
      <c r="J42" s="8">
        <f t="shared" si="17"/>
        <v>0</v>
      </c>
      <c r="K42" s="3"/>
      <c r="L42" s="7">
        <f t="shared" si="18"/>
        <v>0</v>
      </c>
      <c r="M42" s="3"/>
      <c r="N42" s="8">
        <f t="shared" si="19"/>
        <v>0</v>
      </c>
      <c r="O42" s="12"/>
      <c r="P42" s="7"/>
      <c r="Q42" s="3"/>
      <c r="R42" s="8">
        <f t="shared" si="20"/>
        <v>0</v>
      </c>
      <c r="S42" s="3"/>
      <c r="T42" s="7">
        <v>0</v>
      </c>
      <c r="U42" s="3"/>
      <c r="V42" s="8">
        <f t="shared" si="21"/>
        <v>0</v>
      </c>
      <c r="W42" s="3"/>
      <c r="X42" s="7">
        <f t="shared" si="22"/>
        <v>0</v>
      </c>
      <c r="Y42" s="3"/>
      <c r="Z42" s="8">
        <f t="shared" si="23"/>
        <v>0</v>
      </c>
    </row>
    <row r="43" spans="1:26" s="29" customFormat="1" outlineLevel="1" collapsed="1" x14ac:dyDescent="0.25">
      <c r="A43" s="28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SUM(OSRRefD22_4x_0)</f>
        <v>114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114</v>
      </c>
      <c r="M43" s="1"/>
      <c r="N43" s="5">
        <f t="shared" si="19"/>
        <v>0</v>
      </c>
      <c r="O43" s="14"/>
      <c r="P43" s="1">
        <f>SUM(OSRRefP22_4x_0)</f>
        <v>114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114</v>
      </c>
      <c r="Y43" s="1"/>
      <c r="Z43" s="5">
        <f t="shared" si="23"/>
        <v>0</v>
      </c>
    </row>
    <row r="44" spans="1:26" s="24" customFormat="1" hidden="1" outlineLevel="2" x14ac:dyDescent="0.25">
      <c r="A44" s="27"/>
      <c r="B44" s="12" t="str">
        <f>CONCATENATE("          ", "6375", " - ", "OUTSIDE REPAIRS &amp; MAINTENANCE")</f>
        <v xml:space="preserve">          6375 - OUTSIDE REPAIRS &amp; MAINTENANCE</v>
      </c>
      <c r="C44" s="12"/>
      <c r="D44" s="7">
        <v>114</v>
      </c>
      <c r="E44" s="3"/>
      <c r="F44" s="8">
        <f t="shared" si="16"/>
        <v>0</v>
      </c>
      <c r="G44" s="3"/>
      <c r="H44" s="7"/>
      <c r="I44" s="3"/>
      <c r="J44" s="8">
        <f t="shared" si="17"/>
        <v>0</v>
      </c>
      <c r="K44" s="3"/>
      <c r="L44" s="7">
        <f t="shared" si="18"/>
        <v>114</v>
      </c>
      <c r="M44" s="3"/>
      <c r="N44" s="8">
        <f t="shared" si="19"/>
        <v>0</v>
      </c>
      <c r="O44" s="12"/>
      <c r="P44" s="7">
        <v>114</v>
      </c>
      <c r="Q44" s="3"/>
      <c r="R44" s="8">
        <f t="shared" si="20"/>
        <v>0</v>
      </c>
      <c r="S44" s="3"/>
      <c r="T44" s="7"/>
      <c r="U44" s="3"/>
      <c r="V44" s="8">
        <f t="shared" si="21"/>
        <v>0</v>
      </c>
      <c r="W44" s="3"/>
      <c r="X44" s="7">
        <f t="shared" si="22"/>
        <v>114</v>
      </c>
      <c r="Y44" s="3"/>
      <c r="Z44" s="8">
        <f t="shared" si="23"/>
        <v>0</v>
      </c>
    </row>
    <row r="45" spans="1:26" s="29" customFormat="1" outlineLevel="1" collapsed="1" x14ac:dyDescent="0.25">
      <c r="A45" s="28"/>
      <c r="B45" s="14" t="str">
        <f>CONCATENATE("     ","Services                                          ")</f>
        <v xml:space="preserve">     Services                                          </v>
      </c>
      <c r="C45" s="14"/>
      <c r="D45" s="1">
        <f>SUM(OSRRefD22_5x_0)</f>
        <v>-173.04</v>
      </c>
      <c r="E45" s="1"/>
      <c r="F45" s="5">
        <f t="shared" si="16"/>
        <v>0</v>
      </c>
      <c r="G45" s="1"/>
      <c r="H45" s="1">
        <f>SUM(OSRRefH22_5x_0)</f>
        <v>0</v>
      </c>
      <c r="I45" s="1"/>
      <c r="J45" s="5">
        <f t="shared" si="17"/>
        <v>0</v>
      </c>
      <c r="K45" s="1"/>
      <c r="L45" s="1">
        <f t="shared" si="18"/>
        <v>-173.04</v>
      </c>
      <c r="M45" s="1"/>
      <c r="N45" s="5">
        <f t="shared" si="19"/>
        <v>0</v>
      </c>
      <c r="O45" s="14"/>
      <c r="P45" s="1">
        <f>SUM(OSRRefP22_5x_0)</f>
        <v>-173.04</v>
      </c>
      <c r="Q45" s="1"/>
      <c r="R45" s="5">
        <f t="shared" si="20"/>
        <v>0</v>
      </c>
      <c r="S45" s="1"/>
      <c r="T45" s="1">
        <f>SUM(OSRRefT22_5x_0)</f>
        <v>0</v>
      </c>
      <c r="U45" s="1"/>
      <c r="V45" s="5">
        <f t="shared" si="21"/>
        <v>0</v>
      </c>
      <c r="W45" s="1"/>
      <c r="X45" s="1">
        <f t="shared" si="22"/>
        <v>-173.04</v>
      </c>
      <c r="Y45" s="1"/>
      <c r="Z45" s="5">
        <f t="shared" si="23"/>
        <v>0</v>
      </c>
    </row>
    <row r="46" spans="1:26" s="24" customFormat="1" hidden="1" outlineLevel="2" x14ac:dyDescent="0.25">
      <c r="A46" s="27"/>
      <c r="B46" s="12" t="str">
        <f>CONCATENATE("          ", "6285", " - ", "JANITORIAL SERVICES")</f>
        <v xml:space="preserve">          6285 - JANITORIAL SERVICES</v>
      </c>
      <c r="C46" s="12"/>
      <c r="D46" s="7">
        <v>-173.04</v>
      </c>
      <c r="E46" s="3"/>
      <c r="F46" s="8">
        <f t="shared" si="16"/>
        <v>0</v>
      </c>
      <c r="G46" s="3"/>
      <c r="H46" s="7"/>
      <c r="I46" s="3"/>
      <c r="J46" s="8">
        <f t="shared" si="17"/>
        <v>0</v>
      </c>
      <c r="K46" s="3"/>
      <c r="L46" s="7">
        <f t="shared" si="18"/>
        <v>-173.04</v>
      </c>
      <c r="M46" s="3"/>
      <c r="N46" s="8">
        <f t="shared" si="19"/>
        <v>0</v>
      </c>
      <c r="O46" s="12"/>
      <c r="P46" s="7">
        <v>-173.04</v>
      </c>
      <c r="Q46" s="3"/>
      <c r="R46" s="8">
        <f t="shared" si="20"/>
        <v>0</v>
      </c>
      <c r="S46" s="3"/>
      <c r="T46" s="7"/>
      <c r="U46" s="3"/>
      <c r="V46" s="8">
        <f t="shared" si="21"/>
        <v>0</v>
      </c>
      <c r="W46" s="3"/>
      <c r="X46" s="7">
        <f t="shared" si="22"/>
        <v>-173.04</v>
      </c>
      <c r="Y46" s="3"/>
      <c r="Z46" s="8">
        <f t="shared" si="23"/>
        <v>0</v>
      </c>
    </row>
    <row r="47" spans="1:26" s="29" customFormat="1" outlineLevel="1" collapsed="1" x14ac:dyDescent="0.25">
      <c r="A47" s="28"/>
      <c r="B47" s="14" t="str">
        <f>CONCATENATE("     ","Telephone/Data Lines                              ")</f>
        <v xml:space="preserve">     Telephone/Data Lines                              </v>
      </c>
      <c r="C47" s="14"/>
      <c r="D47" s="1">
        <f>SUM(OSRRefD22_6x_0)</f>
        <v>91.01</v>
      </c>
      <c r="E47" s="1"/>
      <c r="F47" s="5">
        <f t="shared" si="16"/>
        <v>0</v>
      </c>
      <c r="G47" s="1"/>
      <c r="H47" s="1">
        <f>SUM(OSRRefH22_6x_0)</f>
        <v>0</v>
      </c>
      <c r="I47" s="1"/>
      <c r="J47" s="5">
        <f t="shared" si="17"/>
        <v>0</v>
      </c>
      <c r="K47" s="1"/>
      <c r="L47" s="1">
        <f t="shared" si="18"/>
        <v>91.01</v>
      </c>
      <c r="M47" s="1"/>
      <c r="N47" s="5">
        <f t="shared" si="19"/>
        <v>0</v>
      </c>
      <c r="O47" s="14"/>
      <c r="P47" s="1">
        <f>SUM(OSRRefP22_6x_0)</f>
        <v>91.01</v>
      </c>
      <c r="Q47" s="1"/>
      <c r="R47" s="5">
        <f t="shared" si="20"/>
        <v>0</v>
      </c>
      <c r="S47" s="1"/>
      <c r="T47" s="1">
        <f>SUM(OSRRefT22_6x_0)</f>
        <v>0</v>
      </c>
      <c r="U47" s="1"/>
      <c r="V47" s="5">
        <f t="shared" si="21"/>
        <v>0</v>
      </c>
      <c r="W47" s="1"/>
      <c r="X47" s="1">
        <f t="shared" si="22"/>
        <v>91.01</v>
      </c>
      <c r="Y47" s="1"/>
      <c r="Z47" s="5">
        <f t="shared" si="23"/>
        <v>0</v>
      </c>
    </row>
    <row r="48" spans="1:26" s="24" customFormat="1" hidden="1" outlineLevel="2" x14ac:dyDescent="0.25">
      <c r="A48" s="27"/>
      <c r="B48" s="12" t="str">
        <f>CONCATENATE("          ", "6309", " - ", "TELEPHONE")</f>
        <v xml:space="preserve">          6309 - TELEPHONE</v>
      </c>
      <c r="C48" s="12"/>
      <c r="D48" s="7">
        <v>91.01</v>
      </c>
      <c r="E48" s="3"/>
      <c r="F48" s="8">
        <f t="shared" si="16"/>
        <v>0</v>
      </c>
      <c r="G48" s="3"/>
      <c r="H48" s="7"/>
      <c r="I48" s="3"/>
      <c r="J48" s="8">
        <f t="shared" si="17"/>
        <v>0</v>
      </c>
      <c r="K48" s="3"/>
      <c r="L48" s="7">
        <f t="shared" si="18"/>
        <v>91.01</v>
      </c>
      <c r="M48" s="3"/>
      <c r="N48" s="8">
        <f t="shared" si="19"/>
        <v>0</v>
      </c>
      <c r="O48" s="12"/>
      <c r="P48" s="7">
        <v>91.01</v>
      </c>
      <c r="Q48" s="3"/>
      <c r="R48" s="8">
        <f t="shared" si="20"/>
        <v>0</v>
      </c>
      <c r="S48" s="3"/>
      <c r="T48" s="7"/>
      <c r="U48" s="3"/>
      <c r="V48" s="8">
        <f t="shared" si="21"/>
        <v>0</v>
      </c>
      <c r="W48" s="3"/>
      <c r="X48" s="7">
        <f t="shared" si="22"/>
        <v>91.01</v>
      </c>
      <c r="Y48" s="3"/>
      <c r="Z48" s="8">
        <f t="shared" si="23"/>
        <v>0</v>
      </c>
    </row>
    <row r="49" spans="1:26" s="54" customFormat="1" x14ac:dyDescent="0.25">
      <c r="A49" s="36"/>
      <c r="B49" s="36"/>
      <c r="C49" s="36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2" customFormat="1" x14ac:dyDescent="0.25">
      <c r="A50" s="10"/>
      <c r="B50" s="26" t="s">
        <v>0</v>
      </c>
      <c r="C50" s="10"/>
      <c r="D50" s="4">
        <f>SUM(0)</f>
        <v>0</v>
      </c>
      <c r="E50" s="4"/>
      <c r="F50" s="11">
        <f>IF(D$12=0,0,D50/D$12)</f>
        <v>0</v>
      </c>
      <c r="G50" s="4"/>
      <c r="H50" s="4">
        <f>SUM(0)</f>
        <v>0</v>
      </c>
      <c r="I50" s="4"/>
      <c r="J50" s="11">
        <f>IF(H$12=0,0,H50/H$12)</f>
        <v>0</v>
      </c>
      <c r="K50" s="4"/>
      <c r="L50" s="4">
        <f>+D50-H50</f>
        <v>0</v>
      </c>
      <c r="M50" s="4"/>
      <c r="N50" s="11">
        <f>IF(H50=0,0,L50/H50)</f>
        <v>0</v>
      </c>
      <c r="O50" s="10"/>
      <c r="P50" s="4">
        <f>SUM(0)</f>
        <v>0</v>
      </c>
      <c r="Q50" s="4"/>
      <c r="R50" s="11">
        <f>IF(P$12=0,0,P50/P$12)</f>
        <v>0</v>
      </c>
      <c r="S50" s="4"/>
      <c r="T50" s="4">
        <f>SUM(0)</f>
        <v>0</v>
      </c>
      <c r="U50" s="4"/>
      <c r="V50" s="11">
        <f>IF(T$12=0,0,T50/T$12)</f>
        <v>0</v>
      </c>
      <c r="W50" s="4"/>
      <c r="X50" s="4">
        <f>+P50-T50</f>
        <v>0</v>
      </c>
      <c r="Y50" s="4"/>
      <c r="Z50" s="11">
        <f>IF(T50=0,0,X50/T50)</f>
        <v>0</v>
      </c>
    </row>
    <row r="51" spans="1:26" x14ac:dyDescent="0.25">
      <c r="A51" s="9"/>
      <c r="B51" s="10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10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2" customFormat="1" x14ac:dyDescent="0.25">
      <c r="A52" s="10"/>
      <c r="B52" s="25" t="s">
        <v>3</v>
      </c>
      <c r="C52" s="25"/>
      <c r="D52" s="21">
        <f>+D16-D18+D50</f>
        <v>-347.4</v>
      </c>
      <c r="E52" s="13"/>
      <c r="F52" s="20">
        <f>IF(D$12=0,0,D52/D$12)</f>
        <v>0</v>
      </c>
      <c r="G52" s="13"/>
      <c r="H52" s="21">
        <f>+H16-H18+H50</f>
        <v>0</v>
      </c>
      <c r="I52" s="13"/>
      <c r="J52" s="20">
        <f>IF(H$12=0,0,H52/H$12)</f>
        <v>0</v>
      </c>
      <c r="K52" s="15"/>
      <c r="L52" s="21">
        <f>+D52-H52</f>
        <v>-347.4</v>
      </c>
      <c r="M52" s="15"/>
      <c r="N52" s="20">
        <f>IF(H52=0,0,L52/H52)</f>
        <v>0</v>
      </c>
      <c r="O52" s="26"/>
      <c r="P52" s="21">
        <f>+P16-P18+P50</f>
        <v>-347.4</v>
      </c>
      <c r="Q52" s="13"/>
      <c r="R52" s="20">
        <f>IF(P$12=0,0,P52/P$12)</f>
        <v>0</v>
      </c>
      <c r="S52" s="13"/>
      <c r="T52" s="21">
        <f>+T16-T18+T50</f>
        <v>0</v>
      </c>
      <c r="U52" s="13"/>
      <c r="V52" s="20">
        <f>IF(T$12=0,0,T52/T$12)</f>
        <v>0</v>
      </c>
      <c r="W52" s="15"/>
      <c r="X52" s="21">
        <f>+P52-T52</f>
        <v>-347.4</v>
      </c>
      <c r="Y52" s="15"/>
      <c r="Z52" s="20">
        <f>IF(T52=0,0,X52/T52)</f>
        <v>0</v>
      </c>
    </row>
    <row r="53" spans="1:26" x14ac:dyDescent="0.25">
      <c r="A53" s="9"/>
      <c r="B53" s="10"/>
      <c r="C53" s="9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2" customFormat="1" x14ac:dyDescent="0.25">
      <c r="A54" s="52"/>
      <c r="B54" s="10" t="s">
        <v>14</v>
      </c>
      <c r="C54" s="10"/>
      <c r="D54" s="4"/>
      <c r="E54" s="4"/>
      <c r="F54" s="11">
        <f>IF(D$12=0,0,D54/D$12)</f>
        <v>0</v>
      </c>
      <c r="G54" s="4"/>
      <c r="H54" s="4"/>
      <c r="I54" s="4"/>
      <c r="J54" s="11">
        <f>IF(H$12=0,0,H54/H$12)</f>
        <v>0</v>
      </c>
      <c r="K54" s="4"/>
      <c r="L54" s="4">
        <f>+D54-H54</f>
        <v>0</v>
      </c>
      <c r="M54" s="4"/>
      <c r="N54" s="11">
        <f>IF(H54=0,0,L54/H54)</f>
        <v>0</v>
      </c>
      <c r="O54" s="10"/>
      <c r="P54" s="4"/>
      <c r="Q54" s="4"/>
      <c r="R54" s="11">
        <f>IF(P$12=0,0,P54/P$12)</f>
        <v>0</v>
      </c>
      <c r="S54" s="4"/>
      <c r="T54" s="4"/>
      <c r="U54" s="4"/>
      <c r="V54" s="11">
        <f>IF(T$12=0,0,T54/T$12)</f>
        <v>0</v>
      </c>
      <c r="W54" s="4"/>
      <c r="X54" s="4">
        <f>+P54-T54</f>
        <v>0</v>
      </c>
      <c r="Y54" s="4"/>
      <c r="Z54" s="11">
        <f>IF(T54=0,0,X54/T54)</f>
        <v>0</v>
      </c>
    </row>
    <row r="55" spans="1:26" x14ac:dyDescent="0.25">
      <c r="A55" s="9"/>
      <c r="B55" s="10"/>
      <c r="C55" s="10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O55" s="10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2" customFormat="1" ht="15.75" thickBot="1" x14ac:dyDescent="0.3">
      <c r="A56" s="10"/>
      <c r="B56" s="25" t="s">
        <v>4</v>
      </c>
      <c r="C56" s="25"/>
      <c r="D56" s="34">
        <f>+D52-D54</f>
        <v>-347.4</v>
      </c>
      <c r="E56" s="13"/>
      <c r="F56" s="30">
        <f>IF(D$12=0,0,D56/D$12)</f>
        <v>0</v>
      </c>
      <c r="G56" s="13"/>
      <c r="H56" s="34">
        <f>+H52-H54</f>
        <v>0</v>
      </c>
      <c r="I56" s="13"/>
      <c r="J56" s="30">
        <f>IF(H$12=0,0,H56/H$12)</f>
        <v>0</v>
      </c>
      <c r="K56" s="15"/>
      <c r="L56" s="34">
        <f>D56-H56</f>
        <v>-347.4</v>
      </c>
      <c r="M56" s="15"/>
      <c r="N56" s="30">
        <f>IF(H56=0,0,L56/H56)</f>
        <v>0</v>
      </c>
      <c r="O56" s="26"/>
      <c r="P56" s="34">
        <f>+P52-P54</f>
        <v>-347.4</v>
      </c>
      <c r="Q56" s="13"/>
      <c r="R56" s="30">
        <f>IF(P$12=0,0,P56/P$12)</f>
        <v>0</v>
      </c>
      <c r="S56" s="13"/>
      <c r="T56" s="34">
        <f>+T52-T54</f>
        <v>0</v>
      </c>
      <c r="U56" s="13"/>
      <c r="V56" s="30">
        <f>IF(T$12=0,0,T56/T$12)</f>
        <v>0</v>
      </c>
      <c r="W56" s="15"/>
      <c r="X56" s="34">
        <f>P56-T56</f>
        <v>-347.4</v>
      </c>
      <c r="Y56" s="15"/>
      <c r="Z56" s="30">
        <f>IF(T56=0,0,X56/T56)</f>
        <v>0</v>
      </c>
    </row>
    <row r="57" spans="1:26" ht="15.75" thickTop="1" x14ac:dyDescent="0.25">
      <c r="A57" s="9"/>
      <c r="B57" s="9"/>
      <c r="C57" s="9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x14ac:dyDescent="0.25">
      <c r="A58" s="9"/>
      <c r="B58" s="9"/>
      <c r="C58" s="9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s="22" customFormat="1" ht="15.75" thickBot="1" x14ac:dyDescent="0.3">
      <c r="A59" s="10"/>
      <c r="B59" s="25" t="s">
        <v>5</v>
      </c>
      <c r="C59" s="25"/>
      <c r="D59" s="32">
        <f>SUM(D56:D58)</f>
        <v>-347.4</v>
      </c>
      <c r="E59" s="13"/>
      <c r="F59" s="33">
        <f>IF(D$12=0,0,D59/D$12)</f>
        <v>0</v>
      </c>
      <c r="G59" s="13"/>
      <c r="H59" s="32">
        <f>SUM(H56:H58)</f>
        <v>0</v>
      </c>
      <c r="I59" s="13"/>
      <c r="J59" s="33">
        <f>IF(H$12=0,0,H59/H$12)</f>
        <v>0</v>
      </c>
      <c r="K59" s="15"/>
      <c r="L59" s="32">
        <f>+D59-H59</f>
        <v>-347.4</v>
      </c>
      <c r="M59" s="15"/>
      <c r="N59" s="33">
        <f>IF(H59=0,0,L59/H59)</f>
        <v>0</v>
      </c>
      <c r="O59" s="26"/>
      <c r="P59" s="32">
        <f>SUM(P56:P58)</f>
        <v>-347.4</v>
      </c>
      <c r="Q59" s="13"/>
      <c r="R59" s="33">
        <f>IF(P$12=0,0,P59/P$12)</f>
        <v>0</v>
      </c>
      <c r="S59" s="13"/>
      <c r="T59" s="32">
        <f>SUM(T56:T58)</f>
        <v>0</v>
      </c>
      <c r="U59" s="13"/>
      <c r="V59" s="33">
        <f>IF(T$12=0,0,T59/T$12)</f>
        <v>0</v>
      </c>
      <c r="W59" s="15"/>
      <c r="X59" s="32">
        <f>+P59-T59</f>
        <v>-347.4</v>
      </c>
      <c r="Y59" s="15"/>
      <c r="Z59" s="33">
        <f>IF(T59=0,0,X59/T59)</f>
        <v>0</v>
      </c>
    </row>
    <row r="60" spans="1:26" ht="15.75" thickTop="1" x14ac:dyDescent="0.25">
      <c r="A60" s="9"/>
      <c r="C60" s="9"/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58">
        <v>44104.685925381942</v>
      </c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56" t="s">
        <v>314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62"/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","313", " - ", "Convenience Store")</f>
        <v>Department 313 - Convenience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3" si="0">+D12-H12</f>
        <v>0</v>
      </c>
      <c r="M12" s="4"/>
      <c r="N12" s="11">
        <f t="shared" ref="N12:N13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3" si="2">+P12-T12</f>
        <v>0</v>
      </c>
      <c r="Y12" s="4"/>
      <c r="Z12" s="11">
        <f t="shared" ref="Z12:Z13" si="3">IF(T12=0,0,X12/T12)</f>
        <v>0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1">
        <f t="shared" ref="F15:F16" si="4">IF(D$12=0,0,D15/D$12)</f>
        <v>0</v>
      </c>
      <c r="G15" s="4"/>
      <c r="H15" s="4">
        <f>SUM(OSRRefH16x_0)</f>
        <v>0</v>
      </c>
      <c r="I15" s="4"/>
      <c r="J15" s="11">
        <f t="shared" ref="J15:J16" si="5">IF(H$12=0,0,H15/H$12)</f>
        <v>0</v>
      </c>
      <c r="K15" s="4"/>
      <c r="L15" s="4">
        <f t="shared" ref="L15:L16" si="6">+D15-H15</f>
        <v>0</v>
      </c>
      <c r="M15" s="4"/>
      <c r="N15" s="11">
        <f t="shared" ref="N15:N16" si="7">IF(H15=0,0,L15/H15)</f>
        <v>0</v>
      </c>
      <c r="O15" s="10"/>
      <c r="P15" s="4">
        <f>SUM(OSRRefP16x_0)</f>
        <v>0</v>
      </c>
      <c r="Q15" s="4"/>
      <c r="R15" s="11">
        <f t="shared" ref="R15:R16" si="8">IF(P$12=0,0,P15/P$12)</f>
        <v>0</v>
      </c>
      <c r="S15" s="4"/>
      <c r="T15" s="4">
        <f>SUM(OSRRefT16x_0)</f>
        <v>0</v>
      </c>
      <c r="U15" s="4"/>
      <c r="V15" s="11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1">
        <f t="shared" ref="Z15:Z16" si="11">IF(T15=0,0,X15/T15)</f>
        <v>0</v>
      </c>
    </row>
    <row r="16" spans="1:26" s="24" customFormat="1" hidden="1" outlineLevel="1" x14ac:dyDescent="0.25">
      <c r="A16" s="51"/>
      <c r="B16" s="12" t="str">
        <f>CONCATENATE("          ", "5000", " - ", "PURCHASES @ COST")</f>
        <v xml:space="preserve">          5000 - PURCHASES @ COST</v>
      </c>
      <c r="C16" s="12"/>
      <c r="D16" s="3"/>
      <c r="E16" s="3"/>
      <c r="F16" s="23">
        <f t="shared" si="4"/>
        <v>0</v>
      </c>
      <c r="G16" s="3"/>
      <c r="H16" s="3">
        <v>0</v>
      </c>
      <c r="I16" s="3"/>
      <c r="J16" s="23">
        <f t="shared" si="5"/>
        <v>0</v>
      </c>
      <c r="K16" s="3"/>
      <c r="L16" s="3">
        <f t="shared" si="6"/>
        <v>0</v>
      </c>
      <c r="M16" s="3"/>
      <c r="N16" s="23">
        <f t="shared" si="7"/>
        <v>0</v>
      </c>
      <c r="O16" s="12"/>
      <c r="P16" s="3"/>
      <c r="Q16" s="3"/>
      <c r="R16" s="23">
        <f t="shared" si="8"/>
        <v>0</v>
      </c>
      <c r="S16" s="3"/>
      <c r="T16" s="3">
        <v>0</v>
      </c>
      <c r="U16" s="3"/>
      <c r="V16" s="23">
        <f t="shared" si="9"/>
        <v>0</v>
      </c>
      <c r="W16" s="3"/>
      <c r="X16" s="3">
        <f t="shared" si="10"/>
        <v>0</v>
      </c>
      <c r="Y16" s="3"/>
      <c r="Z16" s="23">
        <f t="shared" si="11"/>
        <v>0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>
        <f>D12-D15</f>
        <v>0</v>
      </c>
      <c r="E18" s="13"/>
      <c r="F18" s="20">
        <f>IF(D$12=0,0,D18/D$12)</f>
        <v>0</v>
      </c>
      <c r="G18" s="13"/>
      <c r="H18" s="21">
        <f>H12-H15</f>
        <v>0</v>
      </c>
      <c r="I18" s="13"/>
      <c r="J18" s="20">
        <f>IF(H$12=0,0,H18/H$12)</f>
        <v>0</v>
      </c>
      <c r="K18" s="15"/>
      <c r="L18" s="21">
        <f>+D18-H18</f>
        <v>0</v>
      </c>
      <c r="M18" s="15"/>
      <c r="N18" s="20">
        <f>IF(H18=0,0,L18/H18)</f>
        <v>0</v>
      </c>
      <c r="O18" s="26"/>
      <c r="P18" s="21">
        <f>P12-P15</f>
        <v>0</v>
      </c>
      <c r="Q18" s="13"/>
      <c r="R18" s="20">
        <f>IF(P$12=0,0,P18/P$12)</f>
        <v>0</v>
      </c>
      <c r="S18" s="13"/>
      <c r="T18" s="21">
        <f>T12-T15</f>
        <v>0</v>
      </c>
      <c r="U18" s="13"/>
      <c r="V18" s="20">
        <f>IF(T$12=0,0,T18/T$12)</f>
        <v>0</v>
      </c>
      <c r="W18" s="15"/>
      <c r="X18" s="21">
        <f>+P18-T18</f>
        <v>0</v>
      </c>
      <c r="Y18" s="15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>
        <f>SUM(OSRRefD22x_0)</f>
        <v>9677.16</v>
      </c>
      <c r="E20" s="19"/>
      <c r="F20" s="31">
        <f t="shared" ref="F20:F30" si="12">IF(D$12=0,0,D20/D$12)</f>
        <v>0</v>
      </c>
      <c r="G20" s="19"/>
      <c r="H20" s="19">
        <f>SUM(OSRRefH22x_0)</f>
        <v>12633.105725000001</v>
      </c>
      <c r="I20" s="19"/>
      <c r="J20" s="31">
        <f t="shared" ref="J20:J30" si="13">IF(H$12=0,0,H20/H$12)</f>
        <v>0</v>
      </c>
      <c r="K20" s="4"/>
      <c r="L20" s="19">
        <f t="shared" ref="L20:L30" si="14">+D20-H20</f>
        <v>-2955.9457250000014</v>
      </c>
      <c r="M20" s="4"/>
      <c r="N20" s="31">
        <f t="shared" ref="N20:N30" si="15">IF(H20=0,0,L20/H20)</f>
        <v>-0.23398408826345837</v>
      </c>
      <c r="O20" s="10"/>
      <c r="P20" s="19">
        <f>SUM(OSRRefP22x_0)</f>
        <v>9677.16</v>
      </c>
      <c r="Q20" s="19"/>
      <c r="R20" s="31">
        <f t="shared" ref="R20:R30" si="16">IF(P$12=0,0,P20/P$12)</f>
        <v>0</v>
      </c>
      <c r="S20" s="19"/>
      <c r="T20" s="19">
        <f>SUM(OSRRefT22x_0)</f>
        <v>12633.105725000001</v>
      </c>
      <c r="U20" s="19"/>
      <c r="V20" s="31">
        <f t="shared" ref="V20:V30" si="17">IF(T$12=0,0,T20/T$12)</f>
        <v>0</v>
      </c>
      <c r="W20" s="4"/>
      <c r="X20" s="19">
        <f t="shared" ref="X20:X30" si="18">+P20-T20</f>
        <v>-2955.9457250000014</v>
      </c>
      <c r="Y20" s="4"/>
      <c r="Z20" s="31">
        <f t="shared" ref="Z20:Z30" si="19">IF(T20=0,0,X20/T20)</f>
        <v>-0.23398408826345837</v>
      </c>
    </row>
    <row r="21" spans="1:26" s="29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4101.83</v>
      </c>
      <c r="E21" s="1"/>
      <c r="F21" s="5">
        <f t="shared" si="12"/>
        <v>0</v>
      </c>
      <c r="G21" s="1"/>
      <c r="H21" s="1">
        <f>SUM(OSRRefH22_0x_0)</f>
        <v>3780.4807250000003</v>
      </c>
      <c r="I21" s="1"/>
      <c r="J21" s="5">
        <f t="shared" si="13"/>
        <v>0</v>
      </c>
      <c r="K21" s="1"/>
      <c r="L21" s="1">
        <f t="shared" si="14"/>
        <v>321.34927499999958</v>
      </c>
      <c r="M21" s="1"/>
      <c r="N21" s="5">
        <f t="shared" si="15"/>
        <v>8.5002225477554719E-2</v>
      </c>
      <c r="O21" s="14"/>
      <c r="P21" s="1">
        <f>SUM(OSRRefP22_0x_0)</f>
        <v>4101.83</v>
      </c>
      <c r="Q21" s="1"/>
      <c r="R21" s="5">
        <f t="shared" si="16"/>
        <v>0</v>
      </c>
      <c r="S21" s="1"/>
      <c r="T21" s="1">
        <f>SUM(OSRRefT22_0x_0)</f>
        <v>3780.4807250000003</v>
      </c>
      <c r="U21" s="1"/>
      <c r="V21" s="5">
        <f t="shared" si="17"/>
        <v>0</v>
      </c>
      <c r="W21" s="1"/>
      <c r="X21" s="1">
        <f t="shared" si="18"/>
        <v>321.34927499999958</v>
      </c>
      <c r="Y21" s="1"/>
      <c r="Z21" s="5">
        <f t="shared" si="19"/>
        <v>8.5002225477554719E-2</v>
      </c>
    </row>
    <row r="22" spans="1:26" s="24" customFormat="1" hidden="1" outlineLevel="2" x14ac:dyDescent="0.25">
      <c r="A22" s="27"/>
      <c r="B22" s="12" t="str">
        <f>CONCATENATE("          ", "6111", " - ", "F.I.C.A.")</f>
        <v xml:space="preserve">          6111 - F.I.C.A.</v>
      </c>
      <c r="C22" s="12"/>
      <c r="D22" s="7">
        <v>383.82</v>
      </c>
      <c r="E22" s="3"/>
      <c r="F22" s="8">
        <f t="shared" si="12"/>
        <v>0</v>
      </c>
      <c r="G22" s="3"/>
      <c r="H22" s="7">
        <v>532.45747500000004</v>
      </c>
      <c r="I22" s="3"/>
      <c r="J22" s="8">
        <f t="shared" si="13"/>
        <v>0</v>
      </c>
      <c r="K22" s="3"/>
      <c r="L22" s="7">
        <f t="shared" si="14"/>
        <v>-148.63747500000005</v>
      </c>
      <c r="M22" s="3"/>
      <c r="N22" s="8">
        <f t="shared" si="15"/>
        <v>-0.27915370142939594</v>
      </c>
      <c r="O22" s="12"/>
      <c r="P22" s="7">
        <v>383.82</v>
      </c>
      <c r="Q22" s="3"/>
      <c r="R22" s="8">
        <f t="shared" si="16"/>
        <v>0</v>
      </c>
      <c r="S22" s="3"/>
      <c r="T22" s="7">
        <v>532.45747500000004</v>
      </c>
      <c r="U22" s="3"/>
      <c r="V22" s="8">
        <f t="shared" si="17"/>
        <v>0</v>
      </c>
      <c r="W22" s="3"/>
      <c r="X22" s="7">
        <f t="shared" si="18"/>
        <v>-148.63747500000005</v>
      </c>
      <c r="Y22" s="3"/>
      <c r="Z22" s="8">
        <f t="shared" si="19"/>
        <v>-0.27915370142939594</v>
      </c>
    </row>
    <row r="23" spans="1:26" s="24" customFormat="1" hidden="1" outlineLevel="2" x14ac:dyDescent="0.25">
      <c r="A23" s="27"/>
      <c r="B23" s="12" t="str">
        <f>CONCATENATE("          ", "6112", " - ", "COMPENSATION INSURANCE")</f>
        <v xml:space="preserve">          6112 - COMPENSATION INSURANCE</v>
      </c>
      <c r="C23" s="12"/>
      <c r="D23" s="7">
        <v>92.82</v>
      </c>
      <c r="E23" s="3"/>
      <c r="F23" s="8">
        <f t="shared" si="12"/>
        <v>0</v>
      </c>
      <c r="G23" s="3"/>
      <c r="H23" s="7">
        <v>128.71375</v>
      </c>
      <c r="I23" s="3"/>
      <c r="J23" s="8">
        <f t="shared" si="13"/>
        <v>0</v>
      </c>
      <c r="K23" s="3"/>
      <c r="L23" s="7">
        <f t="shared" si="14"/>
        <v>-35.893750000000011</v>
      </c>
      <c r="M23" s="3"/>
      <c r="N23" s="8">
        <f t="shared" si="15"/>
        <v>-0.27886492313369793</v>
      </c>
      <c r="O23" s="12"/>
      <c r="P23" s="7">
        <v>92.82</v>
      </c>
      <c r="Q23" s="3"/>
      <c r="R23" s="8">
        <f t="shared" si="16"/>
        <v>0</v>
      </c>
      <c r="S23" s="3"/>
      <c r="T23" s="7">
        <v>128.71375</v>
      </c>
      <c r="U23" s="3"/>
      <c r="V23" s="8">
        <f t="shared" si="17"/>
        <v>0</v>
      </c>
      <c r="W23" s="3"/>
      <c r="X23" s="7">
        <f t="shared" si="18"/>
        <v>-35.893750000000011</v>
      </c>
      <c r="Y23" s="3"/>
      <c r="Z23" s="8">
        <f t="shared" si="19"/>
        <v>-0.27886492313369793</v>
      </c>
    </row>
    <row r="24" spans="1:26" s="24" customFormat="1" hidden="1" outlineLevel="2" x14ac:dyDescent="0.25">
      <c r="A24" s="27"/>
      <c r="B24" s="12" t="str">
        <f>CONCATENATE("          ", "6113", " - ", "GROUP INSURANCE")</f>
        <v xml:space="preserve">          6113 - GROUP INSURANCE</v>
      </c>
      <c r="C24" s="12"/>
      <c r="D24" s="7">
        <v>2021.26</v>
      </c>
      <c r="E24" s="3"/>
      <c r="F24" s="8">
        <f t="shared" si="12"/>
        <v>0</v>
      </c>
      <c r="G24" s="3"/>
      <c r="H24" s="7">
        <v>1980</v>
      </c>
      <c r="I24" s="3"/>
      <c r="J24" s="8">
        <f t="shared" si="13"/>
        <v>0</v>
      </c>
      <c r="K24" s="3"/>
      <c r="L24" s="7">
        <f t="shared" si="14"/>
        <v>41.259999999999991</v>
      </c>
      <c r="M24" s="3"/>
      <c r="N24" s="8">
        <f t="shared" si="15"/>
        <v>2.0838383838383833E-2</v>
      </c>
      <c r="O24" s="12"/>
      <c r="P24" s="7">
        <v>2021.26</v>
      </c>
      <c r="Q24" s="3"/>
      <c r="R24" s="8">
        <f t="shared" si="16"/>
        <v>0</v>
      </c>
      <c r="S24" s="3"/>
      <c r="T24" s="7">
        <v>1980</v>
      </c>
      <c r="U24" s="3"/>
      <c r="V24" s="8">
        <f t="shared" si="17"/>
        <v>0</v>
      </c>
      <c r="W24" s="3"/>
      <c r="X24" s="7">
        <f t="shared" si="18"/>
        <v>41.259999999999991</v>
      </c>
      <c r="Y24" s="3"/>
      <c r="Z24" s="8">
        <f t="shared" si="19"/>
        <v>2.0838383838383833E-2</v>
      </c>
    </row>
    <row r="25" spans="1:26" s="24" customFormat="1" hidden="1" outlineLevel="2" x14ac:dyDescent="0.25">
      <c r="A25" s="27"/>
      <c r="B25" s="12" t="str">
        <f>CONCATENATE("          ", "6114", " - ", "STATE UNEMPLOYMENT INSURANCE")</f>
        <v xml:space="preserve">          6114 - STATE UNEMPLOYMENT INSURANCE</v>
      </c>
      <c r="C25" s="12"/>
      <c r="D25" s="7">
        <v>13.04</v>
      </c>
      <c r="E25" s="3"/>
      <c r="F25" s="8">
        <f t="shared" si="12"/>
        <v>0</v>
      </c>
      <c r="G25" s="3"/>
      <c r="H25" s="7">
        <v>18.089500000000001</v>
      </c>
      <c r="I25" s="3"/>
      <c r="J25" s="8">
        <f t="shared" si="13"/>
        <v>0</v>
      </c>
      <c r="K25" s="3"/>
      <c r="L25" s="7">
        <f t="shared" si="14"/>
        <v>-5.0495000000000019</v>
      </c>
      <c r="M25" s="3"/>
      <c r="N25" s="8">
        <f t="shared" si="15"/>
        <v>-0.2791398324995164</v>
      </c>
      <c r="O25" s="12"/>
      <c r="P25" s="7">
        <v>13.04</v>
      </c>
      <c r="Q25" s="3"/>
      <c r="R25" s="8">
        <f t="shared" si="16"/>
        <v>0</v>
      </c>
      <c r="S25" s="3"/>
      <c r="T25" s="7">
        <v>18.089500000000001</v>
      </c>
      <c r="U25" s="3"/>
      <c r="V25" s="8">
        <f t="shared" si="17"/>
        <v>0</v>
      </c>
      <c r="W25" s="3"/>
      <c r="X25" s="7">
        <f t="shared" si="18"/>
        <v>-5.0495000000000019</v>
      </c>
      <c r="Y25" s="3"/>
      <c r="Z25" s="8">
        <f t="shared" si="19"/>
        <v>-0.2791398324995164</v>
      </c>
    </row>
    <row r="26" spans="1:26" s="24" customFormat="1" hidden="1" outlineLevel="2" x14ac:dyDescent="0.25">
      <c r="A26" s="27"/>
      <c r="B26" s="12" t="str">
        <f>CONCATENATE("          ", "6115", " - ", "P.E.R.S.")</f>
        <v xml:space="preserve">          6115 - P.E.R.S.</v>
      </c>
      <c r="C26" s="12"/>
      <c r="D26" s="7">
        <v>921.09</v>
      </c>
      <c r="E26" s="3"/>
      <c r="F26" s="8">
        <f t="shared" si="12"/>
        <v>0</v>
      </c>
      <c r="G26" s="3"/>
      <c r="H26" s="7">
        <v>598.34500000000003</v>
      </c>
      <c r="I26" s="3"/>
      <c r="J26" s="8">
        <f t="shared" si="13"/>
        <v>0</v>
      </c>
      <c r="K26" s="3"/>
      <c r="L26" s="7">
        <f t="shared" si="14"/>
        <v>322.745</v>
      </c>
      <c r="M26" s="3"/>
      <c r="N26" s="8">
        <f t="shared" si="15"/>
        <v>0.53939616776274557</v>
      </c>
      <c r="O26" s="12"/>
      <c r="P26" s="7">
        <v>921.09</v>
      </c>
      <c r="Q26" s="3"/>
      <c r="R26" s="8">
        <f t="shared" si="16"/>
        <v>0</v>
      </c>
      <c r="S26" s="3"/>
      <c r="T26" s="7">
        <v>598.34500000000003</v>
      </c>
      <c r="U26" s="3"/>
      <c r="V26" s="8">
        <f t="shared" si="17"/>
        <v>0</v>
      </c>
      <c r="W26" s="3"/>
      <c r="X26" s="7">
        <f t="shared" si="18"/>
        <v>322.745</v>
      </c>
      <c r="Y26" s="3"/>
      <c r="Z26" s="8">
        <f t="shared" si="19"/>
        <v>0.53939616776274557</v>
      </c>
    </row>
    <row r="27" spans="1:26" s="24" customFormat="1" hidden="1" outlineLevel="2" x14ac:dyDescent="0.25">
      <c r="A27" s="27"/>
      <c r="B27" s="12" t="str">
        <f>CONCATENATE("          ", "6116", " - ", "EDUCATIONAL BENEFITS")</f>
        <v xml:space="preserve">          6116 - EDUCATIONAL BENEFITS</v>
      </c>
      <c r="C27" s="12"/>
      <c r="D27" s="7"/>
      <c r="E27" s="3"/>
      <c r="F27" s="8">
        <f t="shared" si="12"/>
        <v>0</v>
      </c>
      <c r="G27" s="3"/>
      <c r="H27" s="7">
        <v>0</v>
      </c>
      <c r="I27" s="3"/>
      <c r="J27" s="8">
        <f t="shared" si="13"/>
        <v>0</v>
      </c>
      <c r="K27" s="3"/>
      <c r="L27" s="7">
        <f t="shared" si="14"/>
        <v>0</v>
      </c>
      <c r="M27" s="3"/>
      <c r="N27" s="8">
        <f t="shared" si="15"/>
        <v>0</v>
      </c>
      <c r="O27" s="12"/>
      <c r="P27" s="7"/>
      <c r="Q27" s="3"/>
      <c r="R27" s="8">
        <f t="shared" si="16"/>
        <v>0</v>
      </c>
      <c r="S27" s="3"/>
      <c r="T27" s="7">
        <v>0</v>
      </c>
      <c r="U27" s="3"/>
      <c r="V27" s="8">
        <f t="shared" si="17"/>
        <v>0</v>
      </c>
      <c r="W27" s="3"/>
      <c r="X27" s="7">
        <f t="shared" si="18"/>
        <v>0</v>
      </c>
      <c r="Y27" s="3"/>
      <c r="Z27" s="8">
        <f t="shared" si="19"/>
        <v>0</v>
      </c>
    </row>
    <row r="28" spans="1:26" s="24" customFormat="1" hidden="1" outlineLevel="2" x14ac:dyDescent="0.25">
      <c r="A28" s="27"/>
      <c r="B28" s="12" t="str">
        <f>CONCATENATE("          ", "6118", " - ", "VACATION")</f>
        <v xml:space="preserve">          6118 - VACATION</v>
      </c>
      <c r="C28" s="12"/>
      <c r="D28" s="7">
        <v>407.06</v>
      </c>
      <c r="E28" s="3"/>
      <c r="F28" s="8">
        <f t="shared" si="12"/>
        <v>0</v>
      </c>
      <c r="G28" s="3"/>
      <c r="H28" s="7">
        <v>208.72499999999999</v>
      </c>
      <c r="I28" s="3"/>
      <c r="J28" s="8">
        <f t="shared" si="13"/>
        <v>0</v>
      </c>
      <c r="K28" s="3"/>
      <c r="L28" s="7">
        <f t="shared" si="14"/>
        <v>198.33500000000001</v>
      </c>
      <c r="M28" s="3"/>
      <c r="N28" s="8">
        <f t="shared" si="15"/>
        <v>0.95022158342316454</v>
      </c>
      <c r="O28" s="12"/>
      <c r="P28" s="7">
        <v>407.06</v>
      </c>
      <c r="Q28" s="3"/>
      <c r="R28" s="8">
        <f t="shared" si="16"/>
        <v>0</v>
      </c>
      <c r="S28" s="3"/>
      <c r="T28" s="7">
        <v>208.72499999999999</v>
      </c>
      <c r="U28" s="3"/>
      <c r="V28" s="8">
        <f t="shared" si="17"/>
        <v>0</v>
      </c>
      <c r="W28" s="3"/>
      <c r="X28" s="7">
        <f t="shared" si="18"/>
        <v>198.33500000000001</v>
      </c>
      <c r="Y28" s="3"/>
      <c r="Z28" s="8">
        <f t="shared" si="19"/>
        <v>0.95022158342316454</v>
      </c>
    </row>
    <row r="29" spans="1:26" s="24" customFormat="1" hidden="1" outlineLevel="2" x14ac:dyDescent="0.25">
      <c r="A29" s="27"/>
      <c r="B29" s="12" t="str">
        <f>CONCATENATE("          ", "6119", " - ", "SICK LEAVE")</f>
        <v xml:space="preserve">          6119 - SICK LEAVE</v>
      </c>
      <c r="C29" s="12"/>
      <c r="D29" s="7">
        <v>256.76</v>
      </c>
      <c r="E29" s="3"/>
      <c r="F29" s="8">
        <f t="shared" si="12"/>
        <v>0</v>
      </c>
      <c r="G29" s="3"/>
      <c r="H29" s="7">
        <v>139.15</v>
      </c>
      <c r="I29" s="3"/>
      <c r="J29" s="8">
        <f t="shared" si="13"/>
        <v>0</v>
      </c>
      <c r="K29" s="3"/>
      <c r="L29" s="7">
        <f t="shared" si="14"/>
        <v>117.60999999999999</v>
      </c>
      <c r="M29" s="3"/>
      <c r="N29" s="8">
        <f t="shared" si="15"/>
        <v>0.84520301832554778</v>
      </c>
      <c r="O29" s="12"/>
      <c r="P29" s="7">
        <v>256.76</v>
      </c>
      <c r="Q29" s="3"/>
      <c r="R29" s="8">
        <f t="shared" si="16"/>
        <v>0</v>
      </c>
      <c r="S29" s="3"/>
      <c r="T29" s="7">
        <v>139.15</v>
      </c>
      <c r="U29" s="3"/>
      <c r="V29" s="8">
        <f t="shared" si="17"/>
        <v>0</v>
      </c>
      <c r="W29" s="3"/>
      <c r="X29" s="7">
        <f t="shared" si="18"/>
        <v>117.60999999999999</v>
      </c>
      <c r="Y29" s="3"/>
      <c r="Z29" s="8">
        <f t="shared" si="19"/>
        <v>0.84520301832554778</v>
      </c>
    </row>
    <row r="30" spans="1:26" s="24" customFormat="1" hidden="1" outlineLevel="2" x14ac:dyDescent="0.25">
      <c r="A30" s="27"/>
      <c r="B30" s="12" t="str">
        <f>CONCATENATE("          ", "6156", " - ", "EMPLOYEE MEALS")</f>
        <v xml:space="preserve">          6156 - EMPLOYEE MEALS</v>
      </c>
      <c r="C30" s="12"/>
      <c r="D30" s="7">
        <v>5.98</v>
      </c>
      <c r="E30" s="3"/>
      <c r="F30" s="8">
        <f t="shared" si="12"/>
        <v>0</v>
      </c>
      <c r="G30" s="3"/>
      <c r="H30" s="7">
        <v>175</v>
      </c>
      <c r="I30" s="3"/>
      <c r="J30" s="8">
        <f t="shared" si="13"/>
        <v>0</v>
      </c>
      <c r="K30" s="3"/>
      <c r="L30" s="7">
        <f t="shared" si="14"/>
        <v>-169.02</v>
      </c>
      <c r="M30" s="3"/>
      <c r="N30" s="8">
        <f t="shared" si="15"/>
        <v>-0.96582857142857148</v>
      </c>
      <c r="O30" s="12"/>
      <c r="P30" s="7">
        <v>5.98</v>
      </c>
      <c r="Q30" s="3"/>
      <c r="R30" s="8">
        <f t="shared" si="16"/>
        <v>0</v>
      </c>
      <c r="S30" s="3"/>
      <c r="T30" s="7">
        <v>175</v>
      </c>
      <c r="U30" s="3"/>
      <c r="V30" s="8">
        <f t="shared" si="17"/>
        <v>0</v>
      </c>
      <c r="W30" s="3"/>
      <c r="X30" s="7">
        <f t="shared" si="18"/>
        <v>-169.02</v>
      </c>
      <c r="Y30" s="3"/>
      <c r="Z30" s="8">
        <f t="shared" si="19"/>
        <v>-0.96582857142857148</v>
      </c>
    </row>
    <row r="31" spans="1:26" s="29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5393.03</v>
      </c>
      <c r="E31" s="1"/>
      <c r="F31" s="5">
        <f t="shared" ref="F31:F41" si="20">IF(D$12=0,0,D31/D$12)</f>
        <v>0</v>
      </c>
      <c r="G31" s="1"/>
      <c r="H31" s="1">
        <f>SUM(OSRRefH22_1x_0)</f>
        <v>6609.625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-1216.5950000000003</v>
      </c>
      <c r="M31" s="1"/>
      <c r="N31" s="5">
        <f t="shared" ref="N31:N41" si="23">IF(H31=0,0,L31/H31)</f>
        <v>-0.18406414887380151</v>
      </c>
      <c r="O31" s="14"/>
      <c r="P31" s="1">
        <f>SUM(OSRRefP22_1x_0)</f>
        <v>5393.03</v>
      </c>
      <c r="Q31" s="1"/>
      <c r="R31" s="5">
        <f t="shared" ref="R31:R41" si="24">IF(P$12=0,0,P31/P$12)</f>
        <v>0</v>
      </c>
      <c r="S31" s="1"/>
      <c r="T31" s="1">
        <f>SUM(OSRRefT22_1x_0)</f>
        <v>6609.625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-1216.5950000000003</v>
      </c>
      <c r="Y31" s="1"/>
      <c r="Z31" s="5">
        <f t="shared" ref="Z31:Z41" si="27">IF(T31=0,0,X31/T31)</f>
        <v>-0.18406414887380151</v>
      </c>
    </row>
    <row r="32" spans="1:26" s="24" customFormat="1" hidden="1" outlineLevel="2" x14ac:dyDescent="0.25">
      <c r="A32" s="27"/>
      <c r="B32" s="12" t="str">
        <f>CONCATENATE("          ", "6001", " - ", "ADMINISTRATIVE SALARIES")</f>
        <v xml:space="preserve">          6001 - ADMINISTRATIVE SALARIES</v>
      </c>
      <c r="C32" s="12"/>
      <c r="D32" s="7"/>
      <c r="E32" s="3"/>
      <c r="F32" s="8">
        <f t="shared" si="20"/>
        <v>0</v>
      </c>
      <c r="G32" s="3"/>
      <c r="H32" s="7">
        <v>6609.625</v>
      </c>
      <c r="I32" s="3"/>
      <c r="J32" s="8">
        <f t="shared" si="21"/>
        <v>0</v>
      </c>
      <c r="K32" s="3"/>
      <c r="L32" s="7">
        <f t="shared" si="22"/>
        <v>-6609.625</v>
      </c>
      <c r="M32" s="3"/>
      <c r="N32" s="8">
        <f t="shared" si="23"/>
        <v>-1</v>
      </c>
      <c r="O32" s="12"/>
      <c r="P32" s="7"/>
      <c r="Q32" s="3"/>
      <c r="R32" s="8">
        <f t="shared" si="24"/>
        <v>0</v>
      </c>
      <c r="S32" s="3"/>
      <c r="T32" s="7">
        <v>6609.625</v>
      </c>
      <c r="U32" s="3"/>
      <c r="V32" s="8">
        <f t="shared" si="25"/>
        <v>0</v>
      </c>
      <c r="W32" s="3"/>
      <c r="X32" s="7">
        <f t="shared" si="26"/>
        <v>-6609.625</v>
      </c>
      <c r="Y32" s="3"/>
      <c r="Z32" s="8">
        <f t="shared" si="27"/>
        <v>-1</v>
      </c>
    </row>
    <row r="33" spans="1:26" s="24" customFormat="1" hidden="1" outlineLevel="2" x14ac:dyDescent="0.25">
      <c r="A33" s="27"/>
      <c r="B33" s="12" t="str">
        <f>CONCATENATE("          ", "6002", " - ", "STAFF SALARIES")</f>
        <v xml:space="preserve">          6002 - STAFF SALARIES</v>
      </c>
      <c r="C33" s="12"/>
      <c r="D33" s="7">
        <v>5393.03</v>
      </c>
      <c r="E33" s="3"/>
      <c r="F33" s="8">
        <f t="shared" si="20"/>
        <v>0</v>
      </c>
      <c r="G33" s="3"/>
      <c r="H33" s="7">
        <v>0</v>
      </c>
      <c r="I33" s="3"/>
      <c r="J33" s="8">
        <f t="shared" si="21"/>
        <v>0</v>
      </c>
      <c r="K33" s="3"/>
      <c r="L33" s="7">
        <f t="shared" si="22"/>
        <v>5393.03</v>
      </c>
      <c r="M33" s="3"/>
      <c r="N33" s="8">
        <f t="shared" si="23"/>
        <v>0</v>
      </c>
      <c r="O33" s="12"/>
      <c r="P33" s="7">
        <v>5393.03</v>
      </c>
      <c r="Q33" s="3"/>
      <c r="R33" s="8">
        <f t="shared" si="24"/>
        <v>0</v>
      </c>
      <c r="S33" s="3"/>
      <c r="T33" s="7">
        <v>0</v>
      </c>
      <c r="U33" s="3"/>
      <c r="V33" s="8">
        <f t="shared" si="25"/>
        <v>0</v>
      </c>
      <c r="W33" s="3"/>
      <c r="X33" s="7">
        <f t="shared" si="26"/>
        <v>5393.03</v>
      </c>
      <c r="Y33" s="3"/>
      <c r="Z33" s="8">
        <f t="shared" si="27"/>
        <v>0</v>
      </c>
    </row>
    <row r="34" spans="1:26" s="24" customFormat="1" hidden="1" outlineLevel="2" x14ac:dyDescent="0.25">
      <c r="A34" s="27"/>
      <c r="B34" s="12" t="str">
        <f>CONCATENATE("          ", "6003", " - ", "STAFF HOURLY-9 MONTH")</f>
        <v xml:space="preserve">          6003 - STAFF HOURLY-9 MONTH</v>
      </c>
      <c r="C34" s="12"/>
      <c r="D34" s="7"/>
      <c r="E34" s="3"/>
      <c r="F34" s="8">
        <f t="shared" si="20"/>
        <v>0</v>
      </c>
      <c r="G34" s="3"/>
      <c r="H34" s="7">
        <v>0</v>
      </c>
      <c r="I34" s="3"/>
      <c r="J34" s="8">
        <f t="shared" si="21"/>
        <v>0</v>
      </c>
      <c r="K34" s="3"/>
      <c r="L34" s="7">
        <f t="shared" si="22"/>
        <v>0</v>
      </c>
      <c r="M34" s="3"/>
      <c r="N34" s="8">
        <f t="shared" si="23"/>
        <v>0</v>
      </c>
      <c r="O34" s="12"/>
      <c r="P34" s="7"/>
      <c r="Q34" s="3"/>
      <c r="R34" s="8">
        <f t="shared" si="24"/>
        <v>0</v>
      </c>
      <c r="S34" s="3"/>
      <c r="T34" s="7">
        <v>0</v>
      </c>
      <c r="U34" s="3"/>
      <c r="V34" s="8">
        <f t="shared" si="25"/>
        <v>0</v>
      </c>
      <c r="W34" s="3"/>
      <c r="X34" s="7">
        <f t="shared" si="26"/>
        <v>0</v>
      </c>
      <c r="Y34" s="3"/>
      <c r="Z34" s="8">
        <f t="shared" si="27"/>
        <v>0</v>
      </c>
    </row>
    <row r="35" spans="1:26" s="24" customFormat="1" hidden="1" outlineLevel="2" x14ac:dyDescent="0.25">
      <c r="A35" s="27"/>
      <c r="B35" s="12" t="str">
        <f>CONCATENATE("          ", "6004", " - ", "STAFF HOURLY")</f>
        <v xml:space="preserve">          6004 - STAFF HOURLY</v>
      </c>
      <c r="C35" s="12"/>
      <c r="D35" s="7"/>
      <c r="E35" s="3"/>
      <c r="F35" s="8">
        <f t="shared" si="20"/>
        <v>0</v>
      </c>
      <c r="G35" s="3"/>
      <c r="H35" s="7">
        <v>0</v>
      </c>
      <c r="I35" s="3"/>
      <c r="J35" s="8">
        <f t="shared" si="21"/>
        <v>0</v>
      </c>
      <c r="K35" s="3"/>
      <c r="L35" s="7">
        <f t="shared" si="22"/>
        <v>0</v>
      </c>
      <c r="M35" s="3"/>
      <c r="N35" s="8">
        <f t="shared" si="23"/>
        <v>0</v>
      </c>
      <c r="O35" s="12"/>
      <c r="P35" s="7"/>
      <c r="Q35" s="3"/>
      <c r="R35" s="8">
        <f t="shared" si="24"/>
        <v>0</v>
      </c>
      <c r="S35" s="3"/>
      <c r="T35" s="7">
        <v>0</v>
      </c>
      <c r="U35" s="3"/>
      <c r="V35" s="8">
        <f t="shared" si="25"/>
        <v>0</v>
      </c>
      <c r="W35" s="3"/>
      <c r="X35" s="7">
        <f t="shared" si="26"/>
        <v>0</v>
      </c>
      <c r="Y35" s="3"/>
      <c r="Z35" s="8">
        <f t="shared" si="27"/>
        <v>0</v>
      </c>
    </row>
    <row r="36" spans="1:26" s="24" customFormat="1" hidden="1" outlineLevel="2" x14ac:dyDescent="0.25">
      <c r="A36" s="27"/>
      <c r="B36" s="12" t="str">
        <f>CONCATENATE("          ", "6005", " - ", "TEMPORARY WAGES-HOURLY")</f>
        <v xml:space="preserve">          6005 - TEMPORARY WAGES-HOURLY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"6006", " - ", "TEMPORARY PART TIME")</f>
        <v xml:space="preserve">          6006 - TEMPORARY PART TIME</v>
      </c>
      <c r="C37" s="12"/>
      <c r="D37" s="7"/>
      <c r="E37" s="3"/>
      <c r="F37" s="8">
        <f t="shared" si="20"/>
        <v>0</v>
      </c>
      <c r="G37" s="3"/>
      <c r="H37" s="7">
        <v>0</v>
      </c>
      <c r="I37" s="3"/>
      <c r="J37" s="8">
        <f t="shared" si="21"/>
        <v>0</v>
      </c>
      <c r="K37" s="3"/>
      <c r="L37" s="7">
        <f t="shared" si="22"/>
        <v>0</v>
      </c>
      <c r="M37" s="3"/>
      <c r="N37" s="8">
        <f t="shared" si="23"/>
        <v>0</v>
      </c>
      <c r="O37" s="12"/>
      <c r="P37" s="7"/>
      <c r="Q37" s="3"/>
      <c r="R37" s="8">
        <f t="shared" si="24"/>
        <v>0</v>
      </c>
      <c r="S37" s="3"/>
      <c r="T37" s="7">
        <v>0</v>
      </c>
      <c r="U37" s="3"/>
      <c r="V37" s="8">
        <f t="shared" si="25"/>
        <v>0</v>
      </c>
      <c r="W37" s="3"/>
      <c r="X37" s="7">
        <f t="shared" si="26"/>
        <v>0</v>
      </c>
      <c r="Y37" s="3"/>
      <c r="Z37" s="8">
        <f t="shared" si="27"/>
        <v>0</v>
      </c>
    </row>
    <row r="38" spans="1:26" s="24" customFormat="1" hidden="1" outlineLevel="2" x14ac:dyDescent="0.25">
      <c r="A38" s="27"/>
      <c r="B38" s="12" t="str">
        <f>CONCATENATE("          ", "6007", " - ", "STUDENT HOURLY")</f>
        <v xml:space="preserve">          6007 - STUDENT HOURLY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"6008", " - ", "STUDENT HOURLY-FICA EXEMPT")</f>
        <v xml:space="preserve">          6008 - STUDENT HOURLY-FICA EXEMPT</v>
      </c>
      <c r="C39" s="12"/>
      <c r="D39" s="7"/>
      <c r="E39" s="3"/>
      <c r="F39" s="8">
        <f t="shared" si="20"/>
        <v>0</v>
      </c>
      <c r="G39" s="3"/>
      <c r="H39" s="7">
        <v>0</v>
      </c>
      <c r="I39" s="3"/>
      <c r="J39" s="8">
        <f t="shared" si="21"/>
        <v>0</v>
      </c>
      <c r="K39" s="3"/>
      <c r="L39" s="7">
        <f t="shared" si="22"/>
        <v>0</v>
      </c>
      <c r="M39" s="3"/>
      <c r="N39" s="8">
        <f t="shared" si="23"/>
        <v>0</v>
      </c>
      <c r="O39" s="12"/>
      <c r="P39" s="7"/>
      <c r="Q39" s="3"/>
      <c r="R39" s="8">
        <f t="shared" si="24"/>
        <v>0</v>
      </c>
      <c r="S39" s="3"/>
      <c r="T39" s="7">
        <v>0</v>
      </c>
      <c r="U39" s="3"/>
      <c r="V39" s="8">
        <f t="shared" si="25"/>
        <v>0</v>
      </c>
      <c r="W39" s="3"/>
      <c r="X39" s="7">
        <f t="shared" si="26"/>
        <v>0</v>
      </c>
      <c r="Y39" s="3"/>
      <c r="Z39" s="8">
        <f t="shared" si="27"/>
        <v>0</v>
      </c>
    </row>
    <row r="40" spans="1:26" s="24" customFormat="1" hidden="1" outlineLevel="2" x14ac:dyDescent="0.25">
      <c r="A40" s="27"/>
      <c r="B40" s="12" t="str">
        <f>CONCATENATE("          ", "6009", " - ", "TEMPORARY-SEASONAL")</f>
        <v xml:space="preserve">          6009 - TEMPORARY-SEASONAL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4" customFormat="1" hidden="1" outlineLevel="2" x14ac:dyDescent="0.25">
      <c r="A41" s="27"/>
      <c r="B41" s="12" t="str">
        <f>CONCATENATE("          ", "6010", " - ", "GRATUITY")</f>
        <v xml:space="preserve">          6010 - GRATUITY</v>
      </c>
      <c r="C41" s="12"/>
      <c r="D41" s="7"/>
      <c r="E41" s="3"/>
      <c r="F41" s="8">
        <f t="shared" si="20"/>
        <v>0</v>
      </c>
      <c r="G41" s="3"/>
      <c r="H41" s="7">
        <v>0</v>
      </c>
      <c r="I41" s="3"/>
      <c r="J41" s="8">
        <f t="shared" si="21"/>
        <v>0</v>
      </c>
      <c r="K41" s="3"/>
      <c r="L41" s="7">
        <f t="shared" si="22"/>
        <v>0</v>
      </c>
      <c r="M41" s="3"/>
      <c r="N41" s="8">
        <f t="shared" si="23"/>
        <v>0</v>
      </c>
      <c r="O41" s="12"/>
      <c r="P41" s="7"/>
      <c r="Q41" s="3"/>
      <c r="R41" s="8">
        <f t="shared" si="24"/>
        <v>0</v>
      </c>
      <c r="S41" s="3"/>
      <c r="T41" s="7">
        <v>0</v>
      </c>
      <c r="U41" s="3"/>
      <c r="V41" s="8">
        <f t="shared" si="25"/>
        <v>0</v>
      </c>
      <c r="W41" s="3"/>
      <c r="X41" s="7">
        <f t="shared" si="26"/>
        <v>0</v>
      </c>
      <c r="Y41" s="3"/>
      <c r="Z41" s="8">
        <f t="shared" si="27"/>
        <v>0</v>
      </c>
    </row>
    <row r="42" spans="1:26" s="29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3" si="28">IF(D$12=0,0,D42/D$12)</f>
        <v>0</v>
      </c>
      <c r="G42" s="1"/>
      <c r="H42" s="1">
        <f>SUM(OSRRefH22_2x_0)</f>
        <v>100</v>
      </c>
      <c r="I42" s="1"/>
      <c r="J42" s="5">
        <f t="shared" ref="J42:J53" si="29">IF(H$12=0,0,H42/H$12)</f>
        <v>0</v>
      </c>
      <c r="K42" s="1"/>
      <c r="L42" s="1">
        <f t="shared" ref="L42:L53" si="30">+D42-H42</f>
        <v>-100</v>
      </c>
      <c r="M42" s="1"/>
      <c r="N42" s="5">
        <f t="shared" ref="N42:N53" si="31">IF(H42=0,0,L42/H42)</f>
        <v>-1</v>
      </c>
      <c r="O42" s="14"/>
      <c r="P42" s="1">
        <f>SUM(OSRRefP22_2x_0)</f>
        <v>0</v>
      </c>
      <c r="Q42" s="1"/>
      <c r="R42" s="5">
        <f t="shared" ref="R42:R53" si="32">IF(P$12=0,0,P42/P$12)</f>
        <v>0</v>
      </c>
      <c r="S42" s="1"/>
      <c r="T42" s="1">
        <f>SUM(OSRRefT22_2x_0)</f>
        <v>100</v>
      </c>
      <c r="U42" s="1"/>
      <c r="V42" s="5">
        <f t="shared" ref="V42:V53" si="33">IF(T$12=0,0,T42/T$12)</f>
        <v>0</v>
      </c>
      <c r="W42" s="1"/>
      <c r="X42" s="1">
        <f t="shared" ref="X42:X53" si="34">+P42-T42</f>
        <v>-100</v>
      </c>
      <c r="Y42" s="1"/>
      <c r="Z42" s="5">
        <f t="shared" ref="Z42:Z53" si="35">IF(T42=0,0,X42/T42)</f>
        <v>-1</v>
      </c>
    </row>
    <row r="43" spans="1:26" s="24" customFormat="1" hidden="1" outlineLevel="2" x14ac:dyDescent="0.25">
      <c r="A43" s="27"/>
      <c r="B43" s="12" t="str">
        <f>CONCATENATE("          ", "6362", " - ", "ADVERTISING EXPENSE")</f>
        <v xml:space="preserve">          6362 - ADVERTISING EXPENSE</v>
      </c>
      <c r="C43" s="12"/>
      <c r="D43" s="7"/>
      <c r="E43" s="3"/>
      <c r="F43" s="8">
        <f t="shared" si="28"/>
        <v>0</v>
      </c>
      <c r="G43" s="3"/>
      <c r="H43" s="7">
        <v>100</v>
      </c>
      <c r="I43" s="3"/>
      <c r="J43" s="8">
        <f t="shared" si="29"/>
        <v>0</v>
      </c>
      <c r="K43" s="3"/>
      <c r="L43" s="7">
        <f t="shared" si="30"/>
        <v>-100</v>
      </c>
      <c r="M43" s="3"/>
      <c r="N43" s="8">
        <f t="shared" si="31"/>
        <v>-1</v>
      </c>
      <c r="O43" s="12"/>
      <c r="P43" s="7"/>
      <c r="Q43" s="3"/>
      <c r="R43" s="8">
        <f t="shared" si="32"/>
        <v>0</v>
      </c>
      <c r="S43" s="3"/>
      <c r="T43" s="7">
        <v>100</v>
      </c>
      <c r="U43" s="3"/>
      <c r="V43" s="8">
        <f t="shared" si="33"/>
        <v>0</v>
      </c>
      <c r="W43" s="3"/>
      <c r="X43" s="7">
        <f t="shared" si="34"/>
        <v>-100</v>
      </c>
      <c r="Y43" s="3"/>
      <c r="Z43" s="8">
        <f t="shared" si="35"/>
        <v>-1</v>
      </c>
    </row>
    <row r="44" spans="1:26" s="29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60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60</v>
      </c>
      <c r="M44" s="1"/>
      <c r="N44" s="5">
        <f t="shared" si="31"/>
        <v>0</v>
      </c>
      <c r="O44" s="14"/>
      <c r="P44" s="1">
        <f>SUM(OSRRefP22_3x_0)</f>
        <v>60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60</v>
      </c>
      <c r="Y44" s="1"/>
      <c r="Z44" s="5">
        <f t="shared" si="35"/>
        <v>0</v>
      </c>
    </row>
    <row r="45" spans="1:26" s="24" customFormat="1" hidden="1" outlineLevel="2" x14ac:dyDescent="0.25">
      <c r="A45" s="27"/>
      <c r="B45" s="12" t="str">
        <f>CONCATENATE("          ", "6381", " - ", "BANK/CREDIT CARD FEES")</f>
        <v xml:space="preserve">          6381 - BANK/CREDIT CARD FEES</v>
      </c>
      <c r="C45" s="12"/>
      <c r="D45" s="7">
        <v>60</v>
      </c>
      <c r="E45" s="3"/>
      <c r="F45" s="8">
        <f t="shared" si="28"/>
        <v>0</v>
      </c>
      <c r="G45" s="3"/>
      <c r="H45" s="7">
        <v>0</v>
      </c>
      <c r="I45" s="3"/>
      <c r="J45" s="8">
        <f t="shared" si="29"/>
        <v>0</v>
      </c>
      <c r="K45" s="3"/>
      <c r="L45" s="7">
        <f t="shared" si="30"/>
        <v>60</v>
      </c>
      <c r="M45" s="3"/>
      <c r="N45" s="8">
        <f t="shared" si="31"/>
        <v>0</v>
      </c>
      <c r="O45" s="12"/>
      <c r="P45" s="7">
        <v>60</v>
      </c>
      <c r="Q45" s="3"/>
      <c r="R45" s="8">
        <f t="shared" si="32"/>
        <v>0</v>
      </c>
      <c r="S45" s="3"/>
      <c r="T45" s="7">
        <v>0</v>
      </c>
      <c r="U45" s="3"/>
      <c r="V45" s="8">
        <f t="shared" si="33"/>
        <v>0</v>
      </c>
      <c r="W45" s="3"/>
      <c r="X45" s="7">
        <f t="shared" si="34"/>
        <v>60</v>
      </c>
      <c r="Y45" s="3"/>
      <c r="Z45" s="8">
        <f t="shared" si="35"/>
        <v>0</v>
      </c>
    </row>
    <row r="46" spans="1:26" s="29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SUM(OSRRefD22_4x_0)</f>
        <v>0</v>
      </c>
      <c r="E46" s="1"/>
      <c r="F46" s="5">
        <f t="shared" si="28"/>
        <v>0</v>
      </c>
      <c r="G46" s="1"/>
      <c r="H46" s="1">
        <f>SUM(OSRRefH22_4x_0)</f>
        <v>1350</v>
      </c>
      <c r="I46" s="1"/>
      <c r="J46" s="5">
        <f t="shared" si="29"/>
        <v>0</v>
      </c>
      <c r="K46" s="1"/>
      <c r="L46" s="1">
        <f t="shared" si="30"/>
        <v>-1350</v>
      </c>
      <c r="M46" s="1"/>
      <c r="N46" s="5">
        <f t="shared" si="31"/>
        <v>-1</v>
      </c>
      <c r="O46" s="14"/>
      <c r="P46" s="1">
        <f>SUM(OSRRefP22_4x_0)</f>
        <v>0</v>
      </c>
      <c r="Q46" s="1"/>
      <c r="R46" s="5">
        <f t="shared" si="32"/>
        <v>0</v>
      </c>
      <c r="S46" s="1"/>
      <c r="T46" s="1">
        <f>SUM(OSRRefT22_4x_0)</f>
        <v>1350</v>
      </c>
      <c r="U46" s="1"/>
      <c r="V46" s="5">
        <f t="shared" si="33"/>
        <v>0</v>
      </c>
      <c r="W46" s="1"/>
      <c r="X46" s="1">
        <f t="shared" si="34"/>
        <v>-1350</v>
      </c>
      <c r="Y46" s="1"/>
      <c r="Z46" s="5">
        <f t="shared" si="35"/>
        <v>-1</v>
      </c>
    </row>
    <row r="47" spans="1:26" s="24" customFormat="1" hidden="1" outlineLevel="2" x14ac:dyDescent="0.25">
      <c r="A47" s="27"/>
      <c r="B47" s="12" t="str">
        <f>CONCATENATE("          ", "6279", " - ", "GENERAL EXPENSE")</f>
        <v xml:space="preserve">          6279 - GENERAL EXPENSE</v>
      </c>
      <c r="C47" s="12"/>
      <c r="D47" s="7"/>
      <c r="E47" s="3"/>
      <c r="F47" s="8">
        <f t="shared" si="28"/>
        <v>0</v>
      </c>
      <c r="G47" s="3"/>
      <c r="H47" s="7">
        <v>1350</v>
      </c>
      <c r="I47" s="3"/>
      <c r="J47" s="8">
        <f t="shared" si="29"/>
        <v>0</v>
      </c>
      <c r="K47" s="3"/>
      <c r="L47" s="7">
        <f t="shared" si="30"/>
        <v>-1350</v>
      </c>
      <c r="M47" s="3"/>
      <c r="N47" s="8">
        <f t="shared" si="31"/>
        <v>-1</v>
      </c>
      <c r="O47" s="12"/>
      <c r="P47" s="7"/>
      <c r="Q47" s="3"/>
      <c r="R47" s="8">
        <f t="shared" si="32"/>
        <v>0</v>
      </c>
      <c r="S47" s="3"/>
      <c r="T47" s="7">
        <v>1350</v>
      </c>
      <c r="U47" s="3"/>
      <c r="V47" s="8">
        <f t="shared" si="33"/>
        <v>0</v>
      </c>
      <c r="W47" s="3"/>
      <c r="X47" s="7">
        <f t="shared" si="34"/>
        <v>-1350</v>
      </c>
      <c r="Y47" s="3"/>
      <c r="Z47" s="8">
        <f t="shared" si="35"/>
        <v>-1</v>
      </c>
    </row>
    <row r="48" spans="1:26" s="29" customFormat="1" outlineLevel="1" collapsed="1" x14ac:dyDescent="0.25">
      <c r="A48" s="28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163</v>
      </c>
      <c r="I48" s="1"/>
      <c r="J48" s="5">
        <f t="shared" si="29"/>
        <v>0</v>
      </c>
      <c r="K48" s="1"/>
      <c r="L48" s="1">
        <f t="shared" si="30"/>
        <v>-163</v>
      </c>
      <c r="M48" s="1"/>
      <c r="N48" s="5">
        <f t="shared" si="31"/>
        <v>-1</v>
      </c>
      <c r="O48" s="14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163</v>
      </c>
      <c r="U48" s="1"/>
      <c r="V48" s="5">
        <f t="shared" si="33"/>
        <v>0</v>
      </c>
      <c r="W48" s="1"/>
      <c r="X48" s="1">
        <f t="shared" si="34"/>
        <v>-163</v>
      </c>
      <c r="Y48" s="1"/>
      <c r="Z48" s="5">
        <f t="shared" si="35"/>
        <v>-1</v>
      </c>
    </row>
    <row r="49" spans="1:26" s="24" customFormat="1" hidden="1" outlineLevel="2" x14ac:dyDescent="0.25">
      <c r="A49" s="27"/>
      <c r="B49" s="12" t="str">
        <f>CONCATENATE("          ", "6285", " - ", "JANITORIAL SERVICES")</f>
        <v xml:space="preserve">          6285 - JANITORIAL SERVICES</v>
      </c>
      <c r="C49" s="12"/>
      <c r="D49" s="7"/>
      <c r="E49" s="3"/>
      <c r="F49" s="8">
        <f t="shared" si="28"/>
        <v>0</v>
      </c>
      <c r="G49" s="3"/>
      <c r="H49" s="7">
        <v>163</v>
      </c>
      <c r="I49" s="3"/>
      <c r="J49" s="8">
        <f t="shared" si="29"/>
        <v>0</v>
      </c>
      <c r="K49" s="3"/>
      <c r="L49" s="7">
        <f t="shared" si="30"/>
        <v>-163</v>
      </c>
      <c r="M49" s="3"/>
      <c r="N49" s="8">
        <f t="shared" si="31"/>
        <v>-1</v>
      </c>
      <c r="O49" s="12"/>
      <c r="P49" s="7"/>
      <c r="Q49" s="3"/>
      <c r="R49" s="8">
        <f t="shared" si="32"/>
        <v>0</v>
      </c>
      <c r="S49" s="3"/>
      <c r="T49" s="7">
        <v>163</v>
      </c>
      <c r="U49" s="3"/>
      <c r="V49" s="8">
        <f t="shared" si="33"/>
        <v>0</v>
      </c>
      <c r="W49" s="3"/>
      <c r="X49" s="7">
        <f t="shared" si="34"/>
        <v>-163</v>
      </c>
      <c r="Y49" s="3"/>
      <c r="Z49" s="8">
        <f t="shared" si="35"/>
        <v>-1</v>
      </c>
    </row>
    <row r="50" spans="1:26" s="29" customFormat="1" outlineLevel="1" collapsed="1" x14ac:dyDescent="0.25">
      <c r="A50" s="28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510</v>
      </c>
      <c r="I50" s="1"/>
      <c r="J50" s="5">
        <f t="shared" si="29"/>
        <v>0</v>
      </c>
      <c r="K50" s="1"/>
      <c r="L50" s="1">
        <f t="shared" si="30"/>
        <v>-510</v>
      </c>
      <c r="M50" s="1"/>
      <c r="N50" s="5">
        <f t="shared" si="31"/>
        <v>-1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510</v>
      </c>
      <c r="U50" s="1"/>
      <c r="V50" s="5">
        <f t="shared" si="33"/>
        <v>0</v>
      </c>
      <c r="W50" s="1"/>
      <c r="X50" s="1">
        <f t="shared" si="34"/>
        <v>-510</v>
      </c>
      <c r="Y50" s="1"/>
      <c r="Z50" s="5">
        <f t="shared" si="35"/>
        <v>-1</v>
      </c>
    </row>
    <row r="51" spans="1:26" s="24" customFormat="1" hidden="1" outlineLevel="2" x14ac:dyDescent="0.25">
      <c r="A51" s="27"/>
      <c r="B51" s="12" t="str">
        <f>CONCATENATE("          ", "6235", " - ", "COVID-19 EXPENSES")</f>
        <v xml:space="preserve">          6235 - COVID-19 EXPENSES</v>
      </c>
      <c r="C51" s="12"/>
      <c r="D51" s="7"/>
      <c r="E51" s="3"/>
      <c r="F51" s="8">
        <f t="shared" si="28"/>
        <v>0</v>
      </c>
      <c r="G51" s="3"/>
      <c r="H51" s="7">
        <v>0</v>
      </c>
      <c r="I51" s="3"/>
      <c r="J51" s="8">
        <f t="shared" si="29"/>
        <v>0</v>
      </c>
      <c r="K51" s="3"/>
      <c r="L51" s="7">
        <f t="shared" si="30"/>
        <v>0</v>
      </c>
      <c r="M51" s="3"/>
      <c r="N51" s="8">
        <f t="shared" si="31"/>
        <v>0</v>
      </c>
      <c r="O51" s="12"/>
      <c r="P51" s="7"/>
      <c r="Q51" s="3"/>
      <c r="R51" s="8">
        <f t="shared" si="32"/>
        <v>0</v>
      </c>
      <c r="S51" s="3"/>
      <c r="T51" s="7">
        <v>0</v>
      </c>
      <c r="U51" s="3"/>
      <c r="V51" s="8">
        <f t="shared" si="33"/>
        <v>0</v>
      </c>
      <c r="W51" s="3"/>
      <c r="X51" s="7">
        <f t="shared" si="34"/>
        <v>0</v>
      </c>
      <c r="Y51" s="3"/>
      <c r="Z51" s="8">
        <f t="shared" si="35"/>
        <v>0</v>
      </c>
    </row>
    <row r="52" spans="1:26" s="24" customFormat="1" hidden="1" outlineLevel="2" x14ac:dyDescent="0.25">
      <c r="A52" s="27"/>
      <c r="B52" s="12" t="str">
        <f>CONCATENATE("          ", "6247", " - ", "STORE SUPPLIES")</f>
        <v xml:space="preserve">          6247 - STORE SUPPLIES</v>
      </c>
      <c r="C52" s="12"/>
      <c r="D52" s="7"/>
      <c r="E52" s="3"/>
      <c r="F52" s="8">
        <f t="shared" si="28"/>
        <v>0</v>
      </c>
      <c r="G52" s="3"/>
      <c r="H52" s="7">
        <v>510</v>
      </c>
      <c r="I52" s="3"/>
      <c r="J52" s="8">
        <f t="shared" si="29"/>
        <v>0</v>
      </c>
      <c r="K52" s="3"/>
      <c r="L52" s="7">
        <f t="shared" si="30"/>
        <v>-510</v>
      </c>
      <c r="M52" s="3"/>
      <c r="N52" s="8">
        <f t="shared" si="31"/>
        <v>-1</v>
      </c>
      <c r="O52" s="12"/>
      <c r="P52" s="7"/>
      <c r="Q52" s="3"/>
      <c r="R52" s="8">
        <f t="shared" si="32"/>
        <v>0</v>
      </c>
      <c r="S52" s="3"/>
      <c r="T52" s="7">
        <v>510</v>
      </c>
      <c r="U52" s="3"/>
      <c r="V52" s="8">
        <f t="shared" si="33"/>
        <v>0</v>
      </c>
      <c r="W52" s="3"/>
      <c r="X52" s="7">
        <f t="shared" si="34"/>
        <v>-510</v>
      </c>
      <c r="Y52" s="3"/>
      <c r="Z52" s="8">
        <f t="shared" si="35"/>
        <v>-1</v>
      </c>
    </row>
    <row r="53" spans="1:26" s="24" customFormat="1" hidden="1" outlineLevel="2" x14ac:dyDescent="0.25">
      <c r="A53" s="27"/>
      <c r="B53" s="12" t="str">
        <f>CONCATENATE("          ", "6248", " - ", "UNIFORMS")</f>
        <v xml:space="preserve">          6248 - UNIFORMS</v>
      </c>
      <c r="C53" s="12"/>
      <c r="D53" s="7"/>
      <c r="E53" s="3"/>
      <c r="F53" s="8">
        <f t="shared" si="28"/>
        <v>0</v>
      </c>
      <c r="G53" s="3"/>
      <c r="H53" s="7">
        <v>0</v>
      </c>
      <c r="I53" s="3"/>
      <c r="J53" s="8">
        <f t="shared" si="29"/>
        <v>0</v>
      </c>
      <c r="K53" s="3"/>
      <c r="L53" s="7">
        <f t="shared" si="30"/>
        <v>0</v>
      </c>
      <c r="M53" s="3"/>
      <c r="N53" s="8">
        <f t="shared" si="31"/>
        <v>0</v>
      </c>
      <c r="O53" s="12"/>
      <c r="P53" s="7"/>
      <c r="Q53" s="3"/>
      <c r="R53" s="8">
        <f t="shared" si="32"/>
        <v>0</v>
      </c>
      <c r="S53" s="3"/>
      <c r="T53" s="7">
        <v>0</v>
      </c>
      <c r="U53" s="3"/>
      <c r="V53" s="8">
        <f t="shared" si="33"/>
        <v>0</v>
      </c>
      <c r="W53" s="3"/>
      <c r="X53" s="7">
        <f t="shared" si="34"/>
        <v>0</v>
      </c>
      <c r="Y53" s="3"/>
      <c r="Z53" s="8">
        <f t="shared" si="35"/>
        <v>0</v>
      </c>
    </row>
    <row r="54" spans="1:26" s="29" customFormat="1" outlineLevel="1" collapsed="1" x14ac:dyDescent="0.25">
      <c r="A54" s="28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SUM(OSRRefD22_7x_0)</f>
        <v>122.3</v>
      </c>
      <c r="E54" s="1"/>
      <c r="F54" s="5">
        <f t="shared" ref="F54:F56" si="36">IF(D$12=0,0,D54/D$12)</f>
        <v>0</v>
      </c>
      <c r="G54" s="1"/>
      <c r="H54" s="1">
        <f>SUM(OSRRefH22_7x_0)</f>
        <v>120</v>
      </c>
      <c r="I54" s="1"/>
      <c r="J54" s="5">
        <f t="shared" ref="J54:J56" si="37">IF(H$12=0,0,H54/H$12)</f>
        <v>0</v>
      </c>
      <c r="K54" s="1"/>
      <c r="L54" s="1">
        <f t="shared" ref="L54:L56" si="38">+D54-H54</f>
        <v>2.2999999999999972</v>
      </c>
      <c r="M54" s="1"/>
      <c r="N54" s="5">
        <f t="shared" ref="N54:N56" si="39">IF(H54=0,0,L54/H54)</f>
        <v>1.9166666666666644E-2</v>
      </c>
      <c r="O54" s="14"/>
      <c r="P54" s="1">
        <f>SUM(OSRRefP22_7x_0)</f>
        <v>122.3</v>
      </c>
      <c r="Q54" s="1"/>
      <c r="R54" s="5">
        <f t="shared" ref="R54:R56" si="40">IF(P$12=0,0,P54/P$12)</f>
        <v>0</v>
      </c>
      <c r="S54" s="1"/>
      <c r="T54" s="1">
        <f>SUM(OSRRefT22_7x_0)</f>
        <v>120</v>
      </c>
      <c r="U54" s="1"/>
      <c r="V54" s="5">
        <f t="shared" ref="V54:V56" si="41">IF(T$12=0,0,T54/T$12)</f>
        <v>0</v>
      </c>
      <c r="W54" s="1"/>
      <c r="X54" s="1">
        <f t="shared" ref="X54:X56" si="42">+P54-T54</f>
        <v>2.2999999999999972</v>
      </c>
      <c r="Y54" s="1"/>
      <c r="Z54" s="5">
        <f t="shared" ref="Z54:Z56" si="43">IF(T54=0,0,X54/T54)</f>
        <v>1.9166666666666644E-2</v>
      </c>
    </row>
    <row r="55" spans="1:26" s="24" customFormat="1" hidden="1" outlineLevel="2" x14ac:dyDescent="0.25">
      <c r="A55" s="27"/>
      <c r="B55" s="12" t="str">
        <f>CONCATENATE("          ", "6303", " - ", "DATA PHONE LINES")</f>
        <v xml:space="preserve">          6303 - DATA PHONE LINES</v>
      </c>
      <c r="C55" s="12"/>
      <c r="D55" s="7"/>
      <c r="E55" s="3"/>
      <c r="F55" s="8">
        <f t="shared" si="36"/>
        <v>0</v>
      </c>
      <c r="G55" s="3"/>
      <c r="H55" s="7">
        <v>120</v>
      </c>
      <c r="I55" s="3"/>
      <c r="J55" s="8">
        <f t="shared" si="37"/>
        <v>0</v>
      </c>
      <c r="K55" s="3"/>
      <c r="L55" s="7">
        <f t="shared" si="38"/>
        <v>-120</v>
      </c>
      <c r="M55" s="3"/>
      <c r="N55" s="8">
        <f t="shared" si="39"/>
        <v>-1</v>
      </c>
      <c r="O55" s="12"/>
      <c r="P55" s="7"/>
      <c r="Q55" s="3"/>
      <c r="R55" s="8">
        <f t="shared" si="40"/>
        <v>0</v>
      </c>
      <c r="S55" s="3"/>
      <c r="T55" s="7">
        <v>120</v>
      </c>
      <c r="U55" s="3"/>
      <c r="V55" s="8">
        <f t="shared" si="41"/>
        <v>0</v>
      </c>
      <c r="W55" s="3"/>
      <c r="X55" s="7">
        <f t="shared" si="42"/>
        <v>-120</v>
      </c>
      <c r="Y55" s="3"/>
      <c r="Z55" s="8">
        <f t="shared" si="43"/>
        <v>-1</v>
      </c>
    </row>
    <row r="56" spans="1:26" s="24" customFormat="1" hidden="1" outlineLevel="2" x14ac:dyDescent="0.25">
      <c r="A56" s="27"/>
      <c r="B56" s="12" t="str">
        <f>CONCATENATE("          ", "6309", " - ", "TELEPHONE")</f>
        <v xml:space="preserve">          6309 - TELEPHONE</v>
      </c>
      <c r="C56" s="12"/>
      <c r="D56" s="7">
        <v>122.3</v>
      </c>
      <c r="E56" s="3"/>
      <c r="F56" s="8">
        <f t="shared" si="36"/>
        <v>0</v>
      </c>
      <c r="G56" s="3"/>
      <c r="H56" s="7"/>
      <c r="I56" s="3"/>
      <c r="J56" s="8">
        <f t="shared" si="37"/>
        <v>0</v>
      </c>
      <c r="K56" s="3"/>
      <c r="L56" s="7">
        <f t="shared" si="38"/>
        <v>122.3</v>
      </c>
      <c r="M56" s="3"/>
      <c r="N56" s="8">
        <f t="shared" si="39"/>
        <v>0</v>
      </c>
      <c r="O56" s="12"/>
      <c r="P56" s="7">
        <v>122.3</v>
      </c>
      <c r="Q56" s="3"/>
      <c r="R56" s="8">
        <f t="shared" si="40"/>
        <v>0</v>
      </c>
      <c r="S56" s="3"/>
      <c r="T56" s="7"/>
      <c r="U56" s="3"/>
      <c r="V56" s="8">
        <f t="shared" si="41"/>
        <v>0</v>
      </c>
      <c r="W56" s="3"/>
      <c r="X56" s="7">
        <f t="shared" si="42"/>
        <v>122.3</v>
      </c>
      <c r="Y56" s="3"/>
      <c r="Z56" s="8">
        <f t="shared" si="43"/>
        <v>0</v>
      </c>
    </row>
    <row r="57" spans="1:26" s="54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2" customFormat="1" x14ac:dyDescent="0.25">
      <c r="A58" s="10"/>
      <c r="B58" s="26" t="s">
        <v>0</v>
      </c>
      <c r="C58" s="10"/>
      <c r="D58" s="4">
        <f>SUM(0)</f>
        <v>0</v>
      </c>
      <c r="E58" s="4"/>
      <c r="F58" s="11">
        <f>IF(D$12=0,0,D58/D$12)</f>
        <v>0</v>
      </c>
      <c r="G58" s="4"/>
      <c r="H58" s="4">
        <f>SUM(0)</f>
        <v>0</v>
      </c>
      <c r="I58" s="4"/>
      <c r="J58" s="11">
        <f>IF(H$12=0,0,H58/H$12)</f>
        <v>0</v>
      </c>
      <c r="K58" s="4"/>
      <c r="L58" s="4">
        <f>+D58-H58</f>
        <v>0</v>
      </c>
      <c r="M58" s="4"/>
      <c r="N58" s="11">
        <f>IF(H58=0,0,L58/H58)</f>
        <v>0</v>
      </c>
      <c r="O58" s="10"/>
      <c r="P58" s="4">
        <f>SUM(0)</f>
        <v>0</v>
      </c>
      <c r="Q58" s="4"/>
      <c r="R58" s="11">
        <f>IF(P$12=0,0,P58/P$12)</f>
        <v>0</v>
      </c>
      <c r="S58" s="4"/>
      <c r="T58" s="4">
        <f>SUM(0)</f>
        <v>0</v>
      </c>
      <c r="U58" s="4"/>
      <c r="V58" s="11">
        <f>IF(T$12=0,0,T58/T$12)</f>
        <v>0</v>
      </c>
      <c r="W58" s="4"/>
      <c r="X58" s="4">
        <f>+P58-T58</f>
        <v>0</v>
      </c>
      <c r="Y58" s="4"/>
      <c r="Z58" s="11">
        <f>IF(T58=0,0,X58/T58)</f>
        <v>0</v>
      </c>
    </row>
    <row r="59" spans="1:26" x14ac:dyDescent="0.25">
      <c r="A59" s="9"/>
      <c r="B59" s="10"/>
      <c r="C59" s="10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O59" s="10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2" customFormat="1" x14ac:dyDescent="0.25">
      <c r="A60" s="10"/>
      <c r="B60" s="25" t="s">
        <v>3</v>
      </c>
      <c r="C60" s="25"/>
      <c r="D60" s="21">
        <f>+D18-D20+D58</f>
        <v>-9677.16</v>
      </c>
      <c r="E60" s="13"/>
      <c r="F60" s="20">
        <f>IF(D$12=0,0,D60/D$12)</f>
        <v>0</v>
      </c>
      <c r="G60" s="13"/>
      <c r="H60" s="21">
        <f>+H18-H20+H58</f>
        <v>-12633.105725000001</v>
      </c>
      <c r="I60" s="13"/>
      <c r="J60" s="20">
        <f>IF(H$12=0,0,H60/H$12)</f>
        <v>0</v>
      </c>
      <c r="K60" s="15"/>
      <c r="L60" s="21">
        <f>+D60-H60</f>
        <v>2955.9457250000014</v>
      </c>
      <c r="M60" s="15"/>
      <c r="N60" s="20">
        <f>IF(H60=0,0,L60/H60)</f>
        <v>-0.23398408826345837</v>
      </c>
      <c r="O60" s="26"/>
      <c r="P60" s="21">
        <f>+P18-P20+P58</f>
        <v>-9677.16</v>
      </c>
      <c r="Q60" s="13"/>
      <c r="R60" s="20">
        <f>IF(P$12=0,0,P60/P$12)</f>
        <v>0</v>
      </c>
      <c r="S60" s="13"/>
      <c r="T60" s="21">
        <f>+T18-T20+T58</f>
        <v>-12633.105725000001</v>
      </c>
      <c r="U60" s="13"/>
      <c r="V60" s="20">
        <f>IF(T$12=0,0,T60/T$12)</f>
        <v>0</v>
      </c>
      <c r="W60" s="15"/>
      <c r="X60" s="21">
        <f>+P60-T60</f>
        <v>2955.9457250000014</v>
      </c>
      <c r="Y60" s="15"/>
      <c r="Z60" s="20">
        <f>IF(T60=0,0,X60/T60)</f>
        <v>-0.23398408826345837</v>
      </c>
    </row>
    <row r="61" spans="1:26" x14ac:dyDescent="0.25">
      <c r="A61" s="9"/>
      <c r="B61" s="10"/>
      <c r="C61" s="9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2" customFormat="1" x14ac:dyDescent="0.25">
      <c r="A62" s="52"/>
      <c r="B62" s="10" t="s">
        <v>14</v>
      </c>
      <c r="C62" s="10"/>
      <c r="D62" s="4"/>
      <c r="E62" s="4"/>
      <c r="F62" s="11">
        <f>IF(D$12=0,0,D62/D$12)</f>
        <v>0</v>
      </c>
      <c r="G62" s="4"/>
      <c r="H62" s="4"/>
      <c r="I62" s="4"/>
      <c r="J62" s="11">
        <f>IF(H$12=0,0,H62/H$12)</f>
        <v>0</v>
      </c>
      <c r="K62" s="4"/>
      <c r="L62" s="4">
        <f>+D62-H62</f>
        <v>0</v>
      </c>
      <c r="M62" s="4"/>
      <c r="N62" s="11">
        <f>IF(H62=0,0,L62/H62)</f>
        <v>0</v>
      </c>
      <c r="O62" s="10"/>
      <c r="P62" s="4"/>
      <c r="Q62" s="4"/>
      <c r="R62" s="11">
        <f>IF(P$12=0,0,P62/P$12)</f>
        <v>0</v>
      </c>
      <c r="S62" s="4"/>
      <c r="T62" s="4"/>
      <c r="U62" s="4"/>
      <c r="V62" s="11">
        <f>IF(T$12=0,0,T62/T$12)</f>
        <v>0</v>
      </c>
      <c r="W62" s="4"/>
      <c r="X62" s="4">
        <f>+P62-T62</f>
        <v>0</v>
      </c>
      <c r="Y62" s="4"/>
      <c r="Z62" s="11">
        <f>IF(T62=0,0,X62/T62)</f>
        <v>0</v>
      </c>
    </row>
    <row r="63" spans="1:26" x14ac:dyDescent="0.25">
      <c r="A63" s="9"/>
      <c r="B63" s="10"/>
      <c r="C63" s="10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O63" s="10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2" customFormat="1" ht="15.75" thickBot="1" x14ac:dyDescent="0.3">
      <c r="A64" s="10"/>
      <c r="B64" s="25" t="s">
        <v>4</v>
      </c>
      <c r="C64" s="25"/>
      <c r="D64" s="34">
        <f>+D60-D62</f>
        <v>-9677.16</v>
      </c>
      <c r="E64" s="13"/>
      <c r="F64" s="30">
        <f>IF(D$12=0,0,D64/D$12)</f>
        <v>0</v>
      </c>
      <c r="G64" s="13"/>
      <c r="H64" s="34">
        <f>+H60-H62</f>
        <v>-12633.105725000001</v>
      </c>
      <c r="I64" s="13"/>
      <c r="J64" s="30">
        <f>IF(H$12=0,0,H64/H$12)</f>
        <v>0</v>
      </c>
      <c r="K64" s="15"/>
      <c r="L64" s="34">
        <f>D64-H64</f>
        <v>2955.9457250000014</v>
      </c>
      <c r="M64" s="15"/>
      <c r="N64" s="30">
        <f>IF(H64=0,0,L64/H64)</f>
        <v>-0.23398408826345837</v>
      </c>
      <c r="O64" s="26"/>
      <c r="P64" s="34">
        <f>+P60-P62</f>
        <v>-9677.16</v>
      </c>
      <c r="Q64" s="13"/>
      <c r="R64" s="30">
        <f>IF(P$12=0,0,P64/P$12)</f>
        <v>0</v>
      </c>
      <c r="S64" s="13"/>
      <c r="T64" s="34">
        <f>+T60-T62</f>
        <v>-12633.105725000001</v>
      </c>
      <c r="U64" s="13"/>
      <c r="V64" s="30">
        <f>IF(T$12=0,0,T64/T$12)</f>
        <v>0</v>
      </c>
      <c r="W64" s="15"/>
      <c r="X64" s="34">
        <f>P64-T64</f>
        <v>2955.9457250000014</v>
      </c>
      <c r="Y64" s="15"/>
      <c r="Z64" s="30">
        <f>IF(T64=0,0,X64/T64)</f>
        <v>-0.23398408826345837</v>
      </c>
    </row>
    <row r="65" spans="1:26" ht="15.75" thickTop="1" x14ac:dyDescent="0.25">
      <c r="A65" s="9"/>
      <c r="B65" s="9"/>
      <c r="C65" s="9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x14ac:dyDescent="0.25">
      <c r="A66" s="9"/>
      <c r="B66" s="9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2" customFormat="1" ht="15.75" thickBot="1" x14ac:dyDescent="0.3">
      <c r="A67" s="10"/>
      <c r="B67" s="25" t="s">
        <v>5</v>
      </c>
      <c r="C67" s="25"/>
      <c r="D67" s="32">
        <f>SUM(D64:D66)</f>
        <v>-9677.16</v>
      </c>
      <c r="E67" s="13"/>
      <c r="F67" s="33">
        <f>IF(D$12=0,0,D67/D$12)</f>
        <v>0</v>
      </c>
      <c r="G67" s="13"/>
      <c r="H67" s="32">
        <f>SUM(H64:H66)</f>
        <v>-12633.105725000001</v>
      </c>
      <c r="I67" s="13"/>
      <c r="J67" s="33">
        <f>IF(H$12=0,0,H67/H$12)</f>
        <v>0</v>
      </c>
      <c r="K67" s="15"/>
      <c r="L67" s="32">
        <f>+D67-H67</f>
        <v>2955.9457250000014</v>
      </c>
      <c r="M67" s="15"/>
      <c r="N67" s="33">
        <f>IF(H67=0,0,L67/H67)</f>
        <v>-0.23398408826345837</v>
      </c>
      <c r="O67" s="26"/>
      <c r="P67" s="32">
        <f>SUM(P64:P66)</f>
        <v>-9677.16</v>
      </c>
      <c r="Q67" s="13"/>
      <c r="R67" s="33">
        <f>IF(P$12=0,0,P67/P$12)</f>
        <v>0</v>
      </c>
      <c r="S67" s="13"/>
      <c r="T67" s="32">
        <f>SUM(T64:T66)</f>
        <v>-12633.105725000001</v>
      </c>
      <c r="U67" s="13"/>
      <c r="V67" s="33">
        <f>IF(T$12=0,0,T67/T$12)</f>
        <v>0</v>
      </c>
      <c r="W67" s="15"/>
      <c r="X67" s="32">
        <f>+P67-T67</f>
        <v>2955.9457250000014</v>
      </c>
      <c r="Y67" s="15"/>
      <c r="Z67" s="33">
        <f>IF(T67=0,0,X67/T67)</f>
        <v>-0.23398408826345837</v>
      </c>
    </row>
    <row r="68" spans="1:26" ht="15.75" thickTop="1" x14ac:dyDescent="0.25">
      <c r="A68" s="9"/>
      <c r="C68" s="9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8">
        <v>44104.685975775465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6" t="s">
        <v>314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2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","321", " - ", "Student Union C-Store")</f>
        <v>Department 321 - Student Union C-Store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5571.05</v>
      </c>
      <c r="E18" s="19"/>
      <c r="F18" s="31">
        <f t="shared" ref="F18:F27" si="0">IF(D$12=0,0,D18/D$12)</f>
        <v>0</v>
      </c>
      <c r="G18" s="19"/>
      <c r="H18" s="19">
        <f>SUM(OSRRefH22x_0)</f>
        <v>2200</v>
      </c>
      <c r="I18" s="19"/>
      <c r="J18" s="31">
        <f t="shared" ref="J18:J27" si="1">IF(H$12=0,0,H18/H$12)</f>
        <v>0</v>
      </c>
      <c r="K18" s="4"/>
      <c r="L18" s="19">
        <f t="shared" ref="L18:L27" si="2">+D18-H18</f>
        <v>3371.05</v>
      </c>
      <c r="M18" s="4"/>
      <c r="N18" s="31">
        <f t="shared" ref="N18:N27" si="3">IF(H18=0,0,L18/H18)</f>
        <v>1.5322954545454546</v>
      </c>
      <c r="O18" s="10"/>
      <c r="P18" s="19">
        <f>SUM(OSRRefP22x_0)</f>
        <v>5571.05</v>
      </c>
      <c r="Q18" s="19"/>
      <c r="R18" s="31">
        <f t="shared" ref="R18:R27" si="4">IF(P$12=0,0,P18/P$12)</f>
        <v>0</v>
      </c>
      <c r="S18" s="19"/>
      <c r="T18" s="19">
        <f>SUM(OSRRefT22x_0)</f>
        <v>2200</v>
      </c>
      <c r="U18" s="19"/>
      <c r="V18" s="31">
        <f t="shared" ref="V18:V27" si="5">IF(T$12=0,0,T18/T$12)</f>
        <v>0</v>
      </c>
      <c r="W18" s="4"/>
      <c r="X18" s="19">
        <f t="shared" ref="X18:X27" si="6">+P18-T18</f>
        <v>3371.05</v>
      </c>
      <c r="Y18" s="4"/>
      <c r="Z18" s="31">
        <f t="shared" ref="Z18:Z27" si="7">IF(T18=0,0,X18/T18)</f>
        <v>1.5322954545454546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407.67999999999995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407.67999999999995</v>
      </c>
      <c r="M19" s="1"/>
      <c r="N19" s="5">
        <f t="shared" si="3"/>
        <v>0</v>
      </c>
      <c r="O19" s="14"/>
      <c r="P19" s="1">
        <f>SUM(OSRRefP22_0x_0)</f>
        <v>407.67999999999995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407.67999999999995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159.12</v>
      </c>
      <c r="E20" s="3"/>
      <c r="F20" s="8">
        <f t="shared" si="0"/>
        <v>0</v>
      </c>
      <c r="G20" s="3"/>
      <c r="H20" s="7">
        <v>0</v>
      </c>
      <c r="I20" s="3"/>
      <c r="J20" s="8">
        <f t="shared" si="1"/>
        <v>0</v>
      </c>
      <c r="K20" s="3"/>
      <c r="L20" s="7">
        <f t="shared" si="2"/>
        <v>159.12</v>
      </c>
      <c r="M20" s="3"/>
      <c r="N20" s="8">
        <f t="shared" si="3"/>
        <v>0</v>
      </c>
      <c r="O20" s="12"/>
      <c r="P20" s="7">
        <v>159.12</v>
      </c>
      <c r="Q20" s="3"/>
      <c r="R20" s="8">
        <f t="shared" si="4"/>
        <v>0</v>
      </c>
      <c r="S20" s="3"/>
      <c r="T20" s="7">
        <v>0</v>
      </c>
      <c r="U20" s="3"/>
      <c r="V20" s="8">
        <f t="shared" si="5"/>
        <v>0</v>
      </c>
      <c r="W20" s="3"/>
      <c r="X20" s="7">
        <f t="shared" si="6"/>
        <v>159.12</v>
      </c>
      <c r="Y20" s="3"/>
      <c r="Z20" s="8">
        <f t="shared" si="7"/>
        <v>0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76.959999999999994</v>
      </c>
      <c r="E21" s="3"/>
      <c r="F21" s="8">
        <f t="shared" si="0"/>
        <v>0</v>
      </c>
      <c r="G21" s="3"/>
      <c r="H21" s="7">
        <v>0</v>
      </c>
      <c r="I21" s="3"/>
      <c r="J21" s="8">
        <f t="shared" si="1"/>
        <v>0</v>
      </c>
      <c r="K21" s="3"/>
      <c r="L21" s="7">
        <f t="shared" si="2"/>
        <v>76.959999999999994</v>
      </c>
      <c r="M21" s="3"/>
      <c r="N21" s="8">
        <f t="shared" si="3"/>
        <v>0</v>
      </c>
      <c r="O21" s="12"/>
      <c r="P21" s="7">
        <v>76.959999999999994</v>
      </c>
      <c r="Q21" s="3"/>
      <c r="R21" s="8">
        <f t="shared" si="4"/>
        <v>0</v>
      </c>
      <c r="S21" s="3"/>
      <c r="T21" s="7">
        <v>0</v>
      </c>
      <c r="U21" s="3"/>
      <c r="V21" s="8">
        <f t="shared" si="5"/>
        <v>0</v>
      </c>
      <c r="W21" s="3"/>
      <c r="X21" s="7">
        <f t="shared" si="6"/>
        <v>76.959999999999994</v>
      </c>
      <c r="Y21" s="3"/>
      <c r="Z21" s="8">
        <f t="shared" si="7"/>
        <v>0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/>
      <c r="E22" s="3"/>
      <c r="F22" s="8">
        <f t="shared" si="0"/>
        <v>0</v>
      </c>
      <c r="G22" s="3"/>
      <c r="H22" s="7">
        <v>0</v>
      </c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/>
      <c r="Q22" s="3"/>
      <c r="R22" s="8">
        <f t="shared" si="4"/>
        <v>0</v>
      </c>
      <c r="S22" s="3"/>
      <c r="T22" s="7">
        <v>0</v>
      </c>
      <c r="U22" s="3"/>
      <c r="V22" s="8">
        <f t="shared" si="5"/>
        <v>0</v>
      </c>
      <c r="W22" s="3"/>
      <c r="X22" s="7">
        <f t="shared" si="6"/>
        <v>0</v>
      </c>
      <c r="Y22" s="3"/>
      <c r="Z22" s="8">
        <f t="shared" si="7"/>
        <v>0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10.82</v>
      </c>
      <c r="E23" s="3"/>
      <c r="F23" s="8">
        <f t="shared" si="0"/>
        <v>0</v>
      </c>
      <c r="G23" s="3"/>
      <c r="H23" s="7">
        <v>0</v>
      </c>
      <c r="I23" s="3"/>
      <c r="J23" s="8">
        <f t="shared" si="1"/>
        <v>0</v>
      </c>
      <c r="K23" s="3"/>
      <c r="L23" s="7">
        <f t="shared" si="2"/>
        <v>10.82</v>
      </c>
      <c r="M23" s="3"/>
      <c r="N23" s="8">
        <f t="shared" si="3"/>
        <v>0</v>
      </c>
      <c r="O23" s="12"/>
      <c r="P23" s="7">
        <v>10.82</v>
      </c>
      <c r="Q23" s="3"/>
      <c r="R23" s="8">
        <f t="shared" si="4"/>
        <v>0</v>
      </c>
      <c r="S23" s="3"/>
      <c r="T23" s="7">
        <v>0</v>
      </c>
      <c r="U23" s="3"/>
      <c r="V23" s="8">
        <f t="shared" si="5"/>
        <v>0</v>
      </c>
      <c r="W23" s="3"/>
      <c r="X23" s="7">
        <f t="shared" si="6"/>
        <v>10.82</v>
      </c>
      <c r="Y23" s="3"/>
      <c r="Z23" s="8">
        <f t="shared" si="7"/>
        <v>0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160.78</v>
      </c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160.78</v>
      </c>
      <c r="M24" s="3"/>
      <c r="N24" s="8">
        <f t="shared" si="3"/>
        <v>0</v>
      </c>
      <c r="O24" s="12"/>
      <c r="P24" s="7">
        <v>160.78</v>
      </c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160.78</v>
      </c>
      <c r="Y24" s="3"/>
      <c r="Z24" s="8">
        <f t="shared" si="7"/>
        <v>0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"6118", " - ", "VACATION")</f>
        <v xml:space="preserve">          6118 - VACATION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24" customFormat="1" hidden="1" outlineLevel="2" x14ac:dyDescent="0.25">
      <c r="A27" s="27"/>
      <c r="B27" s="12" t="str">
        <f>CONCATENATE("          ", "6119", " - ", "SICK LEAVE")</f>
        <v xml:space="preserve">          6119 - SICK LEAVE</v>
      </c>
      <c r="C27" s="12"/>
      <c r="D27" s="7"/>
      <c r="E27" s="3"/>
      <c r="F27" s="8">
        <f t="shared" si="0"/>
        <v>0</v>
      </c>
      <c r="G27" s="3"/>
      <c r="H27" s="7">
        <v>0</v>
      </c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0</v>
      </c>
      <c r="U27" s="3"/>
      <c r="V27" s="8">
        <f t="shared" si="5"/>
        <v>0</v>
      </c>
      <c r="W27" s="3"/>
      <c r="X27" s="7">
        <f t="shared" si="6"/>
        <v>0</v>
      </c>
      <c r="Y27" s="3"/>
      <c r="Z27" s="8">
        <f t="shared" si="7"/>
        <v>0</v>
      </c>
    </row>
    <row r="28" spans="1:26" s="29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3120</v>
      </c>
      <c r="E28" s="1"/>
      <c r="F28" s="5">
        <f t="shared" ref="F28:F38" si="8">IF(D$12=0,0,D28/D$12)</f>
        <v>0</v>
      </c>
      <c r="G28" s="1"/>
      <c r="H28" s="1">
        <f>SUM(OSRRefH22_1x_0)</f>
        <v>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3120</v>
      </c>
      <c r="M28" s="1"/>
      <c r="N28" s="5">
        <f t="shared" ref="N28:N38" si="11">IF(H28=0,0,L28/H28)</f>
        <v>0</v>
      </c>
      <c r="O28" s="14"/>
      <c r="P28" s="1">
        <f>SUM(OSRRefP22_1x_0)</f>
        <v>3120</v>
      </c>
      <c r="Q28" s="1"/>
      <c r="R28" s="5">
        <f t="shared" ref="R28:R38" si="12">IF(P$12=0,0,P28/P$12)</f>
        <v>0</v>
      </c>
      <c r="S28" s="1"/>
      <c r="T28" s="1">
        <f>SUM(OSRRefT22_1x_0)</f>
        <v>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3120</v>
      </c>
      <c r="Y28" s="1"/>
      <c r="Z28" s="5">
        <f t="shared" ref="Z28:Z38" si="15">IF(T28=0,0,X28/T28)</f>
        <v>0</v>
      </c>
    </row>
    <row r="29" spans="1:26" s="24" customFormat="1" hidden="1" outlineLevel="2" x14ac:dyDescent="0.25">
      <c r="A29" s="27"/>
      <c r="B29" s="12" t="str">
        <f>CONCATENATE("          ", "6001", " - ", "ADMINISTRATIVE SALARIES")</f>
        <v xml:space="preserve">          6001 - ADMINISTRATIVE SALARIES</v>
      </c>
      <c r="C29" s="12"/>
      <c r="D29" s="7"/>
      <c r="E29" s="3"/>
      <c r="F29" s="8">
        <f t="shared" si="8"/>
        <v>0</v>
      </c>
      <c r="G29" s="3"/>
      <c r="H29" s="7">
        <v>0</v>
      </c>
      <c r="I29" s="3"/>
      <c r="J29" s="8">
        <f t="shared" si="9"/>
        <v>0</v>
      </c>
      <c r="K29" s="3"/>
      <c r="L29" s="7">
        <f t="shared" si="10"/>
        <v>0</v>
      </c>
      <c r="M29" s="3"/>
      <c r="N29" s="8">
        <f t="shared" si="11"/>
        <v>0</v>
      </c>
      <c r="O29" s="12"/>
      <c r="P29" s="7"/>
      <c r="Q29" s="3"/>
      <c r="R29" s="8">
        <f t="shared" si="12"/>
        <v>0</v>
      </c>
      <c r="S29" s="3"/>
      <c r="T29" s="7">
        <v>0</v>
      </c>
      <c r="U29" s="3"/>
      <c r="V29" s="8">
        <f t="shared" si="13"/>
        <v>0</v>
      </c>
      <c r="W29" s="3"/>
      <c r="X29" s="7">
        <f t="shared" si="14"/>
        <v>0</v>
      </c>
      <c r="Y29" s="3"/>
      <c r="Z29" s="8">
        <f t="shared" si="15"/>
        <v>0</v>
      </c>
    </row>
    <row r="30" spans="1:26" s="24" customFormat="1" hidden="1" outlineLevel="2" x14ac:dyDescent="0.25">
      <c r="A30" s="27"/>
      <c r="B30" s="12" t="str">
        <f>CONCATENATE("          ", "6002", " - ", "STAFF SALARIES")</f>
        <v xml:space="preserve">          6002 - STAFF SALARIES</v>
      </c>
      <c r="C30" s="12"/>
      <c r="D30" s="7">
        <v>3120</v>
      </c>
      <c r="E30" s="3"/>
      <c r="F30" s="8">
        <f t="shared" si="8"/>
        <v>0</v>
      </c>
      <c r="G30" s="3"/>
      <c r="H30" s="7">
        <v>0</v>
      </c>
      <c r="I30" s="3"/>
      <c r="J30" s="8">
        <f t="shared" si="9"/>
        <v>0</v>
      </c>
      <c r="K30" s="3"/>
      <c r="L30" s="7">
        <f t="shared" si="10"/>
        <v>3120</v>
      </c>
      <c r="M30" s="3"/>
      <c r="N30" s="8">
        <f t="shared" si="11"/>
        <v>0</v>
      </c>
      <c r="O30" s="12"/>
      <c r="P30" s="7">
        <v>3120</v>
      </c>
      <c r="Q30" s="3"/>
      <c r="R30" s="8">
        <f t="shared" si="12"/>
        <v>0</v>
      </c>
      <c r="S30" s="3"/>
      <c r="T30" s="7">
        <v>0</v>
      </c>
      <c r="U30" s="3"/>
      <c r="V30" s="8">
        <f t="shared" si="13"/>
        <v>0</v>
      </c>
      <c r="W30" s="3"/>
      <c r="X30" s="7">
        <f t="shared" si="14"/>
        <v>3120</v>
      </c>
      <c r="Y30" s="3"/>
      <c r="Z30" s="8">
        <f t="shared" si="15"/>
        <v>0</v>
      </c>
    </row>
    <row r="31" spans="1:26" s="24" customFormat="1" hidden="1" outlineLevel="2" x14ac:dyDescent="0.25">
      <c r="A31" s="27"/>
      <c r="B31" s="12" t="str">
        <f>CONCATENATE("          ", "6003", " - ", "STAFF HOURLY-9 MONTH")</f>
        <v xml:space="preserve">          6003 - STAFF HOURLY-9 MONTH</v>
      </c>
      <c r="C31" s="12"/>
      <c r="D31" s="7"/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0</v>
      </c>
      <c r="M31" s="3"/>
      <c r="N31" s="8">
        <f t="shared" si="11"/>
        <v>0</v>
      </c>
      <c r="O31" s="12"/>
      <c r="P31" s="7"/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0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"6004", " - ", "STAFF HOURLY")</f>
        <v xml:space="preserve">          6004 - STAFF HOURLY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"6005", " - ", "TEMPORARY WAGES-HOURLY")</f>
        <v xml:space="preserve">          6005 - TEMPORARY WAGES-HOURLY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"6006", " - ", "TEMPORARY PART TIME")</f>
        <v xml:space="preserve">          6006 - TEMPORARY PART TIME</v>
      </c>
      <c r="C34" s="12"/>
      <c r="D34" s="7"/>
      <c r="E34" s="3"/>
      <c r="F34" s="8">
        <f t="shared" si="8"/>
        <v>0</v>
      </c>
      <c r="G34" s="3"/>
      <c r="H34" s="7">
        <v>0</v>
      </c>
      <c r="I34" s="3"/>
      <c r="J34" s="8">
        <f t="shared" si="9"/>
        <v>0</v>
      </c>
      <c r="K34" s="3"/>
      <c r="L34" s="7">
        <f t="shared" si="10"/>
        <v>0</v>
      </c>
      <c r="M34" s="3"/>
      <c r="N34" s="8">
        <f t="shared" si="11"/>
        <v>0</v>
      </c>
      <c r="O34" s="12"/>
      <c r="P34" s="7"/>
      <c r="Q34" s="3"/>
      <c r="R34" s="8">
        <f t="shared" si="12"/>
        <v>0</v>
      </c>
      <c r="S34" s="3"/>
      <c r="T34" s="7">
        <v>0</v>
      </c>
      <c r="U34" s="3"/>
      <c r="V34" s="8">
        <f t="shared" si="13"/>
        <v>0</v>
      </c>
      <c r="W34" s="3"/>
      <c r="X34" s="7">
        <f t="shared" si="14"/>
        <v>0</v>
      </c>
      <c r="Y34" s="3"/>
      <c r="Z34" s="8">
        <f t="shared" si="15"/>
        <v>0</v>
      </c>
    </row>
    <row r="35" spans="1:26" s="24" customFormat="1" hidden="1" outlineLevel="2" x14ac:dyDescent="0.25">
      <c r="A35" s="27"/>
      <c r="B35" s="12" t="str">
        <f>CONCATENATE("          ", "6007", " - ", "STUDENT HOURLY")</f>
        <v xml:space="preserve">          6007 - STUDENT HOURLY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"6008", " - ", "STUDENT HOURLY-FICA EXEMPT")</f>
        <v xml:space="preserve">          6008 - STUDENT HOURLY-FICA EXEMPT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"6009", " - ", "TEMPORARY-SEASONAL")</f>
        <v xml:space="preserve">          6009 - TEMPORARY-SEASONAL</v>
      </c>
      <c r="C37" s="12"/>
      <c r="D37" s="7"/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0</v>
      </c>
      <c r="M37" s="3"/>
      <c r="N37" s="8">
        <f t="shared" si="11"/>
        <v>0</v>
      </c>
      <c r="O37" s="12"/>
      <c r="P37" s="7"/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0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"6010", " - ", "GRATUITY")</f>
        <v xml:space="preserve">          6010 - GRATUITY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9" customFormat="1" outlineLevel="1" collapsed="1" x14ac:dyDescent="0.25">
      <c r="A39" s="28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SUM(OSRRefD22_2x_0)</f>
        <v>1075.3699999999999</v>
      </c>
      <c r="E39" s="1"/>
      <c r="F39" s="5">
        <f t="shared" ref="F39:F49" si="16">IF(D$12=0,0,D39/D$12)</f>
        <v>0</v>
      </c>
      <c r="G39" s="1"/>
      <c r="H39" s="1">
        <f>SUM(OSRRefH22_2x_0)</f>
        <v>1075</v>
      </c>
      <c r="I39" s="1"/>
      <c r="J39" s="5">
        <f t="shared" ref="J39:J49" si="17">IF(H$12=0,0,H39/H$12)</f>
        <v>0</v>
      </c>
      <c r="K39" s="1"/>
      <c r="L39" s="1">
        <f t="shared" ref="L39:L49" si="18">+D39-H39</f>
        <v>0.36999999999989086</v>
      </c>
      <c r="M39" s="1"/>
      <c r="N39" s="5">
        <f t="shared" ref="N39:N49" si="19">IF(H39=0,0,L39/H39)</f>
        <v>3.4418604651152636E-4</v>
      </c>
      <c r="O39" s="14"/>
      <c r="P39" s="1">
        <f>SUM(OSRRefP22_2x_0)</f>
        <v>1075.3699999999999</v>
      </c>
      <c r="Q39" s="1"/>
      <c r="R39" s="5">
        <f t="shared" ref="R39:R49" si="20">IF(P$12=0,0,P39/P$12)</f>
        <v>0</v>
      </c>
      <c r="S39" s="1"/>
      <c r="T39" s="1">
        <f>SUM(OSRRefT22_2x_0)</f>
        <v>1075</v>
      </c>
      <c r="U39" s="1"/>
      <c r="V39" s="5">
        <f t="shared" ref="V39:V49" si="21">IF(T$12=0,0,T39/T$12)</f>
        <v>0</v>
      </c>
      <c r="W39" s="1"/>
      <c r="X39" s="1">
        <f t="shared" ref="X39:X49" si="22">+P39-T39</f>
        <v>0.36999999999989086</v>
      </c>
      <c r="Y39" s="1"/>
      <c r="Z39" s="5">
        <f t="shared" ref="Z39:Z49" si="23">IF(T39=0,0,X39/T39)</f>
        <v>3.4418604651152636E-4</v>
      </c>
    </row>
    <row r="40" spans="1:26" s="24" customFormat="1" hidden="1" outlineLevel="2" x14ac:dyDescent="0.25">
      <c r="A40" s="27"/>
      <c r="B40" s="12" t="str">
        <f>CONCATENATE("          ", "6322", " - ", "EQUIPMENT DEPRECIATION EXPENSE")</f>
        <v xml:space="preserve">          6322 - EQUIPMENT DEPRECIATION EXPENSE</v>
      </c>
      <c r="C40" s="12"/>
      <c r="D40" s="7">
        <v>1075.3699999999999</v>
      </c>
      <c r="E40" s="3"/>
      <c r="F40" s="8">
        <f t="shared" si="16"/>
        <v>0</v>
      </c>
      <c r="G40" s="3"/>
      <c r="H40" s="7">
        <v>1075</v>
      </c>
      <c r="I40" s="3"/>
      <c r="J40" s="8">
        <f t="shared" si="17"/>
        <v>0</v>
      </c>
      <c r="K40" s="3"/>
      <c r="L40" s="7">
        <f t="shared" si="18"/>
        <v>0.36999999999989086</v>
      </c>
      <c r="M40" s="3"/>
      <c r="N40" s="8">
        <f t="shared" si="19"/>
        <v>3.4418604651152636E-4</v>
      </c>
      <c r="O40" s="12"/>
      <c r="P40" s="7">
        <v>1075.3699999999999</v>
      </c>
      <c r="Q40" s="3"/>
      <c r="R40" s="8">
        <f t="shared" si="20"/>
        <v>0</v>
      </c>
      <c r="S40" s="3"/>
      <c r="T40" s="7">
        <v>1075</v>
      </c>
      <c r="U40" s="3"/>
      <c r="V40" s="8">
        <f t="shared" si="21"/>
        <v>0</v>
      </c>
      <c r="W40" s="3"/>
      <c r="X40" s="7">
        <f t="shared" si="22"/>
        <v>0.36999999999989086</v>
      </c>
      <c r="Y40" s="3"/>
      <c r="Z40" s="8">
        <f t="shared" si="23"/>
        <v>3.4418604651152636E-4</v>
      </c>
    </row>
    <row r="41" spans="1:26" s="29" customFormat="1" outlineLevel="1" collapsed="1" x14ac:dyDescent="0.25">
      <c r="A41" s="28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SUM(OSRRefD22_3x_0)</f>
        <v>754.55</v>
      </c>
      <c r="E41" s="1"/>
      <c r="F41" s="5">
        <f t="shared" si="16"/>
        <v>0</v>
      </c>
      <c r="G41" s="1"/>
      <c r="H41" s="1">
        <f>SUM(OSRRefH22_3x_0)</f>
        <v>1000</v>
      </c>
      <c r="I41" s="1"/>
      <c r="J41" s="5">
        <f t="shared" si="17"/>
        <v>0</v>
      </c>
      <c r="K41" s="1"/>
      <c r="L41" s="1">
        <f t="shared" si="18"/>
        <v>-245.45000000000005</v>
      </c>
      <c r="M41" s="1"/>
      <c r="N41" s="5">
        <f t="shared" si="19"/>
        <v>-0.24545000000000006</v>
      </c>
      <c r="O41" s="14"/>
      <c r="P41" s="1">
        <f>SUM(OSRRefP22_3x_0)</f>
        <v>754.55</v>
      </c>
      <c r="Q41" s="1"/>
      <c r="R41" s="5">
        <f t="shared" si="20"/>
        <v>0</v>
      </c>
      <c r="S41" s="1"/>
      <c r="T41" s="1">
        <f>SUM(OSRRefT22_3x_0)</f>
        <v>1000</v>
      </c>
      <c r="U41" s="1"/>
      <c r="V41" s="5">
        <f t="shared" si="21"/>
        <v>0</v>
      </c>
      <c r="W41" s="1"/>
      <c r="X41" s="1">
        <f t="shared" si="22"/>
        <v>-245.45000000000005</v>
      </c>
      <c r="Y41" s="1"/>
      <c r="Z41" s="5">
        <f t="shared" si="23"/>
        <v>-0.24545000000000006</v>
      </c>
    </row>
    <row r="42" spans="1:26" s="24" customFormat="1" hidden="1" outlineLevel="2" x14ac:dyDescent="0.25">
      <c r="A42" s="27"/>
      <c r="B42" s="12" t="str">
        <f>CONCATENATE("          ", "6279", " - ", "GENERAL EXPENSE")</f>
        <v xml:space="preserve">          6279 - GENERAL EXPENSE</v>
      </c>
      <c r="C42" s="12"/>
      <c r="D42" s="7">
        <v>754.55</v>
      </c>
      <c r="E42" s="3"/>
      <c r="F42" s="8">
        <f t="shared" si="16"/>
        <v>0</v>
      </c>
      <c r="G42" s="3"/>
      <c r="H42" s="7">
        <v>1000</v>
      </c>
      <c r="I42" s="3"/>
      <c r="J42" s="8">
        <f t="shared" si="17"/>
        <v>0</v>
      </c>
      <c r="K42" s="3"/>
      <c r="L42" s="7">
        <f t="shared" si="18"/>
        <v>-245.45000000000005</v>
      </c>
      <c r="M42" s="3"/>
      <c r="N42" s="8">
        <f t="shared" si="19"/>
        <v>-0.24545000000000006</v>
      </c>
      <c r="O42" s="12"/>
      <c r="P42" s="7">
        <v>754.55</v>
      </c>
      <c r="Q42" s="3"/>
      <c r="R42" s="8">
        <f t="shared" si="20"/>
        <v>0</v>
      </c>
      <c r="S42" s="3"/>
      <c r="T42" s="7">
        <v>1000</v>
      </c>
      <c r="U42" s="3"/>
      <c r="V42" s="8">
        <f t="shared" si="21"/>
        <v>0</v>
      </c>
      <c r="W42" s="3"/>
      <c r="X42" s="7">
        <f t="shared" si="22"/>
        <v>-245.45000000000005</v>
      </c>
      <c r="Y42" s="3"/>
      <c r="Z42" s="8">
        <f t="shared" si="23"/>
        <v>-0.24545000000000006</v>
      </c>
    </row>
    <row r="43" spans="1:26" s="29" customFormat="1" outlineLevel="1" collapsed="1" x14ac:dyDescent="0.25">
      <c r="A43" s="28"/>
      <c r="B43" s="14" t="str">
        <f>CONCATENATE("     ","Services                                          ")</f>
        <v xml:space="preserve">     Services                                          </v>
      </c>
      <c r="C43" s="14"/>
      <c r="D43" s="1">
        <f>SUM(OSRRefD22_4x_0)</f>
        <v>-145.32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-145.32</v>
      </c>
      <c r="M43" s="1"/>
      <c r="N43" s="5">
        <f t="shared" si="19"/>
        <v>0</v>
      </c>
      <c r="O43" s="14"/>
      <c r="P43" s="1">
        <f>SUM(OSRRefP22_4x_0)</f>
        <v>-145.32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-145.32</v>
      </c>
      <c r="Y43" s="1"/>
      <c r="Z43" s="5">
        <f t="shared" si="23"/>
        <v>0</v>
      </c>
    </row>
    <row r="44" spans="1:26" s="24" customFormat="1" hidden="1" outlineLevel="2" x14ac:dyDescent="0.25">
      <c r="A44" s="27"/>
      <c r="B44" s="12" t="str">
        <f>CONCATENATE("          ", "6285", " - ", "JANITORIAL SERVICES")</f>
        <v xml:space="preserve">          6285 - JANITORIAL SERVICES</v>
      </c>
      <c r="C44" s="12"/>
      <c r="D44" s="7">
        <v>-145.32</v>
      </c>
      <c r="E44" s="3"/>
      <c r="F44" s="8">
        <f t="shared" si="16"/>
        <v>0</v>
      </c>
      <c r="G44" s="3"/>
      <c r="H44" s="7"/>
      <c r="I44" s="3"/>
      <c r="J44" s="8">
        <f t="shared" si="17"/>
        <v>0</v>
      </c>
      <c r="K44" s="3"/>
      <c r="L44" s="7">
        <f t="shared" si="18"/>
        <v>-145.32</v>
      </c>
      <c r="M44" s="3"/>
      <c r="N44" s="8">
        <f t="shared" si="19"/>
        <v>0</v>
      </c>
      <c r="O44" s="12"/>
      <c r="P44" s="7">
        <v>-145.32</v>
      </c>
      <c r="Q44" s="3"/>
      <c r="R44" s="8">
        <f t="shared" si="20"/>
        <v>0</v>
      </c>
      <c r="S44" s="3"/>
      <c r="T44" s="7"/>
      <c r="U44" s="3"/>
      <c r="V44" s="8">
        <f t="shared" si="21"/>
        <v>0</v>
      </c>
      <c r="W44" s="3"/>
      <c r="X44" s="7">
        <f t="shared" si="22"/>
        <v>-145.32</v>
      </c>
      <c r="Y44" s="3"/>
      <c r="Z44" s="8">
        <f t="shared" si="23"/>
        <v>0</v>
      </c>
    </row>
    <row r="45" spans="1:26" s="29" customFormat="1" outlineLevel="1" collapsed="1" x14ac:dyDescent="0.25">
      <c r="A45" s="28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SUM(OSRRefD22_5x_0)</f>
        <v>207.27</v>
      </c>
      <c r="E45" s="1"/>
      <c r="F45" s="5">
        <f t="shared" si="16"/>
        <v>0</v>
      </c>
      <c r="G45" s="1"/>
      <c r="H45" s="1">
        <f>SUM(OSRRefH22_5x_0)</f>
        <v>0</v>
      </c>
      <c r="I45" s="1"/>
      <c r="J45" s="5">
        <f t="shared" si="17"/>
        <v>0</v>
      </c>
      <c r="K45" s="1"/>
      <c r="L45" s="1">
        <f t="shared" si="18"/>
        <v>207.27</v>
      </c>
      <c r="M45" s="1"/>
      <c r="N45" s="5">
        <f t="shared" si="19"/>
        <v>0</v>
      </c>
      <c r="O45" s="14"/>
      <c r="P45" s="1">
        <f>SUM(OSRRefP22_5x_0)</f>
        <v>207.27</v>
      </c>
      <c r="Q45" s="1"/>
      <c r="R45" s="5">
        <f t="shared" si="20"/>
        <v>0</v>
      </c>
      <c r="S45" s="1"/>
      <c r="T45" s="1">
        <f>SUM(OSRRefT22_5x_0)</f>
        <v>0</v>
      </c>
      <c r="U45" s="1"/>
      <c r="V45" s="5">
        <f t="shared" si="21"/>
        <v>0</v>
      </c>
      <c r="W45" s="1"/>
      <c r="X45" s="1">
        <f t="shared" si="22"/>
        <v>207.27</v>
      </c>
      <c r="Y45" s="1"/>
      <c r="Z45" s="5">
        <f t="shared" si="23"/>
        <v>0</v>
      </c>
    </row>
    <row r="46" spans="1:26" s="24" customFormat="1" hidden="1" outlineLevel="2" x14ac:dyDescent="0.25">
      <c r="A46" s="27"/>
      <c r="B46" s="12" t="str">
        <f>CONCATENATE("          ", "6235", " - ", "COVID-19 EXPENSES")</f>
        <v xml:space="preserve">          6235 - COVID-19 EXPENSES</v>
      </c>
      <c r="C46" s="12"/>
      <c r="D46" s="7">
        <v>207.27</v>
      </c>
      <c r="E46" s="3"/>
      <c r="F46" s="8">
        <f t="shared" si="16"/>
        <v>0</v>
      </c>
      <c r="G46" s="3"/>
      <c r="H46" s="7"/>
      <c r="I46" s="3"/>
      <c r="J46" s="8">
        <f t="shared" si="17"/>
        <v>0</v>
      </c>
      <c r="K46" s="3"/>
      <c r="L46" s="7">
        <f t="shared" si="18"/>
        <v>207.27</v>
      </c>
      <c r="M46" s="3"/>
      <c r="N46" s="8">
        <f t="shared" si="19"/>
        <v>0</v>
      </c>
      <c r="O46" s="12"/>
      <c r="P46" s="7">
        <v>207.27</v>
      </c>
      <c r="Q46" s="3"/>
      <c r="R46" s="8">
        <f t="shared" si="20"/>
        <v>0</v>
      </c>
      <c r="S46" s="3"/>
      <c r="T46" s="7"/>
      <c r="U46" s="3"/>
      <c r="V46" s="8">
        <f t="shared" si="21"/>
        <v>0</v>
      </c>
      <c r="W46" s="3"/>
      <c r="X46" s="7">
        <f t="shared" si="22"/>
        <v>207.27</v>
      </c>
      <c r="Y46" s="3"/>
      <c r="Z46" s="8">
        <f t="shared" si="23"/>
        <v>0</v>
      </c>
    </row>
    <row r="47" spans="1:26" s="29" customFormat="1" outlineLevel="1" collapsed="1" x14ac:dyDescent="0.25">
      <c r="A47" s="28"/>
      <c r="B47" s="14" t="str">
        <f>CONCATENATE("     ","Telephone/Data Lines                              ")</f>
        <v xml:space="preserve">     Telephone/Data Lines                              </v>
      </c>
      <c r="C47" s="14"/>
      <c r="D47" s="1">
        <f>SUM(OSRRefD22_6x_0)</f>
        <v>101.5</v>
      </c>
      <c r="E47" s="1"/>
      <c r="F47" s="5">
        <f t="shared" si="16"/>
        <v>0</v>
      </c>
      <c r="G47" s="1"/>
      <c r="H47" s="1">
        <f>SUM(OSRRefH22_6x_0)</f>
        <v>75</v>
      </c>
      <c r="I47" s="1"/>
      <c r="J47" s="5">
        <f t="shared" si="17"/>
        <v>0</v>
      </c>
      <c r="K47" s="1"/>
      <c r="L47" s="1">
        <f t="shared" si="18"/>
        <v>26.5</v>
      </c>
      <c r="M47" s="1"/>
      <c r="N47" s="5">
        <f t="shared" si="19"/>
        <v>0.35333333333333333</v>
      </c>
      <c r="O47" s="14"/>
      <c r="P47" s="1">
        <f>SUM(OSRRefP22_6x_0)</f>
        <v>101.5</v>
      </c>
      <c r="Q47" s="1"/>
      <c r="R47" s="5">
        <f t="shared" si="20"/>
        <v>0</v>
      </c>
      <c r="S47" s="1"/>
      <c r="T47" s="1">
        <f>SUM(OSRRefT22_6x_0)</f>
        <v>75</v>
      </c>
      <c r="U47" s="1"/>
      <c r="V47" s="5">
        <f t="shared" si="21"/>
        <v>0</v>
      </c>
      <c r="W47" s="1"/>
      <c r="X47" s="1">
        <f t="shared" si="22"/>
        <v>26.5</v>
      </c>
      <c r="Y47" s="1"/>
      <c r="Z47" s="5">
        <f t="shared" si="23"/>
        <v>0.35333333333333333</v>
      </c>
    </row>
    <row r="48" spans="1:26" s="24" customFormat="1" hidden="1" outlineLevel="2" x14ac:dyDescent="0.25">
      <c r="A48" s="27"/>
      <c r="B48" s="12" t="str">
        <f>CONCATENATE("          ", "6303", " - ", "DATA PHONE LINES")</f>
        <v xml:space="preserve">          6303 - DATA PHONE LINES</v>
      </c>
      <c r="C48" s="12"/>
      <c r="D48" s="7"/>
      <c r="E48" s="3"/>
      <c r="F48" s="8">
        <f t="shared" si="16"/>
        <v>0</v>
      </c>
      <c r="G48" s="3"/>
      <c r="H48" s="7">
        <v>75</v>
      </c>
      <c r="I48" s="3"/>
      <c r="J48" s="8">
        <f t="shared" si="17"/>
        <v>0</v>
      </c>
      <c r="K48" s="3"/>
      <c r="L48" s="7">
        <f t="shared" si="18"/>
        <v>-75</v>
      </c>
      <c r="M48" s="3"/>
      <c r="N48" s="8">
        <f t="shared" si="19"/>
        <v>-1</v>
      </c>
      <c r="O48" s="12"/>
      <c r="P48" s="7"/>
      <c r="Q48" s="3"/>
      <c r="R48" s="8">
        <f t="shared" si="20"/>
        <v>0</v>
      </c>
      <c r="S48" s="3"/>
      <c r="T48" s="7">
        <v>75</v>
      </c>
      <c r="U48" s="3"/>
      <c r="V48" s="8">
        <f t="shared" si="21"/>
        <v>0</v>
      </c>
      <c r="W48" s="3"/>
      <c r="X48" s="7">
        <f t="shared" si="22"/>
        <v>-75</v>
      </c>
      <c r="Y48" s="3"/>
      <c r="Z48" s="8">
        <f t="shared" si="23"/>
        <v>-1</v>
      </c>
    </row>
    <row r="49" spans="1:26" s="24" customFormat="1" hidden="1" outlineLevel="2" x14ac:dyDescent="0.25">
      <c r="A49" s="27"/>
      <c r="B49" s="12" t="str">
        <f>CONCATENATE("          ", "6309", " - ", "TELEPHONE")</f>
        <v xml:space="preserve">          6309 - TELEPHONE</v>
      </c>
      <c r="C49" s="12"/>
      <c r="D49" s="7">
        <v>101.5</v>
      </c>
      <c r="E49" s="3"/>
      <c r="F49" s="8">
        <f t="shared" si="16"/>
        <v>0</v>
      </c>
      <c r="G49" s="3"/>
      <c r="H49" s="7"/>
      <c r="I49" s="3"/>
      <c r="J49" s="8">
        <f t="shared" si="17"/>
        <v>0</v>
      </c>
      <c r="K49" s="3"/>
      <c r="L49" s="7">
        <f t="shared" si="18"/>
        <v>101.5</v>
      </c>
      <c r="M49" s="3"/>
      <c r="N49" s="8">
        <f t="shared" si="19"/>
        <v>0</v>
      </c>
      <c r="O49" s="12"/>
      <c r="P49" s="7">
        <v>101.5</v>
      </c>
      <c r="Q49" s="3"/>
      <c r="R49" s="8">
        <f t="shared" si="20"/>
        <v>0</v>
      </c>
      <c r="S49" s="3"/>
      <c r="T49" s="7"/>
      <c r="U49" s="3"/>
      <c r="V49" s="8">
        <f t="shared" si="21"/>
        <v>0</v>
      </c>
      <c r="W49" s="3"/>
      <c r="X49" s="7">
        <f t="shared" si="22"/>
        <v>101.5</v>
      </c>
      <c r="Y49" s="3"/>
      <c r="Z49" s="8">
        <f t="shared" si="23"/>
        <v>0</v>
      </c>
    </row>
    <row r="50" spans="1:26" s="29" customFormat="1" outlineLevel="1" collapsed="1" x14ac:dyDescent="0.25">
      <c r="A50" s="28"/>
      <c r="B50" s="14" t="str">
        <f>CONCATENATE("     ","Utilities                                         ")</f>
        <v xml:space="preserve">     Utilities                                         </v>
      </c>
      <c r="C50" s="14"/>
      <c r="D50" s="1">
        <f>SUM(OSRRefD22_7x_0)</f>
        <v>50</v>
      </c>
      <c r="E50" s="1"/>
      <c r="F50" s="5">
        <f t="shared" ref="F50:F51" si="24">IF(D$12=0,0,D50/D$12)</f>
        <v>0</v>
      </c>
      <c r="G50" s="1"/>
      <c r="H50" s="1">
        <f>SUM(OSRRefH22_7x_0)</f>
        <v>50</v>
      </c>
      <c r="I50" s="1"/>
      <c r="J50" s="5">
        <f t="shared" ref="J50:J51" si="25">IF(H$12=0,0,H50/H$12)</f>
        <v>0</v>
      </c>
      <c r="K50" s="1"/>
      <c r="L50" s="1">
        <f t="shared" ref="L50:L51" si="26">+D50-H50</f>
        <v>0</v>
      </c>
      <c r="M50" s="1"/>
      <c r="N50" s="5">
        <f t="shared" ref="N50:N51" si="27">IF(H50=0,0,L50/H50)</f>
        <v>0</v>
      </c>
      <c r="O50" s="14"/>
      <c r="P50" s="1">
        <f>SUM(OSRRefP22_7x_0)</f>
        <v>50</v>
      </c>
      <c r="Q50" s="1"/>
      <c r="R50" s="5">
        <f t="shared" ref="R50:R51" si="28">IF(P$12=0,0,P50/P$12)</f>
        <v>0</v>
      </c>
      <c r="S50" s="1"/>
      <c r="T50" s="1">
        <f>SUM(OSRRefT22_7x_0)</f>
        <v>50</v>
      </c>
      <c r="U50" s="1"/>
      <c r="V50" s="5">
        <f t="shared" ref="V50:V51" si="29">IF(T$12=0,0,T50/T$12)</f>
        <v>0</v>
      </c>
      <c r="W50" s="1"/>
      <c r="X50" s="1">
        <f t="shared" ref="X50:X51" si="30">+P50-T50</f>
        <v>0</v>
      </c>
      <c r="Y50" s="1"/>
      <c r="Z50" s="5">
        <f t="shared" ref="Z50:Z51" si="31">IF(T50=0,0,X50/T50)</f>
        <v>0</v>
      </c>
    </row>
    <row r="51" spans="1:26" s="24" customFormat="1" hidden="1" outlineLevel="2" x14ac:dyDescent="0.25">
      <c r="A51" s="27"/>
      <c r="B51" s="12" t="str">
        <f>CONCATENATE("          ", "6274", " - ", "UTILITIES")</f>
        <v xml:space="preserve">          6274 - UTILITIES</v>
      </c>
      <c r="C51" s="12"/>
      <c r="D51" s="7">
        <v>50</v>
      </c>
      <c r="E51" s="3"/>
      <c r="F51" s="8">
        <f t="shared" si="24"/>
        <v>0</v>
      </c>
      <c r="G51" s="3"/>
      <c r="H51" s="7">
        <v>50</v>
      </c>
      <c r="I51" s="3"/>
      <c r="J51" s="8">
        <f t="shared" si="25"/>
        <v>0</v>
      </c>
      <c r="K51" s="3"/>
      <c r="L51" s="7">
        <f t="shared" si="26"/>
        <v>0</v>
      </c>
      <c r="M51" s="3"/>
      <c r="N51" s="8">
        <f t="shared" si="27"/>
        <v>0</v>
      </c>
      <c r="O51" s="12"/>
      <c r="P51" s="7">
        <v>50</v>
      </c>
      <c r="Q51" s="3"/>
      <c r="R51" s="8">
        <f t="shared" si="28"/>
        <v>0</v>
      </c>
      <c r="S51" s="3"/>
      <c r="T51" s="7">
        <v>50</v>
      </c>
      <c r="U51" s="3"/>
      <c r="V51" s="8">
        <f t="shared" si="29"/>
        <v>0</v>
      </c>
      <c r="W51" s="3"/>
      <c r="X51" s="7">
        <f t="shared" si="30"/>
        <v>0</v>
      </c>
      <c r="Y51" s="3"/>
      <c r="Z51" s="8">
        <f t="shared" si="31"/>
        <v>0</v>
      </c>
    </row>
    <row r="52" spans="1:26" s="54" customFormat="1" x14ac:dyDescent="0.25">
      <c r="A52" s="36"/>
      <c r="B52" s="36"/>
      <c r="C52" s="36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6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2" customFormat="1" x14ac:dyDescent="0.25">
      <c r="A53" s="10"/>
      <c r="B53" s="26" t="s">
        <v>0</v>
      </c>
      <c r="C53" s="10"/>
      <c r="D53" s="4">
        <f>SUM(0)</f>
        <v>0</v>
      </c>
      <c r="E53" s="4"/>
      <c r="F53" s="11">
        <f>IF(D$12=0,0,D53/D$12)</f>
        <v>0</v>
      </c>
      <c r="G53" s="4"/>
      <c r="H53" s="4">
        <f>SUM(0)</f>
        <v>0</v>
      </c>
      <c r="I53" s="4"/>
      <c r="J53" s="11">
        <f>IF(H$12=0,0,H53/H$12)</f>
        <v>0</v>
      </c>
      <c r="K53" s="4"/>
      <c r="L53" s="4">
        <f>+D53-H53</f>
        <v>0</v>
      </c>
      <c r="M53" s="4"/>
      <c r="N53" s="11">
        <f>IF(H53=0,0,L53/H53)</f>
        <v>0</v>
      </c>
      <c r="O53" s="10"/>
      <c r="P53" s="4">
        <f>SUM(0)</f>
        <v>0</v>
      </c>
      <c r="Q53" s="4"/>
      <c r="R53" s="11">
        <f>IF(P$12=0,0,P53/P$12)</f>
        <v>0</v>
      </c>
      <c r="S53" s="4"/>
      <c r="T53" s="4">
        <f>SUM(0)</f>
        <v>0</v>
      </c>
      <c r="U53" s="4"/>
      <c r="V53" s="11">
        <f>IF(T$12=0,0,T53/T$12)</f>
        <v>0</v>
      </c>
      <c r="W53" s="4"/>
      <c r="X53" s="4">
        <f>+P53-T53</f>
        <v>0</v>
      </c>
      <c r="Y53" s="4"/>
      <c r="Z53" s="11">
        <f>IF(T53=0,0,X53/T53)</f>
        <v>0</v>
      </c>
    </row>
    <row r="54" spans="1:26" x14ac:dyDescent="0.25">
      <c r="A54" s="9"/>
      <c r="B54" s="10"/>
      <c r="C54" s="10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O54" s="10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2" customFormat="1" x14ac:dyDescent="0.25">
      <c r="A55" s="10"/>
      <c r="B55" s="25" t="s">
        <v>3</v>
      </c>
      <c r="C55" s="25"/>
      <c r="D55" s="21">
        <f>+D16-D18+D53</f>
        <v>-5571.05</v>
      </c>
      <c r="E55" s="13"/>
      <c r="F55" s="20">
        <f>IF(D$12=0,0,D55/D$12)</f>
        <v>0</v>
      </c>
      <c r="G55" s="13"/>
      <c r="H55" s="21">
        <f>+H16-H18+H53</f>
        <v>-2200</v>
      </c>
      <c r="I55" s="13"/>
      <c r="J55" s="20">
        <f>IF(H$12=0,0,H55/H$12)</f>
        <v>0</v>
      </c>
      <c r="K55" s="15"/>
      <c r="L55" s="21">
        <f>+D55-H55</f>
        <v>-3371.05</v>
      </c>
      <c r="M55" s="15"/>
      <c r="N55" s="20">
        <f>IF(H55=0,0,L55/H55)</f>
        <v>1.5322954545454546</v>
      </c>
      <c r="O55" s="26"/>
      <c r="P55" s="21">
        <f>+P16-P18+P53</f>
        <v>-5571.05</v>
      </c>
      <c r="Q55" s="13"/>
      <c r="R55" s="20">
        <f>IF(P$12=0,0,P55/P$12)</f>
        <v>0</v>
      </c>
      <c r="S55" s="13"/>
      <c r="T55" s="21">
        <f>+T16-T18+T53</f>
        <v>-2200</v>
      </c>
      <c r="U55" s="13"/>
      <c r="V55" s="20">
        <f>IF(T$12=0,0,T55/T$12)</f>
        <v>0</v>
      </c>
      <c r="W55" s="15"/>
      <c r="X55" s="21">
        <f>+P55-T55</f>
        <v>-3371.05</v>
      </c>
      <c r="Y55" s="15"/>
      <c r="Z55" s="20">
        <f>IF(T55=0,0,X55/T55)</f>
        <v>1.5322954545454546</v>
      </c>
    </row>
    <row r="56" spans="1:26" x14ac:dyDescent="0.25">
      <c r="A56" s="9"/>
      <c r="B56" s="10"/>
      <c r="C56" s="9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2" customFormat="1" x14ac:dyDescent="0.25">
      <c r="A57" s="52"/>
      <c r="B57" s="10" t="s">
        <v>14</v>
      </c>
      <c r="C57" s="10"/>
      <c r="D57" s="4"/>
      <c r="E57" s="4"/>
      <c r="F57" s="11">
        <f>IF(D$12=0,0,D57/D$12)</f>
        <v>0</v>
      </c>
      <c r="G57" s="4"/>
      <c r="H57" s="4"/>
      <c r="I57" s="4"/>
      <c r="J57" s="11">
        <f>IF(H$12=0,0,H57/H$12)</f>
        <v>0</v>
      </c>
      <c r="K57" s="4"/>
      <c r="L57" s="4">
        <f>+D57-H57</f>
        <v>0</v>
      </c>
      <c r="M57" s="4"/>
      <c r="N57" s="11">
        <f>IF(H57=0,0,L57/H57)</f>
        <v>0</v>
      </c>
      <c r="O57" s="10"/>
      <c r="P57" s="4"/>
      <c r="Q57" s="4"/>
      <c r="R57" s="11">
        <f>IF(P$12=0,0,P57/P$12)</f>
        <v>0</v>
      </c>
      <c r="S57" s="4"/>
      <c r="T57" s="4"/>
      <c r="U57" s="4"/>
      <c r="V57" s="11">
        <f>IF(T$12=0,0,T57/T$12)</f>
        <v>0</v>
      </c>
      <c r="W57" s="4"/>
      <c r="X57" s="4">
        <f>+P57-T57</f>
        <v>0</v>
      </c>
      <c r="Y57" s="4"/>
      <c r="Z57" s="11">
        <f>IF(T57=0,0,X57/T57)</f>
        <v>0</v>
      </c>
    </row>
    <row r="58" spans="1:26" x14ac:dyDescent="0.25">
      <c r="A58" s="9"/>
      <c r="B58" s="10"/>
      <c r="C58" s="10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O58" s="10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s="22" customFormat="1" ht="15.75" thickBot="1" x14ac:dyDescent="0.3">
      <c r="A59" s="10"/>
      <c r="B59" s="25" t="s">
        <v>4</v>
      </c>
      <c r="C59" s="25"/>
      <c r="D59" s="34">
        <f>+D55-D57</f>
        <v>-5571.05</v>
      </c>
      <c r="E59" s="13"/>
      <c r="F59" s="30">
        <f>IF(D$12=0,0,D59/D$12)</f>
        <v>0</v>
      </c>
      <c r="G59" s="13"/>
      <c r="H59" s="34">
        <f>+H55-H57</f>
        <v>-2200</v>
      </c>
      <c r="I59" s="13"/>
      <c r="J59" s="30">
        <f>IF(H$12=0,0,H59/H$12)</f>
        <v>0</v>
      </c>
      <c r="K59" s="15"/>
      <c r="L59" s="34">
        <f>D59-H59</f>
        <v>-3371.05</v>
      </c>
      <c r="M59" s="15"/>
      <c r="N59" s="30">
        <f>IF(H59=0,0,L59/H59)</f>
        <v>1.5322954545454546</v>
      </c>
      <c r="O59" s="26"/>
      <c r="P59" s="34">
        <f>+P55-P57</f>
        <v>-5571.05</v>
      </c>
      <c r="Q59" s="13"/>
      <c r="R59" s="30">
        <f>IF(P$12=0,0,P59/P$12)</f>
        <v>0</v>
      </c>
      <c r="S59" s="13"/>
      <c r="T59" s="34">
        <f>+T55-T57</f>
        <v>-2200</v>
      </c>
      <c r="U59" s="13"/>
      <c r="V59" s="30">
        <f>IF(T$12=0,0,T59/T$12)</f>
        <v>0</v>
      </c>
      <c r="W59" s="15"/>
      <c r="X59" s="34">
        <f>P59-T59</f>
        <v>-3371.05</v>
      </c>
      <c r="Y59" s="15"/>
      <c r="Z59" s="30">
        <f>IF(T59=0,0,X59/T59)</f>
        <v>1.5322954545454546</v>
      </c>
    </row>
    <row r="60" spans="1:26" ht="15.75" thickTop="1" x14ac:dyDescent="0.25">
      <c r="A60" s="9"/>
      <c r="B60" s="9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x14ac:dyDescent="0.25">
      <c r="A61" s="9"/>
      <c r="B61" s="9"/>
      <c r="C61" s="9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2" customFormat="1" ht="15.75" thickBot="1" x14ac:dyDescent="0.3">
      <c r="A62" s="10"/>
      <c r="B62" s="25" t="s">
        <v>5</v>
      </c>
      <c r="C62" s="25"/>
      <c r="D62" s="32">
        <f>SUM(D59:D61)</f>
        <v>-5571.05</v>
      </c>
      <c r="E62" s="13"/>
      <c r="F62" s="33">
        <f>IF(D$12=0,0,D62/D$12)</f>
        <v>0</v>
      </c>
      <c r="G62" s="13"/>
      <c r="H62" s="32">
        <f>SUM(H59:H61)</f>
        <v>-2200</v>
      </c>
      <c r="I62" s="13"/>
      <c r="J62" s="33">
        <f>IF(H$12=0,0,H62/H$12)</f>
        <v>0</v>
      </c>
      <c r="K62" s="15"/>
      <c r="L62" s="32">
        <f>+D62-H62</f>
        <v>-3371.05</v>
      </c>
      <c r="M62" s="15"/>
      <c r="N62" s="33">
        <f>IF(H62=0,0,L62/H62)</f>
        <v>1.5322954545454546</v>
      </c>
      <c r="O62" s="26"/>
      <c r="P62" s="32">
        <f>SUM(P59:P61)</f>
        <v>-5571.05</v>
      </c>
      <c r="Q62" s="13"/>
      <c r="R62" s="33">
        <f>IF(P$12=0,0,P62/P$12)</f>
        <v>0</v>
      </c>
      <c r="S62" s="13"/>
      <c r="T62" s="32">
        <f>SUM(T59:T61)</f>
        <v>-2200</v>
      </c>
      <c r="U62" s="13"/>
      <c r="V62" s="33">
        <f>IF(T$12=0,0,T62/T$12)</f>
        <v>0</v>
      </c>
      <c r="W62" s="15"/>
      <c r="X62" s="32">
        <f>+P62-T62</f>
        <v>-3371.05</v>
      </c>
      <c r="Y62" s="15"/>
      <c r="Z62" s="33">
        <f>IF(T62=0,0,X62/T62)</f>
        <v>1.5322954545454546</v>
      </c>
    </row>
    <row r="63" spans="1:26" ht="15.75" thickTop="1" x14ac:dyDescent="0.25">
      <c r="A63" s="9"/>
      <c r="C63" s="9"/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8">
        <v>44104.686089502313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25">
      <c r="A65" s="9"/>
      <c r="B65" s="56" t="s">
        <v>314</v>
      </c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A66" s="9"/>
      <c r="B66" s="62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25"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","322", " - ", "Beach Hut")</f>
        <v>Department 322 - Beach Hut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collapsed="1" x14ac:dyDescent="0.25">
      <c r="A14" s="10"/>
      <c r="B14" s="26" t="s">
        <v>8</v>
      </c>
      <c r="C14" s="10"/>
      <c r="D14" s="4">
        <f>SUM(OSRRefD16x_0)</f>
        <v>-226.87</v>
      </c>
      <c r="E14" s="4"/>
      <c r="F14" s="11">
        <f t="shared" ref="F14:F15" si="0">IF(D$12=0,0,D14/D$12)</f>
        <v>0</v>
      </c>
      <c r="G14" s="4"/>
      <c r="H14" s="4">
        <f>SUM(OSRRefH16x_0)</f>
        <v>0</v>
      </c>
      <c r="I14" s="4"/>
      <c r="J14" s="11">
        <f t="shared" ref="J14:J15" si="1">IF(H$12=0,0,H14/H$12)</f>
        <v>0</v>
      </c>
      <c r="K14" s="4"/>
      <c r="L14" s="4">
        <f t="shared" ref="L14:L15" si="2">+D14-H14</f>
        <v>-226.87</v>
      </c>
      <c r="M14" s="4"/>
      <c r="N14" s="11">
        <f t="shared" ref="N14:N15" si="3">IF(H14=0,0,L14/H14)</f>
        <v>0</v>
      </c>
      <c r="O14" s="10"/>
      <c r="P14" s="4">
        <f>SUM(OSRRefP16x_0)</f>
        <v>-226.87</v>
      </c>
      <c r="Q14" s="4"/>
      <c r="R14" s="11">
        <f t="shared" ref="R14:R15" si="4">IF(P$12=0,0,P14/P$12)</f>
        <v>0</v>
      </c>
      <c r="S14" s="4"/>
      <c r="T14" s="4">
        <f>SUM(OSRRefT16x_0)</f>
        <v>0</v>
      </c>
      <c r="U14" s="4"/>
      <c r="V14" s="11">
        <f t="shared" ref="V14:V15" si="5">IF(T$12=0,0,T14/T$12)</f>
        <v>0</v>
      </c>
      <c r="W14" s="4"/>
      <c r="X14" s="4">
        <f t="shared" ref="X14:X15" si="6">+P14-T14</f>
        <v>-226.87</v>
      </c>
      <c r="Y14" s="4"/>
      <c r="Z14" s="11">
        <f t="shared" ref="Z14:Z15" si="7">IF(T14=0,0,X14/T14)</f>
        <v>0</v>
      </c>
    </row>
    <row r="15" spans="1:26" s="24" customFormat="1" hidden="1" outlineLevel="1" x14ac:dyDescent="0.25">
      <c r="A15" s="51"/>
      <c r="B15" s="12" t="str">
        <f>CONCATENATE("          ", "5053", " - ", "PURCHASES @ COST-FOOD")</f>
        <v xml:space="preserve">          5053 - PURCHASES @ COST-FOOD</v>
      </c>
      <c r="C15" s="12"/>
      <c r="D15" s="3">
        <v>-226.87</v>
      </c>
      <c r="E15" s="3"/>
      <c r="F15" s="23">
        <f t="shared" si="0"/>
        <v>0</v>
      </c>
      <c r="G15" s="3"/>
      <c r="H15" s="3"/>
      <c r="I15" s="3"/>
      <c r="J15" s="23">
        <f t="shared" si="1"/>
        <v>0</v>
      </c>
      <c r="K15" s="3"/>
      <c r="L15" s="3">
        <f t="shared" si="2"/>
        <v>-226.87</v>
      </c>
      <c r="M15" s="3"/>
      <c r="N15" s="23">
        <f t="shared" si="3"/>
        <v>0</v>
      </c>
      <c r="O15" s="12"/>
      <c r="P15" s="3">
        <v>-226.87</v>
      </c>
      <c r="Q15" s="3"/>
      <c r="R15" s="23">
        <f t="shared" si="4"/>
        <v>0</v>
      </c>
      <c r="S15" s="3"/>
      <c r="T15" s="3"/>
      <c r="U15" s="3"/>
      <c r="V15" s="23">
        <f t="shared" si="5"/>
        <v>0</v>
      </c>
      <c r="W15" s="3"/>
      <c r="X15" s="3">
        <f t="shared" si="6"/>
        <v>-226.87</v>
      </c>
      <c r="Y15" s="3"/>
      <c r="Z15" s="23">
        <f t="shared" si="7"/>
        <v>0</v>
      </c>
    </row>
    <row r="16" spans="1:26" x14ac:dyDescent="0.25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x14ac:dyDescent="0.25">
      <c r="A17" s="10"/>
      <c r="B17" s="25" t="s">
        <v>6</v>
      </c>
      <c r="C17" s="25"/>
      <c r="D17" s="21">
        <f>D12-D14</f>
        <v>226.87</v>
      </c>
      <c r="E17" s="13"/>
      <c r="F17" s="20">
        <f>IF(D$12=0,0,D17/D$12)</f>
        <v>0</v>
      </c>
      <c r="G17" s="13"/>
      <c r="H17" s="21">
        <f>H12-H14</f>
        <v>0</v>
      </c>
      <c r="I17" s="13"/>
      <c r="J17" s="20">
        <f>IF(H$12=0,0,H17/H$12)</f>
        <v>0</v>
      </c>
      <c r="K17" s="15"/>
      <c r="L17" s="21">
        <f>+D17-H17</f>
        <v>226.87</v>
      </c>
      <c r="M17" s="15"/>
      <c r="N17" s="20">
        <f>IF(H17=0,0,L17/H17)</f>
        <v>0</v>
      </c>
      <c r="O17" s="26"/>
      <c r="P17" s="21">
        <f>P12-P14</f>
        <v>226.87</v>
      </c>
      <c r="Q17" s="13"/>
      <c r="R17" s="20">
        <f>IF(P$12=0,0,P17/P$12)</f>
        <v>0</v>
      </c>
      <c r="S17" s="13"/>
      <c r="T17" s="21">
        <f>T12-T14</f>
        <v>0</v>
      </c>
      <c r="U17" s="13"/>
      <c r="V17" s="20">
        <f>IF(T$12=0,0,T17/T$12)</f>
        <v>0</v>
      </c>
      <c r="W17" s="15"/>
      <c r="X17" s="21">
        <f>+P17-T17</f>
        <v>226.87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6" t="s">
        <v>9</v>
      </c>
      <c r="C19" s="10"/>
      <c r="D19" s="19">
        <f>SUM(OSRRefD22x_0)</f>
        <v>5243.07</v>
      </c>
      <c r="E19" s="19"/>
      <c r="F19" s="31">
        <f t="shared" ref="F19:F28" si="8">IF(D$12=0,0,D19/D$12)</f>
        <v>0</v>
      </c>
      <c r="G19" s="19"/>
      <c r="H19" s="19">
        <f>SUM(OSRRefH22x_0)</f>
        <v>2017</v>
      </c>
      <c r="I19" s="19"/>
      <c r="J19" s="31">
        <f t="shared" ref="J19:J28" si="9">IF(H$12=0,0,H19/H$12)</f>
        <v>0</v>
      </c>
      <c r="K19" s="4"/>
      <c r="L19" s="19">
        <f t="shared" ref="L19:L28" si="10">+D19-H19</f>
        <v>3226.0699999999997</v>
      </c>
      <c r="M19" s="4"/>
      <c r="N19" s="31">
        <f t="shared" ref="N19:N28" si="11">IF(H19=0,0,L19/H19)</f>
        <v>1.599439762022806</v>
      </c>
      <c r="O19" s="10"/>
      <c r="P19" s="19">
        <f>SUM(OSRRefP22x_0)</f>
        <v>5243.07</v>
      </c>
      <c r="Q19" s="19"/>
      <c r="R19" s="31">
        <f t="shared" ref="R19:R28" si="12">IF(P$12=0,0,P19/P$12)</f>
        <v>0</v>
      </c>
      <c r="S19" s="19"/>
      <c r="T19" s="19">
        <f>SUM(OSRRefT22x_0)</f>
        <v>2017</v>
      </c>
      <c r="U19" s="19"/>
      <c r="V19" s="31">
        <f t="shared" ref="V19:V28" si="13">IF(T$12=0,0,T19/T$12)</f>
        <v>0</v>
      </c>
      <c r="W19" s="4"/>
      <c r="X19" s="19">
        <f t="shared" ref="X19:X28" si="14">+P19-T19</f>
        <v>3226.0699999999997</v>
      </c>
      <c r="Y19" s="4"/>
      <c r="Z19" s="31">
        <f t="shared" ref="Z19:Z28" si="15">IF(T19=0,0,X19/T19)</f>
        <v>1.599439762022806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1595.9699999999998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1595.9699999999998</v>
      </c>
      <c r="M20" s="1"/>
      <c r="N20" s="5">
        <f t="shared" si="11"/>
        <v>0</v>
      </c>
      <c r="O20" s="14"/>
      <c r="P20" s="1">
        <f>SUM(OSRRefP22_0x_0)</f>
        <v>1595.9699999999998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1595.9699999999998</v>
      </c>
      <c r="Y20" s="1"/>
      <c r="Z20" s="5">
        <f t="shared" si="15"/>
        <v>0</v>
      </c>
    </row>
    <row r="21" spans="1:26" s="24" customFormat="1" hidden="1" outlineLevel="2" x14ac:dyDescent="0.25">
      <c r="A21" s="27"/>
      <c r="B21" s="12" t="str">
        <f>CONCATENATE("          ", "6111", " - ", "F.I.C.A.")</f>
        <v xml:space="preserve">          6111 - F.I.C.A.</v>
      </c>
      <c r="C21" s="12"/>
      <c r="D21" s="7">
        <v>159.12</v>
      </c>
      <c r="E21" s="3"/>
      <c r="F21" s="8">
        <f t="shared" si="8"/>
        <v>0</v>
      </c>
      <c r="G21" s="3"/>
      <c r="H21" s="7">
        <v>0</v>
      </c>
      <c r="I21" s="3"/>
      <c r="J21" s="8">
        <f t="shared" si="9"/>
        <v>0</v>
      </c>
      <c r="K21" s="3"/>
      <c r="L21" s="7">
        <f t="shared" si="10"/>
        <v>159.12</v>
      </c>
      <c r="M21" s="3"/>
      <c r="N21" s="8">
        <f t="shared" si="11"/>
        <v>0</v>
      </c>
      <c r="O21" s="12"/>
      <c r="P21" s="7">
        <v>159.12</v>
      </c>
      <c r="Q21" s="3"/>
      <c r="R21" s="8">
        <f t="shared" si="12"/>
        <v>0</v>
      </c>
      <c r="S21" s="3"/>
      <c r="T21" s="7">
        <v>0</v>
      </c>
      <c r="U21" s="3"/>
      <c r="V21" s="8">
        <f t="shared" si="13"/>
        <v>0</v>
      </c>
      <c r="W21" s="3"/>
      <c r="X21" s="7">
        <f t="shared" si="14"/>
        <v>159.12</v>
      </c>
      <c r="Y21" s="3"/>
      <c r="Z21" s="8">
        <f t="shared" si="15"/>
        <v>0</v>
      </c>
    </row>
    <row r="22" spans="1:26" s="24" customFormat="1" hidden="1" outlineLevel="2" x14ac:dyDescent="0.25">
      <c r="A22" s="27"/>
      <c r="B22" s="12" t="str">
        <f>CONCATENATE("          ", "6112", " - ", "COMPENSATION INSURANCE")</f>
        <v xml:space="preserve">          6112 - COMPENSATION INSURANCE</v>
      </c>
      <c r="C22" s="12"/>
      <c r="D22" s="7"/>
      <c r="E22" s="3"/>
      <c r="F22" s="8">
        <f t="shared" si="8"/>
        <v>0</v>
      </c>
      <c r="G22" s="3"/>
      <c r="H22" s="7">
        <v>0</v>
      </c>
      <c r="I22" s="3"/>
      <c r="J22" s="8">
        <f t="shared" si="9"/>
        <v>0</v>
      </c>
      <c r="K22" s="3"/>
      <c r="L22" s="7">
        <f t="shared" si="10"/>
        <v>0</v>
      </c>
      <c r="M22" s="3"/>
      <c r="N22" s="8">
        <f t="shared" si="11"/>
        <v>0</v>
      </c>
      <c r="O22" s="12"/>
      <c r="P22" s="7"/>
      <c r="Q22" s="3"/>
      <c r="R22" s="8">
        <f t="shared" si="12"/>
        <v>0</v>
      </c>
      <c r="S22" s="3"/>
      <c r="T22" s="7">
        <v>0</v>
      </c>
      <c r="U22" s="3"/>
      <c r="V22" s="8">
        <f t="shared" si="13"/>
        <v>0</v>
      </c>
      <c r="W22" s="3"/>
      <c r="X22" s="7">
        <f t="shared" si="14"/>
        <v>0</v>
      </c>
      <c r="Y22" s="3"/>
      <c r="Z22" s="8">
        <f t="shared" si="15"/>
        <v>0</v>
      </c>
    </row>
    <row r="23" spans="1:26" s="24" customFormat="1" hidden="1" outlineLevel="2" x14ac:dyDescent="0.25">
      <c r="A23" s="27"/>
      <c r="B23" s="12" t="str">
        <f>CONCATENATE("          ", "6113", " - ", "GROUP INSURANCE")</f>
        <v xml:space="preserve">          6113 - GROUP INSURANCE</v>
      </c>
      <c r="C23" s="12"/>
      <c r="D23" s="7">
        <v>683.68</v>
      </c>
      <c r="E23" s="3"/>
      <c r="F23" s="8">
        <f t="shared" si="8"/>
        <v>0</v>
      </c>
      <c r="G23" s="3"/>
      <c r="H23" s="7">
        <v>0</v>
      </c>
      <c r="I23" s="3"/>
      <c r="J23" s="8">
        <f t="shared" si="9"/>
        <v>0</v>
      </c>
      <c r="K23" s="3"/>
      <c r="L23" s="7">
        <f t="shared" si="10"/>
        <v>683.68</v>
      </c>
      <c r="M23" s="3"/>
      <c r="N23" s="8">
        <f t="shared" si="11"/>
        <v>0</v>
      </c>
      <c r="O23" s="12"/>
      <c r="P23" s="7">
        <v>683.68</v>
      </c>
      <c r="Q23" s="3"/>
      <c r="R23" s="8">
        <f t="shared" si="12"/>
        <v>0</v>
      </c>
      <c r="S23" s="3"/>
      <c r="T23" s="7">
        <v>0</v>
      </c>
      <c r="U23" s="3"/>
      <c r="V23" s="8">
        <f t="shared" si="13"/>
        <v>0</v>
      </c>
      <c r="W23" s="3"/>
      <c r="X23" s="7">
        <f t="shared" si="14"/>
        <v>683.68</v>
      </c>
      <c r="Y23" s="3"/>
      <c r="Z23" s="8">
        <f t="shared" si="15"/>
        <v>0</v>
      </c>
    </row>
    <row r="24" spans="1:26" s="24" customFormat="1" hidden="1" outlineLevel="2" x14ac:dyDescent="0.25">
      <c r="A24" s="27"/>
      <c r="B24" s="12" t="str">
        <f>CONCATENATE("          ", "6114", " - ", "STATE UNEMPLOYMENT INSURANCE")</f>
        <v xml:space="preserve">          6114 - STATE UNEMPLOYMENT INSURANCE</v>
      </c>
      <c r="C24" s="12"/>
      <c r="D24" s="7"/>
      <c r="E24" s="3"/>
      <c r="F24" s="8">
        <f t="shared" si="8"/>
        <v>0</v>
      </c>
      <c r="G24" s="3"/>
      <c r="H24" s="7">
        <v>0</v>
      </c>
      <c r="I24" s="3"/>
      <c r="J24" s="8">
        <f t="shared" si="9"/>
        <v>0</v>
      </c>
      <c r="K24" s="3"/>
      <c r="L24" s="7">
        <f t="shared" si="10"/>
        <v>0</v>
      </c>
      <c r="M24" s="3"/>
      <c r="N24" s="8">
        <f t="shared" si="11"/>
        <v>0</v>
      </c>
      <c r="O24" s="12"/>
      <c r="P24" s="7"/>
      <c r="Q24" s="3"/>
      <c r="R24" s="8">
        <f t="shared" si="12"/>
        <v>0</v>
      </c>
      <c r="S24" s="3"/>
      <c r="T24" s="7">
        <v>0</v>
      </c>
      <c r="U24" s="3"/>
      <c r="V24" s="8">
        <f t="shared" si="13"/>
        <v>0</v>
      </c>
      <c r="W24" s="3"/>
      <c r="X24" s="7">
        <f t="shared" si="14"/>
        <v>0</v>
      </c>
      <c r="Y24" s="3"/>
      <c r="Z24" s="8">
        <f t="shared" si="15"/>
        <v>0</v>
      </c>
    </row>
    <row r="25" spans="1:26" s="24" customFormat="1" hidden="1" outlineLevel="2" x14ac:dyDescent="0.25">
      <c r="A25" s="27"/>
      <c r="B25" s="12" t="str">
        <f>CONCATENATE("          ", "6115", " - ", "P.E.R.S.")</f>
        <v xml:space="preserve">          6115 - P.E.R.S.</v>
      </c>
      <c r="C25" s="12"/>
      <c r="D25" s="7">
        <v>321.57</v>
      </c>
      <c r="E25" s="3"/>
      <c r="F25" s="8">
        <f t="shared" si="8"/>
        <v>0</v>
      </c>
      <c r="G25" s="3"/>
      <c r="H25" s="7">
        <v>0</v>
      </c>
      <c r="I25" s="3"/>
      <c r="J25" s="8">
        <f t="shared" si="9"/>
        <v>0</v>
      </c>
      <c r="K25" s="3"/>
      <c r="L25" s="7">
        <f t="shared" si="10"/>
        <v>321.57</v>
      </c>
      <c r="M25" s="3"/>
      <c r="N25" s="8">
        <f t="shared" si="11"/>
        <v>0</v>
      </c>
      <c r="O25" s="12"/>
      <c r="P25" s="7">
        <v>321.57</v>
      </c>
      <c r="Q25" s="3"/>
      <c r="R25" s="8">
        <f t="shared" si="12"/>
        <v>0</v>
      </c>
      <c r="S25" s="3"/>
      <c r="T25" s="7">
        <v>0</v>
      </c>
      <c r="U25" s="3"/>
      <c r="V25" s="8">
        <f t="shared" si="13"/>
        <v>0</v>
      </c>
      <c r="W25" s="3"/>
      <c r="X25" s="7">
        <f t="shared" si="14"/>
        <v>321.57</v>
      </c>
      <c r="Y25" s="3"/>
      <c r="Z25" s="8">
        <f t="shared" si="15"/>
        <v>0</v>
      </c>
    </row>
    <row r="26" spans="1:26" s="24" customFormat="1" hidden="1" outlineLevel="2" x14ac:dyDescent="0.25">
      <c r="A26" s="27"/>
      <c r="B26" s="12" t="str">
        <f>CONCATENATE("          ", "6116", " - ", "EDUCATIONAL BENEFITS")</f>
        <v xml:space="preserve">          6116 - EDUCATIONAL BENEFITS</v>
      </c>
      <c r="C26" s="12"/>
      <c r="D26" s="7"/>
      <c r="E26" s="3"/>
      <c r="F26" s="8">
        <f t="shared" si="8"/>
        <v>0</v>
      </c>
      <c r="G26" s="3"/>
      <c r="H26" s="7">
        <v>0</v>
      </c>
      <c r="I26" s="3"/>
      <c r="J26" s="8">
        <f t="shared" si="9"/>
        <v>0</v>
      </c>
      <c r="K26" s="3"/>
      <c r="L26" s="7">
        <f t="shared" si="10"/>
        <v>0</v>
      </c>
      <c r="M26" s="3"/>
      <c r="N26" s="8">
        <f t="shared" si="11"/>
        <v>0</v>
      </c>
      <c r="O26" s="12"/>
      <c r="P26" s="7"/>
      <c r="Q26" s="3"/>
      <c r="R26" s="8">
        <f t="shared" si="12"/>
        <v>0</v>
      </c>
      <c r="S26" s="3"/>
      <c r="T26" s="7">
        <v>0</v>
      </c>
      <c r="U26" s="3"/>
      <c r="V26" s="8">
        <f t="shared" si="13"/>
        <v>0</v>
      </c>
      <c r="W26" s="3"/>
      <c r="X26" s="7">
        <f t="shared" si="14"/>
        <v>0</v>
      </c>
      <c r="Y26" s="3"/>
      <c r="Z26" s="8">
        <f t="shared" si="15"/>
        <v>0</v>
      </c>
    </row>
    <row r="27" spans="1:26" s="24" customFormat="1" hidden="1" outlineLevel="2" x14ac:dyDescent="0.25">
      <c r="A27" s="27"/>
      <c r="B27" s="12" t="str">
        <f>CONCATENATE("          ", "6118", " - ", "VACATION")</f>
        <v xml:space="preserve">          6118 - VACATION</v>
      </c>
      <c r="C27" s="12"/>
      <c r="D27" s="7">
        <v>239.72</v>
      </c>
      <c r="E27" s="3"/>
      <c r="F27" s="8">
        <f t="shared" si="8"/>
        <v>0</v>
      </c>
      <c r="G27" s="3"/>
      <c r="H27" s="7">
        <v>0</v>
      </c>
      <c r="I27" s="3"/>
      <c r="J27" s="8">
        <f t="shared" si="9"/>
        <v>0</v>
      </c>
      <c r="K27" s="3"/>
      <c r="L27" s="7">
        <f t="shared" si="10"/>
        <v>239.72</v>
      </c>
      <c r="M27" s="3"/>
      <c r="N27" s="8">
        <f t="shared" si="11"/>
        <v>0</v>
      </c>
      <c r="O27" s="12"/>
      <c r="P27" s="7">
        <v>239.72</v>
      </c>
      <c r="Q27" s="3"/>
      <c r="R27" s="8">
        <f t="shared" si="12"/>
        <v>0</v>
      </c>
      <c r="S27" s="3"/>
      <c r="T27" s="7">
        <v>0</v>
      </c>
      <c r="U27" s="3"/>
      <c r="V27" s="8">
        <f t="shared" si="13"/>
        <v>0</v>
      </c>
      <c r="W27" s="3"/>
      <c r="X27" s="7">
        <f t="shared" si="14"/>
        <v>239.72</v>
      </c>
      <c r="Y27" s="3"/>
      <c r="Z27" s="8">
        <f t="shared" si="15"/>
        <v>0</v>
      </c>
    </row>
    <row r="28" spans="1:26" s="24" customFormat="1" hidden="1" outlineLevel="2" x14ac:dyDescent="0.25">
      <c r="A28" s="27"/>
      <c r="B28" s="12" t="str">
        <f>CONCATENATE("          ", "6119", " - ", "SICK LEAVE")</f>
        <v xml:space="preserve">          6119 - SICK LEAVE</v>
      </c>
      <c r="C28" s="12"/>
      <c r="D28" s="7">
        <v>191.88</v>
      </c>
      <c r="E28" s="3"/>
      <c r="F28" s="8">
        <f t="shared" si="8"/>
        <v>0</v>
      </c>
      <c r="G28" s="3"/>
      <c r="H28" s="7">
        <v>0</v>
      </c>
      <c r="I28" s="3"/>
      <c r="J28" s="8">
        <f t="shared" si="9"/>
        <v>0</v>
      </c>
      <c r="K28" s="3"/>
      <c r="L28" s="7">
        <f t="shared" si="10"/>
        <v>191.88</v>
      </c>
      <c r="M28" s="3"/>
      <c r="N28" s="8">
        <f t="shared" si="11"/>
        <v>0</v>
      </c>
      <c r="O28" s="12"/>
      <c r="P28" s="7">
        <v>191.88</v>
      </c>
      <c r="Q28" s="3"/>
      <c r="R28" s="8">
        <f t="shared" si="12"/>
        <v>0</v>
      </c>
      <c r="S28" s="3"/>
      <c r="T28" s="7">
        <v>0</v>
      </c>
      <c r="U28" s="3"/>
      <c r="V28" s="8">
        <f t="shared" si="13"/>
        <v>0</v>
      </c>
      <c r="W28" s="3"/>
      <c r="X28" s="7">
        <f t="shared" si="14"/>
        <v>191.88</v>
      </c>
      <c r="Y28" s="3"/>
      <c r="Z28" s="8">
        <f t="shared" si="15"/>
        <v>0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2080</v>
      </c>
      <c r="E29" s="1"/>
      <c r="F29" s="5">
        <f t="shared" ref="F29:F39" si="16">IF(D$12=0,0,D29/D$12)</f>
        <v>0</v>
      </c>
      <c r="G29" s="1"/>
      <c r="H29" s="1">
        <f>SUM(OSRRefH22_1x_0)</f>
        <v>0</v>
      </c>
      <c r="I29" s="1"/>
      <c r="J29" s="5">
        <f t="shared" ref="J29:J39" si="17">IF(H$12=0,0,H29/H$12)</f>
        <v>0</v>
      </c>
      <c r="K29" s="1"/>
      <c r="L29" s="1">
        <f t="shared" ref="L29:L39" si="18">+D29-H29</f>
        <v>2080</v>
      </c>
      <c r="M29" s="1"/>
      <c r="N29" s="5">
        <f t="shared" ref="N29:N39" si="19">IF(H29=0,0,L29/H29)</f>
        <v>0</v>
      </c>
      <c r="O29" s="14"/>
      <c r="P29" s="1">
        <f>SUM(OSRRefP22_1x_0)</f>
        <v>2080</v>
      </c>
      <c r="Q29" s="1"/>
      <c r="R29" s="5">
        <f t="shared" ref="R29:R39" si="20">IF(P$12=0,0,P29/P$12)</f>
        <v>0</v>
      </c>
      <c r="S29" s="1"/>
      <c r="T29" s="1">
        <f>SUM(OSRRefT22_1x_0)</f>
        <v>0</v>
      </c>
      <c r="U29" s="1"/>
      <c r="V29" s="5">
        <f t="shared" ref="V29:V39" si="21">IF(T$12=0,0,T29/T$12)</f>
        <v>0</v>
      </c>
      <c r="W29" s="1"/>
      <c r="X29" s="1">
        <f t="shared" ref="X29:X39" si="22">+P29-T29</f>
        <v>2080</v>
      </c>
      <c r="Y29" s="1"/>
      <c r="Z29" s="5">
        <f t="shared" ref="Z29:Z39" si="23">IF(T29=0,0,X29/T29)</f>
        <v>0</v>
      </c>
    </row>
    <row r="30" spans="1:26" s="24" customFormat="1" hidden="1" outlineLevel="2" x14ac:dyDescent="0.25">
      <c r="A30" s="27"/>
      <c r="B30" s="12" t="str">
        <f>CONCATENATE("          ", "6001", " - ", "ADMINISTRATIVE SALARIES")</f>
        <v xml:space="preserve">          6001 - ADMINISTRATIVE SALARIES</v>
      </c>
      <c r="C30" s="12"/>
      <c r="D30" s="7"/>
      <c r="E30" s="3"/>
      <c r="F30" s="8">
        <f t="shared" si="16"/>
        <v>0</v>
      </c>
      <c r="G30" s="3"/>
      <c r="H30" s="7">
        <v>0</v>
      </c>
      <c r="I30" s="3"/>
      <c r="J30" s="8">
        <f t="shared" si="17"/>
        <v>0</v>
      </c>
      <c r="K30" s="3"/>
      <c r="L30" s="7">
        <f t="shared" si="18"/>
        <v>0</v>
      </c>
      <c r="M30" s="3"/>
      <c r="N30" s="8">
        <f t="shared" si="19"/>
        <v>0</v>
      </c>
      <c r="O30" s="12"/>
      <c r="P30" s="7"/>
      <c r="Q30" s="3"/>
      <c r="R30" s="8">
        <f t="shared" si="20"/>
        <v>0</v>
      </c>
      <c r="S30" s="3"/>
      <c r="T30" s="7">
        <v>0</v>
      </c>
      <c r="U30" s="3"/>
      <c r="V30" s="8">
        <f t="shared" si="21"/>
        <v>0</v>
      </c>
      <c r="W30" s="3"/>
      <c r="X30" s="7">
        <f t="shared" si="22"/>
        <v>0</v>
      </c>
      <c r="Y30" s="3"/>
      <c r="Z30" s="8">
        <f t="shared" si="23"/>
        <v>0</v>
      </c>
    </row>
    <row r="31" spans="1:26" s="24" customFormat="1" hidden="1" outlineLevel="2" x14ac:dyDescent="0.25">
      <c r="A31" s="27"/>
      <c r="B31" s="12" t="str">
        <f>CONCATENATE("          ", "6002", " - ", "STAFF SALARIES")</f>
        <v xml:space="preserve">          6002 - STAFF SALARIES</v>
      </c>
      <c r="C31" s="12"/>
      <c r="D31" s="7">
        <v>2080</v>
      </c>
      <c r="E31" s="3"/>
      <c r="F31" s="8">
        <f t="shared" si="16"/>
        <v>0</v>
      </c>
      <c r="G31" s="3"/>
      <c r="H31" s="7">
        <v>0</v>
      </c>
      <c r="I31" s="3"/>
      <c r="J31" s="8">
        <f t="shared" si="17"/>
        <v>0</v>
      </c>
      <c r="K31" s="3"/>
      <c r="L31" s="7">
        <f t="shared" si="18"/>
        <v>2080</v>
      </c>
      <c r="M31" s="3"/>
      <c r="N31" s="8">
        <f t="shared" si="19"/>
        <v>0</v>
      </c>
      <c r="O31" s="12"/>
      <c r="P31" s="7">
        <v>2080</v>
      </c>
      <c r="Q31" s="3"/>
      <c r="R31" s="8">
        <f t="shared" si="20"/>
        <v>0</v>
      </c>
      <c r="S31" s="3"/>
      <c r="T31" s="7">
        <v>0</v>
      </c>
      <c r="U31" s="3"/>
      <c r="V31" s="8">
        <f t="shared" si="21"/>
        <v>0</v>
      </c>
      <c r="W31" s="3"/>
      <c r="X31" s="7">
        <f t="shared" si="22"/>
        <v>2080</v>
      </c>
      <c r="Y31" s="3"/>
      <c r="Z31" s="8">
        <f t="shared" si="23"/>
        <v>0</v>
      </c>
    </row>
    <row r="32" spans="1:26" s="24" customFormat="1" hidden="1" outlineLevel="2" x14ac:dyDescent="0.25">
      <c r="A32" s="27"/>
      <c r="B32" s="12" t="str">
        <f>CONCATENATE("          ", "6003", " - ", "STAFF HOURLY-9 MONTH")</f>
        <v xml:space="preserve">          6003 - STAFF HOURLY-9 MONTH</v>
      </c>
      <c r="C32" s="12"/>
      <c r="D32" s="7"/>
      <c r="E32" s="3"/>
      <c r="F32" s="8">
        <f t="shared" si="16"/>
        <v>0</v>
      </c>
      <c r="G32" s="3"/>
      <c r="H32" s="7">
        <v>0</v>
      </c>
      <c r="I32" s="3"/>
      <c r="J32" s="8">
        <f t="shared" si="17"/>
        <v>0</v>
      </c>
      <c r="K32" s="3"/>
      <c r="L32" s="7">
        <f t="shared" si="18"/>
        <v>0</v>
      </c>
      <c r="M32" s="3"/>
      <c r="N32" s="8">
        <f t="shared" si="19"/>
        <v>0</v>
      </c>
      <c r="O32" s="12"/>
      <c r="P32" s="7"/>
      <c r="Q32" s="3"/>
      <c r="R32" s="8">
        <f t="shared" si="20"/>
        <v>0</v>
      </c>
      <c r="S32" s="3"/>
      <c r="T32" s="7">
        <v>0</v>
      </c>
      <c r="U32" s="3"/>
      <c r="V32" s="8">
        <f t="shared" si="21"/>
        <v>0</v>
      </c>
      <c r="W32" s="3"/>
      <c r="X32" s="7">
        <f t="shared" si="22"/>
        <v>0</v>
      </c>
      <c r="Y32" s="3"/>
      <c r="Z32" s="8">
        <f t="shared" si="23"/>
        <v>0</v>
      </c>
    </row>
    <row r="33" spans="1:26" s="24" customFormat="1" hidden="1" outlineLevel="2" x14ac:dyDescent="0.25">
      <c r="A33" s="27"/>
      <c r="B33" s="12" t="str">
        <f>CONCATENATE("          ", "6004", " - ", "STAFF HOURLY")</f>
        <v xml:space="preserve">          6004 - STAFF HOURLY</v>
      </c>
      <c r="C33" s="12"/>
      <c r="D33" s="7"/>
      <c r="E33" s="3"/>
      <c r="F33" s="8">
        <f t="shared" si="16"/>
        <v>0</v>
      </c>
      <c r="G33" s="3"/>
      <c r="H33" s="7">
        <v>0</v>
      </c>
      <c r="I33" s="3"/>
      <c r="J33" s="8">
        <f t="shared" si="17"/>
        <v>0</v>
      </c>
      <c r="K33" s="3"/>
      <c r="L33" s="7">
        <f t="shared" si="18"/>
        <v>0</v>
      </c>
      <c r="M33" s="3"/>
      <c r="N33" s="8">
        <f t="shared" si="19"/>
        <v>0</v>
      </c>
      <c r="O33" s="12"/>
      <c r="P33" s="7"/>
      <c r="Q33" s="3"/>
      <c r="R33" s="8">
        <f t="shared" si="20"/>
        <v>0</v>
      </c>
      <c r="S33" s="3"/>
      <c r="T33" s="7">
        <v>0</v>
      </c>
      <c r="U33" s="3"/>
      <c r="V33" s="8">
        <f t="shared" si="21"/>
        <v>0</v>
      </c>
      <c r="W33" s="3"/>
      <c r="X33" s="7">
        <f t="shared" si="22"/>
        <v>0</v>
      </c>
      <c r="Y33" s="3"/>
      <c r="Z33" s="8">
        <f t="shared" si="23"/>
        <v>0</v>
      </c>
    </row>
    <row r="34" spans="1:26" s="24" customFormat="1" hidden="1" outlineLevel="2" x14ac:dyDescent="0.25">
      <c r="A34" s="27"/>
      <c r="B34" s="12" t="str">
        <f>CONCATENATE("          ", "6005", " - ", "TEMPORARY WAGES-HOURLY")</f>
        <v xml:space="preserve">          6005 - TEMPORARY WAGES-HOURLY</v>
      </c>
      <c r="C34" s="12"/>
      <c r="D34" s="7"/>
      <c r="E34" s="3"/>
      <c r="F34" s="8">
        <f t="shared" si="16"/>
        <v>0</v>
      </c>
      <c r="G34" s="3"/>
      <c r="H34" s="7">
        <v>0</v>
      </c>
      <c r="I34" s="3"/>
      <c r="J34" s="8">
        <f t="shared" si="17"/>
        <v>0</v>
      </c>
      <c r="K34" s="3"/>
      <c r="L34" s="7">
        <f t="shared" si="18"/>
        <v>0</v>
      </c>
      <c r="M34" s="3"/>
      <c r="N34" s="8">
        <f t="shared" si="19"/>
        <v>0</v>
      </c>
      <c r="O34" s="12"/>
      <c r="P34" s="7"/>
      <c r="Q34" s="3"/>
      <c r="R34" s="8">
        <f t="shared" si="20"/>
        <v>0</v>
      </c>
      <c r="S34" s="3"/>
      <c r="T34" s="7">
        <v>0</v>
      </c>
      <c r="U34" s="3"/>
      <c r="V34" s="8">
        <f t="shared" si="21"/>
        <v>0</v>
      </c>
      <c r="W34" s="3"/>
      <c r="X34" s="7">
        <f t="shared" si="22"/>
        <v>0</v>
      </c>
      <c r="Y34" s="3"/>
      <c r="Z34" s="8">
        <f t="shared" si="23"/>
        <v>0</v>
      </c>
    </row>
    <row r="35" spans="1:26" s="24" customFormat="1" hidden="1" outlineLevel="2" x14ac:dyDescent="0.25">
      <c r="A35" s="27"/>
      <c r="B35" s="12" t="str">
        <f>CONCATENATE("          ", "6006", " - ", "TEMPORARY PART TIME")</f>
        <v xml:space="preserve">          6006 - TEMPORARY PART TIME</v>
      </c>
      <c r="C35" s="12"/>
      <c r="D35" s="7"/>
      <c r="E35" s="3"/>
      <c r="F35" s="8">
        <f t="shared" si="16"/>
        <v>0</v>
      </c>
      <c r="G35" s="3"/>
      <c r="H35" s="7">
        <v>0</v>
      </c>
      <c r="I35" s="3"/>
      <c r="J35" s="8">
        <f t="shared" si="17"/>
        <v>0</v>
      </c>
      <c r="K35" s="3"/>
      <c r="L35" s="7">
        <f t="shared" si="18"/>
        <v>0</v>
      </c>
      <c r="M35" s="3"/>
      <c r="N35" s="8">
        <f t="shared" si="19"/>
        <v>0</v>
      </c>
      <c r="O35" s="12"/>
      <c r="P35" s="7"/>
      <c r="Q35" s="3"/>
      <c r="R35" s="8">
        <f t="shared" si="20"/>
        <v>0</v>
      </c>
      <c r="S35" s="3"/>
      <c r="T35" s="7">
        <v>0</v>
      </c>
      <c r="U35" s="3"/>
      <c r="V35" s="8">
        <f t="shared" si="21"/>
        <v>0</v>
      </c>
      <c r="W35" s="3"/>
      <c r="X35" s="7">
        <f t="shared" si="22"/>
        <v>0</v>
      </c>
      <c r="Y35" s="3"/>
      <c r="Z35" s="8">
        <f t="shared" si="23"/>
        <v>0</v>
      </c>
    </row>
    <row r="36" spans="1:26" s="24" customFormat="1" hidden="1" outlineLevel="2" x14ac:dyDescent="0.25">
      <c r="A36" s="27"/>
      <c r="B36" s="12" t="str">
        <f>CONCATENATE("          ", "6007", " - ", "STUDENT HOURLY")</f>
        <v xml:space="preserve">          6007 - STUDENT HOURLY</v>
      </c>
      <c r="C36" s="12"/>
      <c r="D36" s="7"/>
      <c r="E36" s="3"/>
      <c r="F36" s="8">
        <f t="shared" si="16"/>
        <v>0</v>
      </c>
      <c r="G36" s="3"/>
      <c r="H36" s="7">
        <v>0</v>
      </c>
      <c r="I36" s="3"/>
      <c r="J36" s="8">
        <f t="shared" si="17"/>
        <v>0</v>
      </c>
      <c r="K36" s="3"/>
      <c r="L36" s="7">
        <f t="shared" si="18"/>
        <v>0</v>
      </c>
      <c r="M36" s="3"/>
      <c r="N36" s="8">
        <f t="shared" si="19"/>
        <v>0</v>
      </c>
      <c r="O36" s="12"/>
      <c r="P36" s="7"/>
      <c r="Q36" s="3"/>
      <c r="R36" s="8">
        <f t="shared" si="20"/>
        <v>0</v>
      </c>
      <c r="S36" s="3"/>
      <c r="T36" s="7">
        <v>0</v>
      </c>
      <c r="U36" s="3"/>
      <c r="V36" s="8">
        <f t="shared" si="21"/>
        <v>0</v>
      </c>
      <c r="W36" s="3"/>
      <c r="X36" s="7">
        <f t="shared" si="22"/>
        <v>0</v>
      </c>
      <c r="Y36" s="3"/>
      <c r="Z36" s="8">
        <f t="shared" si="23"/>
        <v>0</v>
      </c>
    </row>
    <row r="37" spans="1:26" s="24" customFormat="1" hidden="1" outlineLevel="2" x14ac:dyDescent="0.25">
      <c r="A37" s="27"/>
      <c r="B37" s="12" t="str">
        <f>CONCATENATE("          ", "6008", " - ", "STUDENT HOURLY-FICA EXEMPT")</f>
        <v xml:space="preserve">          6008 - STUDENT HOURLY-FICA EXEMPT</v>
      </c>
      <c r="C37" s="12"/>
      <c r="D37" s="7"/>
      <c r="E37" s="3"/>
      <c r="F37" s="8">
        <f t="shared" si="16"/>
        <v>0</v>
      </c>
      <c r="G37" s="3"/>
      <c r="H37" s="7">
        <v>0</v>
      </c>
      <c r="I37" s="3"/>
      <c r="J37" s="8">
        <f t="shared" si="17"/>
        <v>0</v>
      </c>
      <c r="K37" s="3"/>
      <c r="L37" s="7">
        <f t="shared" si="18"/>
        <v>0</v>
      </c>
      <c r="M37" s="3"/>
      <c r="N37" s="8">
        <f t="shared" si="19"/>
        <v>0</v>
      </c>
      <c r="O37" s="12"/>
      <c r="P37" s="7"/>
      <c r="Q37" s="3"/>
      <c r="R37" s="8">
        <f t="shared" si="20"/>
        <v>0</v>
      </c>
      <c r="S37" s="3"/>
      <c r="T37" s="7">
        <v>0</v>
      </c>
      <c r="U37" s="3"/>
      <c r="V37" s="8">
        <f t="shared" si="21"/>
        <v>0</v>
      </c>
      <c r="W37" s="3"/>
      <c r="X37" s="7">
        <f t="shared" si="22"/>
        <v>0</v>
      </c>
      <c r="Y37" s="3"/>
      <c r="Z37" s="8">
        <f t="shared" si="23"/>
        <v>0</v>
      </c>
    </row>
    <row r="38" spans="1:26" s="24" customFormat="1" hidden="1" outlineLevel="2" x14ac:dyDescent="0.25">
      <c r="A38" s="27"/>
      <c r="B38" s="12" t="str">
        <f>CONCATENATE("          ", "6009", " - ", "TEMPORARY-SEASONAL")</f>
        <v xml:space="preserve">          6009 - TEMPORARY-SEASONAL</v>
      </c>
      <c r="C38" s="12"/>
      <c r="D38" s="7"/>
      <c r="E38" s="3"/>
      <c r="F38" s="8">
        <f t="shared" si="16"/>
        <v>0</v>
      </c>
      <c r="G38" s="3"/>
      <c r="H38" s="7">
        <v>0</v>
      </c>
      <c r="I38" s="3"/>
      <c r="J38" s="8">
        <f t="shared" si="17"/>
        <v>0</v>
      </c>
      <c r="K38" s="3"/>
      <c r="L38" s="7">
        <f t="shared" si="18"/>
        <v>0</v>
      </c>
      <c r="M38" s="3"/>
      <c r="N38" s="8">
        <f t="shared" si="19"/>
        <v>0</v>
      </c>
      <c r="O38" s="12"/>
      <c r="P38" s="7"/>
      <c r="Q38" s="3"/>
      <c r="R38" s="8">
        <f t="shared" si="20"/>
        <v>0</v>
      </c>
      <c r="S38" s="3"/>
      <c r="T38" s="7">
        <v>0</v>
      </c>
      <c r="U38" s="3"/>
      <c r="V38" s="8">
        <f t="shared" si="21"/>
        <v>0</v>
      </c>
      <c r="W38" s="3"/>
      <c r="X38" s="7">
        <f t="shared" si="22"/>
        <v>0</v>
      </c>
      <c r="Y38" s="3"/>
      <c r="Z38" s="8">
        <f t="shared" si="23"/>
        <v>0</v>
      </c>
    </row>
    <row r="39" spans="1:26" s="24" customFormat="1" hidden="1" outlineLevel="2" x14ac:dyDescent="0.25">
      <c r="A39" s="27"/>
      <c r="B39" s="12" t="str">
        <f>CONCATENATE("          ", "6010", " - ", "GRATUITY")</f>
        <v xml:space="preserve">          6010 - GRATUITY</v>
      </c>
      <c r="C39" s="12"/>
      <c r="D39" s="7"/>
      <c r="E39" s="3"/>
      <c r="F39" s="8">
        <f t="shared" si="16"/>
        <v>0</v>
      </c>
      <c r="G39" s="3"/>
      <c r="H39" s="7">
        <v>0</v>
      </c>
      <c r="I39" s="3"/>
      <c r="J39" s="8">
        <f t="shared" si="17"/>
        <v>0</v>
      </c>
      <c r="K39" s="3"/>
      <c r="L39" s="7">
        <f t="shared" si="18"/>
        <v>0</v>
      </c>
      <c r="M39" s="3"/>
      <c r="N39" s="8">
        <f t="shared" si="19"/>
        <v>0</v>
      </c>
      <c r="O39" s="12"/>
      <c r="P39" s="7"/>
      <c r="Q39" s="3"/>
      <c r="R39" s="8">
        <f t="shared" si="20"/>
        <v>0</v>
      </c>
      <c r="S39" s="3"/>
      <c r="T39" s="7">
        <v>0</v>
      </c>
      <c r="U39" s="3"/>
      <c r="V39" s="8">
        <f t="shared" si="21"/>
        <v>0</v>
      </c>
      <c r="W39" s="3"/>
      <c r="X39" s="7">
        <f t="shared" si="22"/>
        <v>0</v>
      </c>
      <c r="Y39" s="3"/>
      <c r="Z39" s="8">
        <f t="shared" si="23"/>
        <v>0</v>
      </c>
    </row>
    <row r="40" spans="1:26" s="29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6" si="24">IF(D$12=0,0,D40/D$12)</f>
        <v>0</v>
      </c>
      <c r="G40" s="1"/>
      <c r="H40" s="1">
        <f>SUM(OSRRefH22_2x_0)</f>
        <v>0</v>
      </c>
      <c r="I40" s="1"/>
      <c r="J40" s="5">
        <f t="shared" ref="J40:J56" si="25">IF(H$12=0,0,H40/H$12)</f>
        <v>0</v>
      </c>
      <c r="K40" s="1"/>
      <c r="L40" s="1">
        <f t="shared" ref="L40:L56" si="26">+D40-H40</f>
        <v>0</v>
      </c>
      <c r="M40" s="1"/>
      <c r="N40" s="5">
        <f t="shared" ref="N40:N56" si="27">IF(H40=0,0,L40/H40)</f>
        <v>0</v>
      </c>
      <c r="O40" s="14"/>
      <c r="P40" s="1">
        <f>SUM(OSRRefP22_2x_0)</f>
        <v>0</v>
      </c>
      <c r="Q40" s="1"/>
      <c r="R40" s="5">
        <f t="shared" ref="R40:R56" si="28">IF(P$12=0,0,P40/P$12)</f>
        <v>0</v>
      </c>
      <c r="S40" s="1"/>
      <c r="T40" s="1">
        <f>SUM(OSRRefT22_2x_0)</f>
        <v>0</v>
      </c>
      <c r="U40" s="1"/>
      <c r="V40" s="5">
        <f t="shared" ref="V40:V56" si="29">IF(T$12=0,0,T40/T$12)</f>
        <v>0</v>
      </c>
      <c r="W40" s="1"/>
      <c r="X40" s="1">
        <f t="shared" ref="X40:X56" si="30">+P40-T40</f>
        <v>0</v>
      </c>
      <c r="Y40" s="1"/>
      <c r="Z40" s="5">
        <f t="shared" ref="Z40:Z56" si="31">IF(T40=0,0,X40/T40)</f>
        <v>0</v>
      </c>
    </row>
    <row r="41" spans="1:26" s="24" customFormat="1" hidden="1" outlineLevel="2" x14ac:dyDescent="0.25">
      <c r="A41" s="27"/>
      <c r="B41" s="12" t="str">
        <f>CONCATENATE("          ", "6362", " - ", "ADVERTISING EXPENSE")</f>
        <v xml:space="preserve">          6362 - ADVERTISING EXPENSE</v>
      </c>
      <c r="C41" s="12"/>
      <c r="D41" s="7"/>
      <c r="E41" s="3"/>
      <c r="F41" s="8">
        <f t="shared" si="24"/>
        <v>0</v>
      </c>
      <c r="G41" s="3"/>
      <c r="H41" s="7">
        <v>0</v>
      </c>
      <c r="I41" s="3"/>
      <c r="J41" s="8">
        <f t="shared" si="25"/>
        <v>0</v>
      </c>
      <c r="K41" s="3"/>
      <c r="L41" s="7">
        <f t="shared" si="26"/>
        <v>0</v>
      </c>
      <c r="M41" s="3"/>
      <c r="N41" s="8">
        <f t="shared" si="27"/>
        <v>0</v>
      </c>
      <c r="O41" s="12"/>
      <c r="P41" s="7"/>
      <c r="Q41" s="3"/>
      <c r="R41" s="8">
        <f t="shared" si="28"/>
        <v>0</v>
      </c>
      <c r="S41" s="3"/>
      <c r="T41" s="7">
        <v>0</v>
      </c>
      <c r="U41" s="3"/>
      <c r="V41" s="8">
        <f t="shared" si="29"/>
        <v>0</v>
      </c>
      <c r="W41" s="3"/>
      <c r="X41" s="7">
        <f t="shared" si="30"/>
        <v>0</v>
      </c>
      <c r="Y41" s="3"/>
      <c r="Z41" s="8">
        <f t="shared" si="31"/>
        <v>0</v>
      </c>
    </row>
    <row r="42" spans="1:26" s="29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0</v>
      </c>
      <c r="E42" s="1"/>
      <c r="F42" s="5">
        <f t="shared" si="24"/>
        <v>0</v>
      </c>
      <c r="G42" s="1"/>
      <c r="H42" s="1">
        <f>SUM(OSRRefH22_3x_0)</f>
        <v>0</v>
      </c>
      <c r="I42" s="1"/>
      <c r="J42" s="5">
        <f t="shared" si="25"/>
        <v>0</v>
      </c>
      <c r="K42" s="1"/>
      <c r="L42" s="1">
        <f t="shared" si="26"/>
        <v>0</v>
      </c>
      <c r="M42" s="1"/>
      <c r="N42" s="5">
        <f t="shared" si="27"/>
        <v>0</v>
      </c>
      <c r="O42" s="14"/>
      <c r="P42" s="1">
        <f>SUM(OSRRefP22_3x_0)</f>
        <v>0</v>
      </c>
      <c r="Q42" s="1"/>
      <c r="R42" s="5">
        <f t="shared" si="28"/>
        <v>0</v>
      </c>
      <c r="S42" s="1"/>
      <c r="T42" s="1">
        <f>SUM(OSRRefT22_3x_0)</f>
        <v>0</v>
      </c>
      <c r="U42" s="1"/>
      <c r="V42" s="5">
        <f t="shared" si="29"/>
        <v>0</v>
      </c>
      <c r="W42" s="1"/>
      <c r="X42" s="1">
        <f t="shared" si="30"/>
        <v>0</v>
      </c>
      <c r="Y42" s="1"/>
      <c r="Z42" s="5">
        <f t="shared" si="31"/>
        <v>0</v>
      </c>
    </row>
    <row r="43" spans="1:26" s="24" customFormat="1" hidden="1" outlineLevel="2" x14ac:dyDescent="0.25">
      <c r="A43" s="27"/>
      <c r="B43" s="12" t="str">
        <f>CONCATENATE("          ", "6381", " - ", "BANK/CREDIT CARD FEES")</f>
        <v xml:space="preserve">          6381 - BANK/CREDIT CARD FEES</v>
      </c>
      <c r="C43" s="12"/>
      <c r="D43" s="7"/>
      <c r="E43" s="3"/>
      <c r="F43" s="8">
        <f t="shared" si="24"/>
        <v>0</v>
      </c>
      <c r="G43" s="3"/>
      <c r="H43" s="7">
        <v>0</v>
      </c>
      <c r="I43" s="3"/>
      <c r="J43" s="8">
        <f t="shared" si="25"/>
        <v>0</v>
      </c>
      <c r="K43" s="3"/>
      <c r="L43" s="7">
        <f t="shared" si="26"/>
        <v>0</v>
      </c>
      <c r="M43" s="3"/>
      <c r="N43" s="8">
        <f t="shared" si="27"/>
        <v>0</v>
      </c>
      <c r="O43" s="12"/>
      <c r="P43" s="7"/>
      <c r="Q43" s="3"/>
      <c r="R43" s="8">
        <f t="shared" si="28"/>
        <v>0</v>
      </c>
      <c r="S43" s="3"/>
      <c r="T43" s="7">
        <v>0</v>
      </c>
      <c r="U43" s="3"/>
      <c r="V43" s="8">
        <f t="shared" si="29"/>
        <v>0</v>
      </c>
      <c r="W43" s="3"/>
      <c r="X43" s="7">
        <f t="shared" si="30"/>
        <v>0</v>
      </c>
      <c r="Y43" s="3"/>
      <c r="Z43" s="8">
        <f t="shared" si="31"/>
        <v>0</v>
      </c>
    </row>
    <row r="44" spans="1:26" s="29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2017.34</v>
      </c>
      <c r="E44" s="1"/>
      <c r="F44" s="5">
        <f t="shared" si="24"/>
        <v>0</v>
      </c>
      <c r="G44" s="1"/>
      <c r="H44" s="1">
        <f>SUM(OSRRefH22_4x_0)</f>
        <v>2017</v>
      </c>
      <c r="I44" s="1"/>
      <c r="J44" s="5">
        <f t="shared" si="25"/>
        <v>0</v>
      </c>
      <c r="K44" s="1"/>
      <c r="L44" s="1">
        <f t="shared" si="26"/>
        <v>0.33999999999991815</v>
      </c>
      <c r="M44" s="1"/>
      <c r="N44" s="5">
        <f t="shared" si="27"/>
        <v>1.6856717897864064E-4</v>
      </c>
      <c r="O44" s="14"/>
      <c r="P44" s="1">
        <f>SUM(OSRRefP22_4x_0)</f>
        <v>2017.34</v>
      </c>
      <c r="Q44" s="1"/>
      <c r="R44" s="5">
        <f t="shared" si="28"/>
        <v>0</v>
      </c>
      <c r="S44" s="1"/>
      <c r="T44" s="1">
        <f>SUM(OSRRefT22_4x_0)</f>
        <v>2017</v>
      </c>
      <c r="U44" s="1"/>
      <c r="V44" s="5">
        <f t="shared" si="29"/>
        <v>0</v>
      </c>
      <c r="W44" s="1"/>
      <c r="X44" s="1">
        <f t="shared" si="30"/>
        <v>0.33999999999991815</v>
      </c>
      <c r="Y44" s="1"/>
      <c r="Z44" s="5">
        <f t="shared" si="31"/>
        <v>1.6856717897864064E-4</v>
      </c>
    </row>
    <row r="45" spans="1:26" s="24" customFormat="1" hidden="1" outlineLevel="2" x14ac:dyDescent="0.25">
      <c r="A45" s="27"/>
      <c r="B45" s="12" t="str">
        <f>CONCATENATE("          ", "6322", " - ", "EQUIPMENT DEPRECIATION EXPENSE")</f>
        <v xml:space="preserve">          6322 - EQUIPMENT DEPRECIATION EXPENSE</v>
      </c>
      <c r="C45" s="12"/>
      <c r="D45" s="7">
        <v>2017.34</v>
      </c>
      <c r="E45" s="3"/>
      <c r="F45" s="8">
        <f t="shared" si="24"/>
        <v>0</v>
      </c>
      <c r="G45" s="3"/>
      <c r="H45" s="7">
        <v>2017</v>
      </c>
      <c r="I45" s="3"/>
      <c r="J45" s="8">
        <f t="shared" si="25"/>
        <v>0</v>
      </c>
      <c r="K45" s="3"/>
      <c r="L45" s="7">
        <f t="shared" si="26"/>
        <v>0.33999999999991815</v>
      </c>
      <c r="M45" s="3"/>
      <c r="N45" s="8">
        <f t="shared" si="27"/>
        <v>1.6856717897864064E-4</v>
      </c>
      <c r="O45" s="12"/>
      <c r="P45" s="7">
        <v>2017.34</v>
      </c>
      <c r="Q45" s="3"/>
      <c r="R45" s="8">
        <f t="shared" si="28"/>
        <v>0</v>
      </c>
      <c r="S45" s="3"/>
      <c r="T45" s="7">
        <v>2017</v>
      </c>
      <c r="U45" s="3"/>
      <c r="V45" s="8">
        <f t="shared" si="29"/>
        <v>0</v>
      </c>
      <c r="W45" s="3"/>
      <c r="X45" s="7">
        <f t="shared" si="30"/>
        <v>0.33999999999991815</v>
      </c>
      <c r="Y45" s="3"/>
      <c r="Z45" s="8">
        <f t="shared" si="31"/>
        <v>1.6856717897864064E-4</v>
      </c>
    </row>
    <row r="46" spans="1:26" s="29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SUM(OSRRefD22_5x_0)</f>
        <v>0</v>
      </c>
      <c r="E46" s="1"/>
      <c r="F46" s="5">
        <f t="shared" si="24"/>
        <v>0</v>
      </c>
      <c r="G46" s="1"/>
      <c r="H46" s="1">
        <f>SUM(OSRRefH22_5x_0)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4"/>
      <c r="P46" s="1">
        <f>SUM(OSRRefP22_5x_0)</f>
        <v>0</v>
      </c>
      <c r="Q46" s="1"/>
      <c r="R46" s="5">
        <f t="shared" si="28"/>
        <v>0</v>
      </c>
      <c r="S46" s="1"/>
      <c r="T46" s="1">
        <f>SUM(OSRRefT22_5x_0)</f>
        <v>0</v>
      </c>
      <c r="U46" s="1"/>
      <c r="V46" s="5">
        <f t="shared" si="29"/>
        <v>0</v>
      </c>
      <c r="W46" s="1"/>
      <c r="X46" s="1">
        <f t="shared" si="30"/>
        <v>0</v>
      </c>
      <c r="Y46" s="1"/>
      <c r="Z46" s="5">
        <f t="shared" si="31"/>
        <v>0</v>
      </c>
    </row>
    <row r="47" spans="1:26" s="24" customFormat="1" hidden="1" outlineLevel="2" x14ac:dyDescent="0.25">
      <c r="A47" s="27"/>
      <c r="B47" s="12" t="str">
        <f>CONCATENATE("          ", "6279", " - ", "GENERAL EXPENSE")</f>
        <v xml:space="preserve">          6279 - GENERAL EXPENSE</v>
      </c>
      <c r="C47" s="12"/>
      <c r="D47" s="7"/>
      <c r="E47" s="3"/>
      <c r="F47" s="8">
        <f t="shared" si="24"/>
        <v>0</v>
      </c>
      <c r="G47" s="3"/>
      <c r="H47" s="7">
        <v>0</v>
      </c>
      <c r="I47" s="3"/>
      <c r="J47" s="8">
        <f t="shared" si="25"/>
        <v>0</v>
      </c>
      <c r="K47" s="3"/>
      <c r="L47" s="7">
        <f t="shared" si="26"/>
        <v>0</v>
      </c>
      <c r="M47" s="3"/>
      <c r="N47" s="8">
        <f t="shared" si="27"/>
        <v>0</v>
      </c>
      <c r="O47" s="12"/>
      <c r="P47" s="7"/>
      <c r="Q47" s="3"/>
      <c r="R47" s="8">
        <f t="shared" si="28"/>
        <v>0</v>
      </c>
      <c r="S47" s="3"/>
      <c r="T47" s="7">
        <v>0</v>
      </c>
      <c r="U47" s="3"/>
      <c r="V47" s="8">
        <f t="shared" si="29"/>
        <v>0</v>
      </c>
      <c r="W47" s="3"/>
      <c r="X47" s="7">
        <f t="shared" si="30"/>
        <v>0</v>
      </c>
      <c r="Y47" s="3"/>
      <c r="Z47" s="8">
        <f t="shared" si="31"/>
        <v>0</v>
      </c>
    </row>
    <row r="48" spans="1:26" s="29" customFormat="1" outlineLevel="1" collapsed="1" x14ac:dyDescent="0.25">
      <c r="A48" s="28"/>
      <c r="B48" s="14" t="str">
        <f>CONCATENATE("     ","Rent                                              ")</f>
        <v xml:space="preserve">     Rent     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7"/>
      <c r="B49" s="12" t="str">
        <f>CONCATENATE("          ", "6273", " - ", "RENT")</f>
        <v xml:space="preserve">          6273 - RENT</v>
      </c>
      <c r="C49" s="12"/>
      <c r="D49" s="7"/>
      <c r="E49" s="3"/>
      <c r="F49" s="8">
        <f t="shared" si="24"/>
        <v>0</v>
      </c>
      <c r="G49" s="3"/>
      <c r="H49" s="7">
        <v>0</v>
      </c>
      <c r="I49" s="3"/>
      <c r="J49" s="8">
        <f t="shared" si="25"/>
        <v>0</v>
      </c>
      <c r="K49" s="3"/>
      <c r="L49" s="7">
        <f t="shared" si="26"/>
        <v>0</v>
      </c>
      <c r="M49" s="3"/>
      <c r="N49" s="8">
        <f t="shared" si="27"/>
        <v>0</v>
      </c>
      <c r="O49" s="12"/>
      <c r="P49" s="7"/>
      <c r="Q49" s="3"/>
      <c r="R49" s="8">
        <f t="shared" si="28"/>
        <v>0</v>
      </c>
      <c r="S49" s="3"/>
      <c r="T49" s="7">
        <v>0</v>
      </c>
      <c r="U49" s="3"/>
      <c r="V49" s="8">
        <f t="shared" si="29"/>
        <v>0</v>
      </c>
      <c r="W49" s="3"/>
      <c r="X49" s="7">
        <f t="shared" si="30"/>
        <v>0</v>
      </c>
      <c r="Y49" s="3"/>
      <c r="Z49" s="8">
        <f t="shared" si="31"/>
        <v>0</v>
      </c>
    </row>
    <row r="50" spans="1:26" s="29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SUM(OSRRefD22_7x_0)</f>
        <v>0</v>
      </c>
      <c r="E50" s="1"/>
      <c r="F50" s="5">
        <f t="shared" si="24"/>
        <v>0</v>
      </c>
      <c r="G50" s="1"/>
      <c r="H50" s="1">
        <f>SUM(OSRRefH22_7x_0)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4"/>
      <c r="P50" s="1">
        <f>SUM(OSRRefP22_7x_0)</f>
        <v>0</v>
      </c>
      <c r="Q50" s="1"/>
      <c r="R50" s="5">
        <f t="shared" si="28"/>
        <v>0</v>
      </c>
      <c r="S50" s="1"/>
      <c r="T50" s="1">
        <f>SUM(OSRRefT22_7x_0)</f>
        <v>0</v>
      </c>
      <c r="U50" s="1"/>
      <c r="V50" s="5">
        <f t="shared" si="29"/>
        <v>0</v>
      </c>
      <c r="W50" s="1"/>
      <c r="X50" s="1">
        <f t="shared" si="30"/>
        <v>0</v>
      </c>
      <c r="Y50" s="1"/>
      <c r="Z50" s="5">
        <f t="shared" si="31"/>
        <v>0</v>
      </c>
    </row>
    <row r="51" spans="1:26" s="24" customFormat="1" hidden="1" outlineLevel="2" x14ac:dyDescent="0.25">
      <c r="A51" s="27"/>
      <c r="B51" s="12" t="str">
        <f>CONCATENATE("          ", "6375", " - ", "OUTSIDE REPAIRS &amp; MAINTENANCE")</f>
        <v xml:space="preserve">          6375 - OUTSIDE REPAIRS &amp; MAINTENANCE</v>
      </c>
      <c r="C51" s="12"/>
      <c r="D51" s="7"/>
      <c r="E51" s="3"/>
      <c r="F51" s="8">
        <f t="shared" si="24"/>
        <v>0</v>
      </c>
      <c r="G51" s="3"/>
      <c r="H51" s="7">
        <v>0</v>
      </c>
      <c r="I51" s="3"/>
      <c r="J51" s="8">
        <f t="shared" si="25"/>
        <v>0</v>
      </c>
      <c r="K51" s="3"/>
      <c r="L51" s="7">
        <f t="shared" si="26"/>
        <v>0</v>
      </c>
      <c r="M51" s="3"/>
      <c r="N51" s="8">
        <f t="shared" si="27"/>
        <v>0</v>
      </c>
      <c r="O51" s="12"/>
      <c r="P51" s="7"/>
      <c r="Q51" s="3"/>
      <c r="R51" s="8">
        <f t="shared" si="28"/>
        <v>0</v>
      </c>
      <c r="S51" s="3"/>
      <c r="T51" s="7">
        <v>0</v>
      </c>
      <c r="U51" s="3"/>
      <c r="V51" s="8">
        <f t="shared" si="29"/>
        <v>0</v>
      </c>
      <c r="W51" s="3"/>
      <c r="X51" s="7">
        <f t="shared" si="30"/>
        <v>0</v>
      </c>
      <c r="Y51" s="3"/>
      <c r="Z51" s="8">
        <f t="shared" si="31"/>
        <v>0</v>
      </c>
    </row>
    <row r="52" spans="1:26" s="29" customFormat="1" outlineLevel="1" collapsed="1" x14ac:dyDescent="0.25">
      <c r="A52" s="28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SUM(OSRRefD22_8x_0)</f>
        <v>-486.24</v>
      </c>
      <c r="E52" s="1"/>
      <c r="F52" s="5">
        <f t="shared" si="24"/>
        <v>0</v>
      </c>
      <c r="G52" s="1"/>
      <c r="H52" s="1">
        <f>SUM(OSRRefH22_8x_0)</f>
        <v>0</v>
      </c>
      <c r="I52" s="1"/>
      <c r="J52" s="5">
        <f t="shared" si="25"/>
        <v>0</v>
      </c>
      <c r="K52" s="1"/>
      <c r="L52" s="1">
        <f t="shared" si="26"/>
        <v>-486.24</v>
      </c>
      <c r="M52" s="1"/>
      <c r="N52" s="5">
        <f t="shared" si="27"/>
        <v>0</v>
      </c>
      <c r="O52" s="14"/>
      <c r="P52" s="1">
        <f>SUM(OSRRefP22_8x_0)</f>
        <v>-486.24</v>
      </c>
      <c r="Q52" s="1"/>
      <c r="R52" s="5">
        <f t="shared" si="28"/>
        <v>0</v>
      </c>
      <c r="S52" s="1"/>
      <c r="T52" s="1">
        <f>SUM(OSRRefT22_8x_0)</f>
        <v>0</v>
      </c>
      <c r="U52" s="1"/>
      <c r="V52" s="5">
        <f t="shared" si="29"/>
        <v>0</v>
      </c>
      <c r="W52" s="1"/>
      <c r="X52" s="1">
        <f t="shared" si="30"/>
        <v>-486.24</v>
      </c>
      <c r="Y52" s="1"/>
      <c r="Z52" s="5">
        <f t="shared" si="31"/>
        <v>0</v>
      </c>
    </row>
    <row r="53" spans="1:26" s="24" customFormat="1" hidden="1" outlineLevel="2" x14ac:dyDescent="0.25">
      <c r="A53" s="27"/>
      <c r="B53" s="12" t="str">
        <f>CONCATENATE("          ", "6285", " - ", "JANITORIAL SERVICES")</f>
        <v xml:space="preserve">          6285 - JANITORIAL SERVICES</v>
      </c>
      <c r="C53" s="12"/>
      <c r="D53" s="7">
        <v>-486.24</v>
      </c>
      <c r="E53" s="3"/>
      <c r="F53" s="8">
        <f t="shared" si="24"/>
        <v>0</v>
      </c>
      <c r="G53" s="3"/>
      <c r="H53" s="7">
        <v>0</v>
      </c>
      <c r="I53" s="3"/>
      <c r="J53" s="8">
        <f t="shared" si="25"/>
        <v>0</v>
      </c>
      <c r="K53" s="3"/>
      <c r="L53" s="7">
        <f t="shared" si="26"/>
        <v>-486.24</v>
      </c>
      <c r="M53" s="3"/>
      <c r="N53" s="8">
        <f t="shared" si="27"/>
        <v>0</v>
      </c>
      <c r="O53" s="12"/>
      <c r="P53" s="7">
        <v>-486.24</v>
      </c>
      <c r="Q53" s="3"/>
      <c r="R53" s="8">
        <f t="shared" si="28"/>
        <v>0</v>
      </c>
      <c r="S53" s="3"/>
      <c r="T53" s="7">
        <v>0</v>
      </c>
      <c r="U53" s="3"/>
      <c r="V53" s="8">
        <f t="shared" si="29"/>
        <v>0</v>
      </c>
      <c r="W53" s="3"/>
      <c r="X53" s="7">
        <f t="shared" si="30"/>
        <v>-486.24</v>
      </c>
      <c r="Y53" s="3"/>
      <c r="Z53" s="8">
        <f t="shared" si="31"/>
        <v>0</v>
      </c>
    </row>
    <row r="54" spans="1:26" s="29" customFormat="1" outlineLevel="1" collapsed="1" x14ac:dyDescent="0.25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SUM(OSRRefD22_9x_0)</f>
        <v>0</v>
      </c>
      <c r="E54" s="1"/>
      <c r="F54" s="5">
        <f t="shared" si="24"/>
        <v>0</v>
      </c>
      <c r="G54" s="1"/>
      <c r="H54" s="1">
        <f>SUM(OSRRefH22_9x_0)</f>
        <v>0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4"/>
      <c r="P54" s="1">
        <f>SUM(OSRRefP22_9x_0)</f>
        <v>0</v>
      </c>
      <c r="Q54" s="1"/>
      <c r="R54" s="5">
        <f t="shared" si="28"/>
        <v>0</v>
      </c>
      <c r="S54" s="1"/>
      <c r="T54" s="1">
        <f>SUM(OSRRefT22_9x_0)</f>
        <v>0</v>
      </c>
      <c r="U54" s="1"/>
      <c r="V54" s="5">
        <f t="shared" si="29"/>
        <v>0</v>
      </c>
      <c r="W54" s="1"/>
      <c r="X54" s="1">
        <f t="shared" si="30"/>
        <v>0</v>
      </c>
      <c r="Y54" s="1"/>
      <c r="Z54" s="5">
        <f t="shared" si="31"/>
        <v>0</v>
      </c>
    </row>
    <row r="55" spans="1:26" s="24" customFormat="1" hidden="1" outlineLevel="2" x14ac:dyDescent="0.25">
      <c r="A55" s="27"/>
      <c r="B55" s="12" t="str">
        <f>CONCATENATE("          ", "6235", " - ", "COVID-19 EXPENSES")</f>
        <v xml:space="preserve">          6235 - COVID-19 EXPENSES</v>
      </c>
      <c r="C55" s="12"/>
      <c r="D55" s="7"/>
      <c r="E55" s="3"/>
      <c r="F55" s="8">
        <f t="shared" si="24"/>
        <v>0</v>
      </c>
      <c r="G55" s="3"/>
      <c r="H55" s="7">
        <v>0</v>
      </c>
      <c r="I55" s="3"/>
      <c r="J55" s="8">
        <f t="shared" si="25"/>
        <v>0</v>
      </c>
      <c r="K55" s="3"/>
      <c r="L55" s="7">
        <f t="shared" si="26"/>
        <v>0</v>
      </c>
      <c r="M55" s="3"/>
      <c r="N55" s="8">
        <f t="shared" si="27"/>
        <v>0</v>
      </c>
      <c r="O55" s="12"/>
      <c r="P55" s="7"/>
      <c r="Q55" s="3"/>
      <c r="R55" s="8">
        <f t="shared" si="28"/>
        <v>0</v>
      </c>
      <c r="S55" s="3"/>
      <c r="T55" s="7">
        <v>0</v>
      </c>
      <c r="U55" s="3"/>
      <c r="V55" s="8">
        <f t="shared" si="29"/>
        <v>0</v>
      </c>
      <c r="W55" s="3"/>
      <c r="X55" s="7">
        <f t="shared" si="30"/>
        <v>0</v>
      </c>
      <c r="Y55" s="3"/>
      <c r="Z55" s="8">
        <f t="shared" si="31"/>
        <v>0</v>
      </c>
    </row>
    <row r="56" spans="1:26" s="24" customFormat="1" hidden="1" outlineLevel="2" x14ac:dyDescent="0.25">
      <c r="A56" s="27"/>
      <c r="B56" s="12" t="str">
        <f>CONCATENATE("          ", "6247", " - ", "STORE SUPPLIES")</f>
        <v xml:space="preserve">          6247 - STORE SUPPLIES</v>
      </c>
      <c r="C56" s="12"/>
      <c r="D56" s="7"/>
      <c r="E56" s="3"/>
      <c r="F56" s="8">
        <f t="shared" si="24"/>
        <v>0</v>
      </c>
      <c r="G56" s="3"/>
      <c r="H56" s="7">
        <v>0</v>
      </c>
      <c r="I56" s="3"/>
      <c r="J56" s="8">
        <f t="shared" si="25"/>
        <v>0</v>
      </c>
      <c r="K56" s="3"/>
      <c r="L56" s="7">
        <f t="shared" si="26"/>
        <v>0</v>
      </c>
      <c r="M56" s="3"/>
      <c r="N56" s="8">
        <f t="shared" si="27"/>
        <v>0</v>
      </c>
      <c r="O56" s="12"/>
      <c r="P56" s="7"/>
      <c r="Q56" s="3"/>
      <c r="R56" s="8">
        <f t="shared" si="28"/>
        <v>0</v>
      </c>
      <c r="S56" s="3"/>
      <c r="T56" s="7">
        <v>0</v>
      </c>
      <c r="U56" s="3"/>
      <c r="V56" s="8">
        <f t="shared" si="29"/>
        <v>0</v>
      </c>
      <c r="W56" s="3"/>
      <c r="X56" s="7">
        <f t="shared" si="30"/>
        <v>0</v>
      </c>
      <c r="Y56" s="3"/>
      <c r="Z56" s="8">
        <f t="shared" si="31"/>
        <v>0</v>
      </c>
    </row>
    <row r="57" spans="1:26" s="29" customFormat="1" outlineLevel="1" collapsed="1" x14ac:dyDescent="0.25">
      <c r="A57" s="28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36</v>
      </c>
      <c r="E57" s="1"/>
      <c r="F57" s="5">
        <f t="shared" ref="F57:F60" si="32">IF(D$12=0,0,D57/D$12)</f>
        <v>0</v>
      </c>
      <c r="G57" s="1"/>
      <c r="H57" s="1">
        <f>SUM(OSRRefH22_10x_0)</f>
        <v>0</v>
      </c>
      <c r="I57" s="1"/>
      <c r="J57" s="5">
        <f t="shared" ref="J57:J60" si="33">IF(H$12=0,0,H57/H$12)</f>
        <v>0</v>
      </c>
      <c r="K57" s="1"/>
      <c r="L57" s="1">
        <f t="shared" ref="L57:L60" si="34">+D57-H57</f>
        <v>36</v>
      </c>
      <c r="M57" s="1"/>
      <c r="N57" s="5">
        <f t="shared" ref="N57:N60" si="35">IF(H57=0,0,L57/H57)</f>
        <v>0</v>
      </c>
      <c r="O57" s="14"/>
      <c r="P57" s="1">
        <f>SUM(OSRRefP22_10x_0)</f>
        <v>36</v>
      </c>
      <c r="Q57" s="1"/>
      <c r="R57" s="5">
        <f t="shared" ref="R57:R60" si="36">IF(P$12=0,0,P57/P$12)</f>
        <v>0</v>
      </c>
      <c r="S57" s="1"/>
      <c r="T57" s="1">
        <f>SUM(OSRRefT22_10x_0)</f>
        <v>0</v>
      </c>
      <c r="U57" s="1"/>
      <c r="V57" s="5">
        <f t="shared" ref="V57:V60" si="37">IF(T$12=0,0,T57/T$12)</f>
        <v>0</v>
      </c>
      <c r="W57" s="1"/>
      <c r="X57" s="1">
        <f t="shared" ref="X57:X60" si="38">+P57-T57</f>
        <v>36</v>
      </c>
      <c r="Y57" s="1"/>
      <c r="Z57" s="5">
        <f t="shared" ref="Z57:Z60" si="39">IF(T57=0,0,X57/T57)</f>
        <v>0</v>
      </c>
    </row>
    <row r="58" spans="1:26" s="24" customFormat="1" hidden="1" outlineLevel="2" x14ac:dyDescent="0.25">
      <c r="A58" s="27"/>
      <c r="B58" s="12" t="str">
        <f>CONCATENATE("          ", "6309", " - ", "TELEPHONE")</f>
        <v xml:space="preserve">          6309 - TELEPHONE</v>
      </c>
      <c r="C58" s="12"/>
      <c r="D58" s="7">
        <v>36</v>
      </c>
      <c r="E58" s="3"/>
      <c r="F58" s="8">
        <f t="shared" si="32"/>
        <v>0</v>
      </c>
      <c r="G58" s="3"/>
      <c r="H58" s="7"/>
      <c r="I58" s="3"/>
      <c r="J58" s="8">
        <f t="shared" si="33"/>
        <v>0</v>
      </c>
      <c r="K58" s="3"/>
      <c r="L58" s="7">
        <f t="shared" si="34"/>
        <v>36</v>
      </c>
      <c r="M58" s="3"/>
      <c r="N58" s="8">
        <f t="shared" si="35"/>
        <v>0</v>
      </c>
      <c r="O58" s="12"/>
      <c r="P58" s="7">
        <v>36</v>
      </c>
      <c r="Q58" s="3"/>
      <c r="R58" s="8">
        <f t="shared" si="36"/>
        <v>0</v>
      </c>
      <c r="S58" s="3"/>
      <c r="T58" s="7"/>
      <c r="U58" s="3"/>
      <c r="V58" s="8">
        <f t="shared" si="37"/>
        <v>0</v>
      </c>
      <c r="W58" s="3"/>
      <c r="X58" s="7">
        <f t="shared" si="38"/>
        <v>36</v>
      </c>
      <c r="Y58" s="3"/>
      <c r="Z58" s="8">
        <f t="shared" si="39"/>
        <v>0</v>
      </c>
    </row>
    <row r="59" spans="1:26" s="29" customFormat="1" outlineLevel="1" collapsed="1" x14ac:dyDescent="0.25">
      <c r="A59" s="28"/>
      <c r="B59" s="14" t="str">
        <f>CONCATENATE("     ","Utilities                                         ")</f>
        <v xml:space="preserve">     Utilities                                         </v>
      </c>
      <c r="C59" s="14"/>
      <c r="D59" s="1">
        <f>SUM(OSRRefD22_11x_0)</f>
        <v>0</v>
      </c>
      <c r="E59" s="1"/>
      <c r="F59" s="5">
        <f t="shared" si="32"/>
        <v>0</v>
      </c>
      <c r="G59" s="1"/>
      <c r="H59" s="1">
        <f>SUM(OSRRefH22_11x_0)</f>
        <v>0</v>
      </c>
      <c r="I59" s="1"/>
      <c r="J59" s="5">
        <f t="shared" si="33"/>
        <v>0</v>
      </c>
      <c r="K59" s="1"/>
      <c r="L59" s="1">
        <f t="shared" si="34"/>
        <v>0</v>
      </c>
      <c r="M59" s="1"/>
      <c r="N59" s="5">
        <f t="shared" si="35"/>
        <v>0</v>
      </c>
      <c r="O59" s="14"/>
      <c r="P59" s="1">
        <f>SUM(OSRRefP22_11x_0)</f>
        <v>0</v>
      </c>
      <c r="Q59" s="1"/>
      <c r="R59" s="5">
        <f t="shared" si="36"/>
        <v>0</v>
      </c>
      <c r="S59" s="1"/>
      <c r="T59" s="1">
        <f>SUM(OSRRefT22_11x_0)</f>
        <v>0</v>
      </c>
      <c r="U59" s="1"/>
      <c r="V59" s="5">
        <f t="shared" si="37"/>
        <v>0</v>
      </c>
      <c r="W59" s="1"/>
      <c r="X59" s="1">
        <f t="shared" si="38"/>
        <v>0</v>
      </c>
      <c r="Y59" s="1"/>
      <c r="Z59" s="5">
        <f t="shared" si="39"/>
        <v>0</v>
      </c>
    </row>
    <row r="60" spans="1:26" s="24" customFormat="1" hidden="1" outlineLevel="2" x14ac:dyDescent="0.25">
      <c r="A60" s="27"/>
      <c r="B60" s="12" t="str">
        <f>CONCATENATE("          ", "6274", " - ", "UTILITIES")</f>
        <v xml:space="preserve">          6274 - UTILITIES</v>
      </c>
      <c r="C60" s="12"/>
      <c r="D60" s="7"/>
      <c r="E60" s="3"/>
      <c r="F60" s="8">
        <f t="shared" si="32"/>
        <v>0</v>
      </c>
      <c r="G60" s="3"/>
      <c r="H60" s="7">
        <v>0</v>
      </c>
      <c r="I60" s="3"/>
      <c r="J60" s="8">
        <f t="shared" si="33"/>
        <v>0</v>
      </c>
      <c r="K60" s="3"/>
      <c r="L60" s="7">
        <f t="shared" si="34"/>
        <v>0</v>
      </c>
      <c r="M60" s="3"/>
      <c r="N60" s="8">
        <f t="shared" si="35"/>
        <v>0</v>
      </c>
      <c r="O60" s="12"/>
      <c r="P60" s="7"/>
      <c r="Q60" s="3"/>
      <c r="R60" s="8">
        <f t="shared" si="36"/>
        <v>0</v>
      </c>
      <c r="S60" s="3"/>
      <c r="T60" s="7">
        <v>0</v>
      </c>
      <c r="U60" s="3"/>
      <c r="V60" s="8">
        <f t="shared" si="37"/>
        <v>0</v>
      </c>
      <c r="W60" s="3"/>
      <c r="X60" s="7">
        <f t="shared" si="38"/>
        <v>0</v>
      </c>
      <c r="Y60" s="3"/>
      <c r="Z60" s="8">
        <f t="shared" si="39"/>
        <v>0</v>
      </c>
    </row>
    <row r="61" spans="1:26" s="54" customFormat="1" x14ac:dyDescent="0.25">
      <c r="A61" s="36"/>
      <c r="B61" s="36"/>
      <c r="C61" s="36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6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2" customFormat="1" x14ac:dyDescent="0.25">
      <c r="A62" s="10"/>
      <c r="B62" s="26" t="s">
        <v>0</v>
      </c>
      <c r="C62" s="10"/>
      <c r="D62" s="4">
        <f>SUM(0)</f>
        <v>0</v>
      </c>
      <c r="E62" s="4"/>
      <c r="F62" s="11">
        <f>IF(D$12=0,0,D62/D$12)</f>
        <v>0</v>
      </c>
      <c r="G62" s="4"/>
      <c r="H62" s="4">
        <f>SUM(0)</f>
        <v>0</v>
      </c>
      <c r="I62" s="4"/>
      <c r="J62" s="11">
        <f>IF(H$12=0,0,H62/H$12)</f>
        <v>0</v>
      </c>
      <c r="K62" s="4"/>
      <c r="L62" s="4">
        <f>+D62-H62</f>
        <v>0</v>
      </c>
      <c r="M62" s="4"/>
      <c r="N62" s="11">
        <f>IF(H62=0,0,L62/H62)</f>
        <v>0</v>
      </c>
      <c r="O62" s="10"/>
      <c r="P62" s="4">
        <f>SUM(0)</f>
        <v>0</v>
      </c>
      <c r="Q62" s="4"/>
      <c r="R62" s="11">
        <f>IF(P$12=0,0,P62/P$12)</f>
        <v>0</v>
      </c>
      <c r="S62" s="4"/>
      <c r="T62" s="4">
        <f>SUM(0)</f>
        <v>0</v>
      </c>
      <c r="U62" s="4"/>
      <c r="V62" s="11">
        <f>IF(T$12=0,0,T62/T$12)</f>
        <v>0</v>
      </c>
      <c r="W62" s="4"/>
      <c r="X62" s="4">
        <f>+P62-T62</f>
        <v>0</v>
      </c>
      <c r="Y62" s="4"/>
      <c r="Z62" s="11">
        <f>IF(T62=0,0,X62/T62)</f>
        <v>0</v>
      </c>
    </row>
    <row r="63" spans="1:26" x14ac:dyDescent="0.25">
      <c r="A63" s="9"/>
      <c r="B63" s="10"/>
      <c r="C63" s="10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O63" s="10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2" customFormat="1" x14ac:dyDescent="0.25">
      <c r="A64" s="10"/>
      <c r="B64" s="25" t="s">
        <v>3</v>
      </c>
      <c r="C64" s="25"/>
      <c r="D64" s="21">
        <f>+D17-D19+D62</f>
        <v>-5016.2</v>
      </c>
      <c r="E64" s="13"/>
      <c r="F64" s="20">
        <f>IF(D$12=0,0,D64/D$12)</f>
        <v>0</v>
      </c>
      <c r="G64" s="13"/>
      <c r="H64" s="21">
        <f>+H17-H19+H62</f>
        <v>-2017</v>
      </c>
      <c r="I64" s="13"/>
      <c r="J64" s="20">
        <f>IF(H$12=0,0,H64/H$12)</f>
        <v>0</v>
      </c>
      <c r="K64" s="15"/>
      <c r="L64" s="21">
        <f>+D64-H64</f>
        <v>-2999.2</v>
      </c>
      <c r="M64" s="15"/>
      <c r="N64" s="20">
        <f>IF(H64=0,0,L64/H64)</f>
        <v>1.4869608329201784</v>
      </c>
      <c r="O64" s="26"/>
      <c r="P64" s="21">
        <f>+P17-P19+P62</f>
        <v>-5016.2</v>
      </c>
      <c r="Q64" s="13"/>
      <c r="R64" s="20">
        <f>IF(P$12=0,0,P64/P$12)</f>
        <v>0</v>
      </c>
      <c r="S64" s="13"/>
      <c r="T64" s="21">
        <f>+T17-T19+T62</f>
        <v>-2017</v>
      </c>
      <c r="U64" s="13"/>
      <c r="V64" s="20">
        <f>IF(T$12=0,0,T64/T$12)</f>
        <v>0</v>
      </c>
      <c r="W64" s="15"/>
      <c r="X64" s="21">
        <f>+P64-T64</f>
        <v>-2999.2</v>
      </c>
      <c r="Y64" s="15"/>
      <c r="Z64" s="20">
        <f>IF(T64=0,0,X64/T64)</f>
        <v>1.4869608329201784</v>
      </c>
    </row>
    <row r="65" spans="1:26" x14ac:dyDescent="0.25">
      <c r="A65" s="9"/>
      <c r="B65" s="10"/>
      <c r="C65" s="9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2" customFormat="1" x14ac:dyDescent="0.25">
      <c r="A66" s="52"/>
      <c r="B66" s="10" t="s">
        <v>14</v>
      </c>
      <c r="C66" s="10"/>
      <c r="D66" s="4"/>
      <c r="E66" s="4"/>
      <c r="F66" s="11">
        <f>IF(D$12=0,0,D66/D$12)</f>
        <v>0</v>
      </c>
      <c r="G66" s="4"/>
      <c r="H66" s="4"/>
      <c r="I66" s="4"/>
      <c r="J66" s="11">
        <f>IF(H$12=0,0,H66/H$12)</f>
        <v>0</v>
      </c>
      <c r="K66" s="4"/>
      <c r="L66" s="4">
        <f>+D66-H66</f>
        <v>0</v>
      </c>
      <c r="M66" s="4"/>
      <c r="N66" s="11">
        <f>IF(H66=0,0,L66/H66)</f>
        <v>0</v>
      </c>
      <c r="O66" s="10"/>
      <c r="P66" s="4"/>
      <c r="Q66" s="4"/>
      <c r="R66" s="11">
        <f>IF(P$12=0,0,P66/P$12)</f>
        <v>0</v>
      </c>
      <c r="S66" s="4"/>
      <c r="T66" s="4"/>
      <c r="U66" s="4"/>
      <c r="V66" s="11">
        <f>IF(T$12=0,0,T66/T$12)</f>
        <v>0</v>
      </c>
      <c r="W66" s="4"/>
      <c r="X66" s="4">
        <f>+P66-T66</f>
        <v>0</v>
      </c>
      <c r="Y66" s="4"/>
      <c r="Z66" s="11">
        <f>IF(T66=0,0,X66/T66)</f>
        <v>0</v>
      </c>
    </row>
    <row r="67" spans="1:26" x14ac:dyDescent="0.25">
      <c r="A67" s="9"/>
      <c r="B67" s="10"/>
      <c r="C67" s="10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10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2" customFormat="1" ht="15.75" thickBot="1" x14ac:dyDescent="0.3">
      <c r="A68" s="10"/>
      <c r="B68" s="25" t="s">
        <v>4</v>
      </c>
      <c r="C68" s="25"/>
      <c r="D68" s="34">
        <f>+D64-D66</f>
        <v>-5016.2</v>
      </c>
      <c r="E68" s="13"/>
      <c r="F68" s="30">
        <f>IF(D$12=0,0,D68/D$12)</f>
        <v>0</v>
      </c>
      <c r="G68" s="13"/>
      <c r="H68" s="34">
        <f>+H64-H66</f>
        <v>-2017</v>
      </c>
      <c r="I68" s="13"/>
      <c r="J68" s="30">
        <f>IF(H$12=0,0,H68/H$12)</f>
        <v>0</v>
      </c>
      <c r="K68" s="15"/>
      <c r="L68" s="34">
        <f>D68-H68</f>
        <v>-2999.2</v>
      </c>
      <c r="M68" s="15"/>
      <c r="N68" s="30">
        <f>IF(H68=0,0,L68/H68)</f>
        <v>1.4869608329201784</v>
      </c>
      <c r="O68" s="26"/>
      <c r="P68" s="34">
        <f>+P64-P66</f>
        <v>-5016.2</v>
      </c>
      <c r="Q68" s="13"/>
      <c r="R68" s="30">
        <f>IF(P$12=0,0,P68/P$12)</f>
        <v>0</v>
      </c>
      <c r="S68" s="13"/>
      <c r="T68" s="34">
        <f>+T64-T66</f>
        <v>-2017</v>
      </c>
      <c r="U68" s="13"/>
      <c r="V68" s="30">
        <f>IF(T$12=0,0,T68/T$12)</f>
        <v>0</v>
      </c>
      <c r="W68" s="15"/>
      <c r="X68" s="34">
        <f>P68-T68</f>
        <v>-2999.2</v>
      </c>
      <c r="Y68" s="15"/>
      <c r="Z68" s="30">
        <f>IF(T68=0,0,X68/T68)</f>
        <v>1.4869608329201784</v>
      </c>
    </row>
    <row r="69" spans="1:26" ht="15.75" thickTop="1" x14ac:dyDescent="0.25">
      <c r="A69" s="9"/>
      <c r="B69" s="9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x14ac:dyDescent="0.25">
      <c r="A70" s="9"/>
      <c r="B70" s="9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2" customFormat="1" ht="15.75" thickBot="1" x14ac:dyDescent="0.3">
      <c r="A71" s="10"/>
      <c r="B71" s="25" t="s">
        <v>5</v>
      </c>
      <c r="C71" s="25"/>
      <c r="D71" s="32">
        <f>SUM(D68:D70)</f>
        <v>-5016.2</v>
      </c>
      <c r="E71" s="13"/>
      <c r="F71" s="33">
        <f>IF(D$12=0,0,D71/D$12)</f>
        <v>0</v>
      </c>
      <c r="G71" s="13"/>
      <c r="H71" s="32">
        <f>SUM(H68:H70)</f>
        <v>-2017</v>
      </c>
      <c r="I71" s="13"/>
      <c r="J71" s="33">
        <f>IF(H$12=0,0,H71/H$12)</f>
        <v>0</v>
      </c>
      <c r="K71" s="15"/>
      <c r="L71" s="32">
        <f>+D71-H71</f>
        <v>-2999.2</v>
      </c>
      <c r="M71" s="15"/>
      <c r="N71" s="33">
        <f>IF(H71=0,0,L71/H71)</f>
        <v>1.4869608329201784</v>
      </c>
      <c r="O71" s="26"/>
      <c r="P71" s="32">
        <f>SUM(P68:P70)</f>
        <v>-5016.2</v>
      </c>
      <c r="Q71" s="13"/>
      <c r="R71" s="33">
        <f>IF(P$12=0,0,P71/P$12)</f>
        <v>0</v>
      </c>
      <c r="S71" s="13"/>
      <c r="T71" s="32">
        <f>SUM(T68:T70)</f>
        <v>-2017</v>
      </c>
      <c r="U71" s="13"/>
      <c r="V71" s="33">
        <f>IF(T$12=0,0,T71/T$12)</f>
        <v>0</v>
      </c>
      <c r="W71" s="15"/>
      <c r="X71" s="32">
        <f>+P71-T71</f>
        <v>-2999.2</v>
      </c>
      <c r="Y71" s="15"/>
      <c r="Z71" s="33">
        <f>IF(T71=0,0,X71/T71)</f>
        <v>1.4869608329201784</v>
      </c>
    </row>
    <row r="72" spans="1:26" ht="15.75" thickTop="1" x14ac:dyDescent="0.25">
      <c r="A72" s="9"/>
      <c r="C72" s="9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8">
        <v>44104.686108946757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6" t="s">
        <v>314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2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299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","325", " - ", "Outpost C-Store")</f>
        <v>Department 325 - Outpost C-Store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14436.4</v>
      </c>
      <c r="E18" s="19"/>
      <c r="F18" s="31">
        <f t="shared" ref="F18:F27" si="0">IF(D$12=0,0,D18/D$12)</f>
        <v>0</v>
      </c>
      <c r="G18" s="19"/>
      <c r="H18" s="19">
        <f>SUM(OSRRefH22x_0)</f>
        <v>21162.876</v>
      </c>
      <c r="I18" s="19"/>
      <c r="J18" s="31">
        <f t="shared" ref="J18:J27" si="1">IF(H$12=0,0,H18/H$12)</f>
        <v>0</v>
      </c>
      <c r="K18" s="4"/>
      <c r="L18" s="19">
        <f t="shared" ref="L18:L27" si="2">+D18-H18</f>
        <v>-6726.4760000000006</v>
      </c>
      <c r="M18" s="4"/>
      <c r="N18" s="31">
        <f t="shared" ref="N18:N27" si="3">IF(H18=0,0,L18/H18)</f>
        <v>-0.31784318917712323</v>
      </c>
      <c r="O18" s="10"/>
      <c r="P18" s="19">
        <f>SUM(OSRRefP22x_0)</f>
        <v>14436.4</v>
      </c>
      <c r="Q18" s="19"/>
      <c r="R18" s="31">
        <f t="shared" ref="R18:R27" si="4">IF(P$12=0,0,P18/P$12)</f>
        <v>0</v>
      </c>
      <c r="S18" s="19"/>
      <c r="T18" s="19">
        <f>SUM(OSRRefT22x_0)</f>
        <v>21162.876</v>
      </c>
      <c r="U18" s="19"/>
      <c r="V18" s="31">
        <f t="shared" ref="V18:V27" si="5">IF(T$12=0,0,T18/T$12)</f>
        <v>0</v>
      </c>
      <c r="W18" s="4"/>
      <c r="X18" s="19">
        <f t="shared" ref="X18:X27" si="6">+P18-T18</f>
        <v>-6726.4760000000006</v>
      </c>
      <c r="Y18" s="4"/>
      <c r="Z18" s="31">
        <f t="shared" ref="Z18:Z27" si="7">IF(T18=0,0,X18/T18)</f>
        <v>-0.31784318917712323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2889.72</v>
      </c>
      <c r="E19" s="1"/>
      <c r="F19" s="5">
        <f t="shared" si="0"/>
        <v>0</v>
      </c>
      <c r="G19" s="1"/>
      <c r="H19" s="1">
        <f>SUM(OSRRefH22_0x_0)</f>
        <v>3454.8759999999997</v>
      </c>
      <c r="I19" s="1"/>
      <c r="J19" s="5">
        <f t="shared" si="1"/>
        <v>0</v>
      </c>
      <c r="K19" s="1"/>
      <c r="L19" s="1">
        <f t="shared" si="2"/>
        <v>-565.15599999999995</v>
      </c>
      <c r="M19" s="1"/>
      <c r="N19" s="5">
        <f t="shared" si="3"/>
        <v>-0.16358213724602561</v>
      </c>
      <c r="O19" s="14"/>
      <c r="P19" s="1">
        <f>SUM(OSRRefP22_0x_0)</f>
        <v>2889.72</v>
      </c>
      <c r="Q19" s="1"/>
      <c r="R19" s="5">
        <f t="shared" si="4"/>
        <v>0</v>
      </c>
      <c r="S19" s="1"/>
      <c r="T19" s="1">
        <f>SUM(OSRRefT22_0x_0)</f>
        <v>3454.8759999999997</v>
      </c>
      <c r="U19" s="1"/>
      <c r="V19" s="5">
        <f t="shared" si="5"/>
        <v>0</v>
      </c>
      <c r="W19" s="1"/>
      <c r="X19" s="1">
        <f t="shared" si="6"/>
        <v>-565.15599999999995</v>
      </c>
      <c r="Y19" s="1"/>
      <c r="Z19" s="5">
        <f t="shared" si="7"/>
        <v>-0.16358213724602561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159.12</v>
      </c>
      <c r="E20" s="3"/>
      <c r="F20" s="8">
        <f t="shared" si="0"/>
        <v>0</v>
      </c>
      <c r="G20" s="3"/>
      <c r="H20" s="7">
        <v>397.95600000000002</v>
      </c>
      <c r="I20" s="3"/>
      <c r="J20" s="8">
        <f t="shared" si="1"/>
        <v>0</v>
      </c>
      <c r="K20" s="3"/>
      <c r="L20" s="7">
        <f t="shared" si="2"/>
        <v>-238.83600000000001</v>
      </c>
      <c r="M20" s="3"/>
      <c r="N20" s="8">
        <f t="shared" si="3"/>
        <v>-0.60015680125441007</v>
      </c>
      <c r="O20" s="12"/>
      <c r="P20" s="7">
        <v>159.12</v>
      </c>
      <c r="Q20" s="3"/>
      <c r="R20" s="8">
        <f t="shared" si="4"/>
        <v>0</v>
      </c>
      <c r="S20" s="3"/>
      <c r="T20" s="7">
        <v>397.95600000000002</v>
      </c>
      <c r="U20" s="3"/>
      <c r="V20" s="8">
        <f t="shared" si="5"/>
        <v>0</v>
      </c>
      <c r="W20" s="3"/>
      <c r="X20" s="7">
        <f t="shared" si="6"/>
        <v>-238.83600000000001</v>
      </c>
      <c r="Y20" s="3"/>
      <c r="Z20" s="8">
        <f t="shared" si="7"/>
        <v>-0.60015680125441007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/>
      <c r="E21" s="3"/>
      <c r="F21" s="8">
        <f t="shared" si="0"/>
        <v>0</v>
      </c>
      <c r="G21" s="3"/>
      <c r="H21" s="7">
        <v>96.2</v>
      </c>
      <c r="I21" s="3"/>
      <c r="J21" s="8">
        <f t="shared" si="1"/>
        <v>0</v>
      </c>
      <c r="K21" s="3"/>
      <c r="L21" s="7">
        <f t="shared" si="2"/>
        <v>-96.2</v>
      </c>
      <c r="M21" s="3"/>
      <c r="N21" s="8">
        <f t="shared" si="3"/>
        <v>-1</v>
      </c>
      <c r="O21" s="12"/>
      <c r="P21" s="7"/>
      <c r="Q21" s="3"/>
      <c r="R21" s="8">
        <f t="shared" si="4"/>
        <v>0</v>
      </c>
      <c r="S21" s="3"/>
      <c r="T21" s="7">
        <v>96.2</v>
      </c>
      <c r="U21" s="3"/>
      <c r="V21" s="8">
        <f t="shared" si="5"/>
        <v>0</v>
      </c>
      <c r="W21" s="3"/>
      <c r="X21" s="7">
        <f t="shared" si="6"/>
        <v>-96.2</v>
      </c>
      <c r="Y21" s="3"/>
      <c r="Z21" s="8">
        <f t="shared" si="7"/>
        <v>-1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1915.63</v>
      </c>
      <c r="E22" s="3"/>
      <c r="F22" s="8">
        <f t="shared" si="0"/>
        <v>0</v>
      </c>
      <c r="G22" s="3"/>
      <c r="H22" s="7">
        <v>1980</v>
      </c>
      <c r="I22" s="3"/>
      <c r="J22" s="8">
        <f t="shared" si="1"/>
        <v>0</v>
      </c>
      <c r="K22" s="3"/>
      <c r="L22" s="7">
        <f t="shared" si="2"/>
        <v>-64.369999999999891</v>
      </c>
      <c r="M22" s="3"/>
      <c r="N22" s="8">
        <f t="shared" si="3"/>
        <v>-3.2510101010100954E-2</v>
      </c>
      <c r="O22" s="12"/>
      <c r="P22" s="7">
        <v>1915.63</v>
      </c>
      <c r="Q22" s="3"/>
      <c r="R22" s="8">
        <f t="shared" si="4"/>
        <v>0</v>
      </c>
      <c r="S22" s="3"/>
      <c r="T22" s="7">
        <v>1980</v>
      </c>
      <c r="U22" s="3"/>
      <c r="V22" s="8">
        <f t="shared" si="5"/>
        <v>0</v>
      </c>
      <c r="W22" s="3"/>
      <c r="X22" s="7">
        <f t="shared" si="6"/>
        <v>-64.369999999999891</v>
      </c>
      <c r="Y22" s="3"/>
      <c r="Z22" s="8">
        <f t="shared" si="7"/>
        <v>-3.2510101010100954E-2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/>
      <c r="E23" s="3"/>
      <c r="F23" s="8">
        <f t="shared" si="0"/>
        <v>0</v>
      </c>
      <c r="G23" s="3"/>
      <c r="H23" s="7">
        <v>13.52</v>
      </c>
      <c r="I23" s="3"/>
      <c r="J23" s="8">
        <f t="shared" si="1"/>
        <v>0</v>
      </c>
      <c r="K23" s="3"/>
      <c r="L23" s="7">
        <f t="shared" si="2"/>
        <v>-13.52</v>
      </c>
      <c r="M23" s="3"/>
      <c r="N23" s="8">
        <f t="shared" si="3"/>
        <v>-1</v>
      </c>
      <c r="O23" s="12"/>
      <c r="P23" s="7"/>
      <c r="Q23" s="3"/>
      <c r="R23" s="8">
        <f t="shared" si="4"/>
        <v>0</v>
      </c>
      <c r="S23" s="3"/>
      <c r="T23" s="7">
        <v>13.52</v>
      </c>
      <c r="U23" s="3"/>
      <c r="V23" s="8">
        <f t="shared" si="5"/>
        <v>0</v>
      </c>
      <c r="W23" s="3"/>
      <c r="X23" s="7">
        <f t="shared" si="6"/>
        <v>-13.52</v>
      </c>
      <c r="Y23" s="3"/>
      <c r="Z23" s="8">
        <f t="shared" si="7"/>
        <v>-1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458.89</v>
      </c>
      <c r="E24" s="3"/>
      <c r="F24" s="8">
        <f t="shared" si="0"/>
        <v>0</v>
      </c>
      <c r="G24" s="3"/>
      <c r="H24" s="7">
        <v>447.2</v>
      </c>
      <c r="I24" s="3"/>
      <c r="J24" s="8">
        <f t="shared" si="1"/>
        <v>0</v>
      </c>
      <c r="K24" s="3"/>
      <c r="L24" s="7">
        <f t="shared" si="2"/>
        <v>11.689999999999998</v>
      </c>
      <c r="M24" s="3"/>
      <c r="N24" s="8">
        <f t="shared" si="3"/>
        <v>2.6140429338103753E-2</v>
      </c>
      <c r="O24" s="12"/>
      <c r="P24" s="7">
        <v>458.89</v>
      </c>
      <c r="Q24" s="3"/>
      <c r="R24" s="8">
        <f t="shared" si="4"/>
        <v>0</v>
      </c>
      <c r="S24" s="3"/>
      <c r="T24" s="7">
        <v>447.2</v>
      </c>
      <c r="U24" s="3"/>
      <c r="V24" s="8">
        <f t="shared" si="5"/>
        <v>0</v>
      </c>
      <c r="W24" s="3"/>
      <c r="X24" s="7">
        <f t="shared" si="6"/>
        <v>11.689999999999998</v>
      </c>
      <c r="Y24" s="3"/>
      <c r="Z24" s="8">
        <f t="shared" si="7"/>
        <v>2.6140429338103753E-2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"6118", " - ", "VACATION")</f>
        <v xml:space="preserve">          6118 - VACATION</v>
      </c>
      <c r="C26" s="12"/>
      <c r="D26" s="7">
        <v>152.1</v>
      </c>
      <c r="E26" s="3"/>
      <c r="F26" s="8">
        <f t="shared" si="0"/>
        <v>0</v>
      </c>
      <c r="G26" s="3"/>
      <c r="H26" s="7">
        <v>260</v>
      </c>
      <c r="I26" s="3"/>
      <c r="J26" s="8">
        <f t="shared" si="1"/>
        <v>0</v>
      </c>
      <c r="K26" s="3"/>
      <c r="L26" s="7">
        <f t="shared" si="2"/>
        <v>-107.9</v>
      </c>
      <c r="M26" s="3"/>
      <c r="N26" s="8">
        <f t="shared" si="3"/>
        <v>-0.41500000000000004</v>
      </c>
      <c r="O26" s="12"/>
      <c r="P26" s="7">
        <v>152.1</v>
      </c>
      <c r="Q26" s="3"/>
      <c r="R26" s="8">
        <f t="shared" si="4"/>
        <v>0</v>
      </c>
      <c r="S26" s="3"/>
      <c r="T26" s="7">
        <v>260</v>
      </c>
      <c r="U26" s="3"/>
      <c r="V26" s="8">
        <f t="shared" si="5"/>
        <v>0</v>
      </c>
      <c r="W26" s="3"/>
      <c r="X26" s="7">
        <f t="shared" si="6"/>
        <v>-107.9</v>
      </c>
      <c r="Y26" s="3"/>
      <c r="Z26" s="8">
        <f t="shared" si="7"/>
        <v>-0.41500000000000004</v>
      </c>
    </row>
    <row r="27" spans="1:26" s="24" customFormat="1" hidden="1" outlineLevel="2" x14ac:dyDescent="0.25">
      <c r="A27" s="27"/>
      <c r="B27" s="12" t="str">
        <f>CONCATENATE("          ", "6119", " - ", "SICK LEAVE")</f>
        <v xml:space="preserve">          6119 - SICK LEAVE</v>
      </c>
      <c r="C27" s="12"/>
      <c r="D27" s="7">
        <v>203.98</v>
      </c>
      <c r="E27" s="3"/>
      <c r="F27" s="8">
        <f t="shared" si="0"/>
        <v>0</v>
      </c>
      <c r="G27" s="3"/>
      <c r="H27" s="7">
        <v>260</v>
      </c>
      <c r="I27" s="3"/>
      <c r="J27" s="8">
        <f t="shared" si="1"/>
        <v>0</v>
      </c>
      <c r="K27" s="3"/>
      <c r="L27" s="7">
        <f t="shared" si="2"/>
        <v>-56.02000000000001</v>
      </c>
      <c r="M27" s="3"/>
      <c r="N27" s="8">
        <f t="shared" si="3"/>
        <v>-0.21546153846153851</v>
      </c>
      <c r="O27" s="12"/>
      <c r="P27" s="7">
        <v>203.98</v>
      </c>
      <c r="Q27" s="3"/>
      <c r="R27" s="8">
        <f t="shared" si="4"/>
        <v>0</v>
      </c>
      <c r="S27" s="3"/>
      <c r="T27" s="7">
        <v>260</v>
      </c>
      <c r="U27" s="3"/>
      <c r="V27" s="8">
        <f t="shared" si="5"/>
        <v>0</v>
      </c>
      <c r="W27" s="3"/>
      <c r="X27" s="7">
        <f t="shared" si="6"/>
        <v>-56.02000000000001</v>
      </c>
      <c r="Y27" s="3"/>
      <c r="Z27" s="8">
        <f t="shared" si="7"/>
        <v>-0.21546153846153851</v>
      </c>
    </row>
    <row r="28" spans="1:26" s="29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884</v>
      </c>
      <c r="E28" s="1"/>
      <c r="F28" s="5">
        <f t="shared" ref="F28:F38" si="8">IF(D$12=0,0,D28/D$12)</f>
        <v>0</v>
      </c>
      <c r="G28" s="1"/>
      <c r="H28" s="1">
        <f>SUM(OSRRefH22_1x_0)</f>
        <v>4680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-3796</v>
      </c>
      <c r="M28" s="1"/>
      <c r="N28" s="5">
        <f t="shared" ref="N28:N38" si="11">IF(H28=0,0,L28/H28)</f>
        <v>-0.81111111111111112</v>
      </c>
      <c r="O28" s="14"/>
      <c r="P28" s="1">
        <f>SUM(OSRRefP22_1x_0)</f>
        <v>884</v>
      </c>
      <c r="Q28" s="1"/>
      <c r="R28" s="5">
        <f t="shared" ref="R28:R38" si="12">IF(P$12=0,0,P28/P$12)</f>
        <v>0</v>
      </c>
      <c r="S28" s="1"/>
      <c r="T28" s="1">
        <f>SUM(OSRRefT22_1x_0)</f>
        <v>4680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-3796</v>
      </c>
      <c r="Y28" s="1"/>
      <c r="Z28" s="5">
        <f t="shared" ref="Z28:Z38" si="15">IF(T28=0,0,X28/T28)</f>
        <v>-0.81111111111111112</v>
      </c>
    </row>
    <row r="29" spans="1:26" s="24" customFormat="1" hidden="1" outlineLevel="2" x14ac:dyDescent="0.25">
      <c r="A29" s="27"/>
      <c r="B29" s="12" t="str">
        <f>CONCATENATE("          ", "6001", " - ", "ADMINISTRATIVE SALARIES")</f>
        <v xml:space="preserve">          6001 - ADMINISTRATIVE SALARIES</v>
      </c>
      <c r="C29" s="12"/>
      <c r="D29" s="7"/>
      <c r="E29" s="3"/>
      <c r="F29" s="8">
        <f t="shared" si="8"/>
        <v>0</v>
      </c>
      <c r="G29" s="3"/>
      <c r="H29" s="7">
        <v>0</v>
      </c>
      <c r="I29" s="3"/>
      <c r="J29" s="8">
        <f t="shared" si="9"/>
        <v>0</v>
      </c>
      <c r="K29" s="3"/>
      <c r="L29" s="7">
        <f t="shared" si="10"/>
        <v>0</v>
      </c>
      <c r="M29" s="3"/>
      <c r="N29" s="8">
        <f t="shared" si="11"/>
        <v>0</v>
      </c>
      <c r="O29" s="12"/>
      <c r="P29" s="7"/>
      <c r="Q29" s="3"/>
      <c r="R29" s="8">
        <f t="shared" si="12"/>
        <v>0</v>
      </c>
      <c r="S29" s="3"/>
      <c r="T29" s="7">
        <v>0</v>
      </c>
      <c r="U29" s="3"/>
      <c r="V29" s="8">
        <f t="shared" si="13"/>
        <v>0</v>
      </c>
      <c r="W29" s="3"/>
      <c r="X29" s="7">
        <f t="shared" si="14"/>
        <v>0</v>
      </c>
      <c r="Y29" s="3"/>
      <c r="Z29" s="8">
        <f t="shared" si="15"/>
        <v>0</v>
      </c>
    </row>
    <row r="30" spans="1:26" s="24" customFormat="1" hidden="1" outlineLevel="2" x14ac:dyDescent="0.25">
      <c r="A30" s="27"/>
      <c r="B30" s="12" t="str">
        <f>CONCATENATE("          ", "6002", " - ", "STAFF SALARIES")</f>
        <v xml:space="preserve">          6002 - STAFF SALARIES</v>
      </c>
      <c r="C30" s="12"/>
      <c r="D30" s="7">
        <v>884</v>
      </c>
      <c r="E30" s="3"/>
      <c r="F30" s="8">
        <f t="shared" si="8"/>
        <v>0</v>
      </c>
      <c r="G30" s="3"/>
      <c r="H30" s="7">
        <v>4680</v>
      </c>
      <c r="I30" s="3"/>
      <c r="J30" s="8">
        <f t="shared" si="9"/>
        <v>0</v>
      </c>
      <c r="K30" s="3"/>
      <c r="L30" s="7">
        <f t="shared" si="10"/>
        <v>-3796</v>
      </c>
      <c r="M30" s="3"/>
      <c r="N30" s="8">
        <f t="shared" si="11"/>
        <v>-0.81111111111111112</v>
      </c>
      <c r="O30" s="12"/>
      <c r="P30" s="7">
        <v>884</v>
      </c>
      <c r="Q30" s="3"/>
      <c r="R30" s="8">
        <f t="shared" si="12"/>
        <v>0</v>
      </c>
      <c r="S30" s="3"/>
      <c r="T30" s="7">
        <v>4680</v>
      </c>
      <c r="U30" s="3"/>
      <c r="V30" s="8">
        <f t="shared" si="13"/>
        <v>0</v>
      </c>
      <c r="W30" s="3"/>
      <c r="X30" s="7">
        <f t="shared" si="14"/>
        <v>-3796</v>
      </c>
      <c r="Y30" s="3"/>
      <c r="Z30" s="8">
        <f t="shared" si="15"/>
        <v>-0.81111111111111112</v>
      </c>
    </row>
    <row r="31" spans="1:26" s="24" customFormat="1" hidden="1" outlineLevel="2" x14ac:dyDescent="0.25">
      <c r="A31" s="27"/>
      <c r="B31" s="12" t="str">
        <f>CONCATENATE("          ", "6003", " - ", "STAFF HOURLY-9 MONTH")</f>
        <v xml:space="preserve">          6003 - STAFF HOURLY-9 MONTH</v>
      </c>
      <c r="C31" s="12"/>
      <c r="D31" s="7"/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0</v>
      </c>
      <c r="M31" s="3"/>
      <c r="N31" s="8">
        <f t="shared" si="11"/>
        <v>0</v>
      </c>
      <c r="O31" s="12"/>
      <c r="P31" s="7"/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0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"6004", " - ", "STAFF HOURLY")</f>
        <v xml:space="preserve">          6004 - STAFF HOURLY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"6005", " - ", "TEMPORARY WAGES-HOURLY")</f>
        <v xml:space="preserve">          6005 - TEMPORARY WAGES-HOURLY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"6006", " - ", "TEMPORARY PART TIME")</f>
        <v xml:space="preserve">          6006 - TEMPORARY PART TIME</v>
      </c>
      <c r="C34" s="12"/>
      <c r="D34" s="7"/>
      <c r="E34" s="3"/>
      <c r="F34" s="8">
        <f t="shared" si="8"/>
        <v>0</v>
      </c>
      <c r="G34" s="3"/>
      <c r="H34" s="7">
        <v>0</v>
      </c>
      <c r="I34" s="3"/>
      <c r="J34" s="8">
        <f t="shared" si="9"/>
        <v>0</v>
      </c>
      <c r="K34" s="3"/>
      <c r="L34" s="7">
        <f t="shared" si="10"/>
        <v>0</v>
      </c>
      <c r="M34" s="3"/>
      <c r="N34" s="8">
        <f t="shared" si="11"/>
        <v>0</v>
      </c>
      <c r="O34" s="12"/>
      <c r="P34" s="7"/>
      <c r="Q34" s="3"/>
      <c r="R34" s="8">
        <f t="shared" si="12"/>
        <v>0</v>
      </c>
      <c r="S34" s="3"/>
      <c r="T34" s="7">
        <v>0</v>
      </c>
      <c r="U34" s="3"/>
      <c r="V34" s="8">
        <f t="shared" si="13"/>
        <v>0</v>
      </c>
      <c r="W34" s="3"/>
      <c r="X34" s="7">
        <f t="shared" si="14"/>
        <v>0</v>
      </c>
      <c r="Y34" s="3"/>
      <c r="Z34" s="8">
        <f t="shared" si="15"/>
        <v>0</v>
      </c>
    </row>
    <row r="35" spans="1:26" s="24" customFormat="1" hidden="1" outlineLevel="2" x14ac:dyDescent="0.25">
      <c r="A35" s="27"/>
      <c r="B35" s="12" t="str">
        <f>CONCATENATE("          ", "6007", " - ", "STUDENT HOURLY")</f>
        <v xml:space="preserve">          6007 - STUDENT HOURLY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"6008", " - ", "STUDENT HOURLY-FICA EXEMPT")</f>
        <v xml:space="preserve">          6008 - STUDENT HOURLY-FICA EXEMPT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"6009", " - ", "TEMPORARY-SEASONAL")</f>
        <v xml:space="preserve">          6009 - TEMPORARY-SEASONAL</v>
      </c>
      <c r="C37" s="12"/>
      <c r="D37" s="7"/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0</v>
      </c>
      <c r="M37" s="3"/>
      <c r="N37" s="8">
        <f t="shared" si="11"/>
        <v>0</v>
      </c>
      <c r="O37" s="12"/>
      <c r="P37" s="7"/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0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"6010", " - ", "GRATUITY")</f>
        <v xml:space="preserve">          6010 - GRATUITY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9" customFormat="1" outlineLevel="1" collapsed="1" x14ac:dyDescent="0.25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SUM(OSRRefD22_2x_0)</f>
        <v>0</v>
      </c>
      <c r="E39" s="1"/>
      <c r="F39" s="5">
        <f t="shared" ref="F39:F45" si="16">IF(D$12=0,0,D39/D$12)</f>
        <v>0</v>
      </c>
      <c r="G39" s="1"/>
      <c r="H39" s="1">
        <f>SUM(OSRRefH22_2x_0)</f>
        <v>5</v>
      </c>
      <c r="I39" s="1"/>
      <c r="J39" s="5">
        <f t="shared" ref="J39:J45" si="17">IF(H$12=0,0,H39/H$12)</f>
        <v>0</v>
      </c>
      <c r="K39" s="1"/>
      <c r="L39" s="1">
        <f t="shared" ref="L39:L45" si="18">+D39-H39</f>
        <v>-5</v>
      </c>
      <c r="M39" s="1"/>
      <c r="N39" s="5">
        <f t="shared" ref="N39:N45" si="19">IF(H39=0,0,L39/H39)</f>
        <v>-1</v>
      </c>
      <c r="O39" s="14"/>
      <c r="P39" s="1">
        <f>SUM(OSRRefP22_2x_0)</f>
        <v>0</v>
      </c>
      <c r="Q39" s="1"/>
      <c r="R39" s="5">
        <f t="shared" ref="R39:R45" si="20">IF(P$12=0,0,P39/P$12)</f>
        <v>0</v>
      </c>
      <c r="S39" s="1"/>
      <c r="T39" s="1">
        <f>SUM(OSRRefT22_2x_0)</f>
        <v>5</v>
      </c>
      <c r="U39" s="1"/>
      <c r="V39" s="5">
        <f t="shared" ref="V39:V45" si="21">IF(T$12=0,0,T39/T$12)</f>
        <v>0</v>
      </c>
      <c r="W39" s="1"/>
      <c r="X39" s="1">
        <f t="shared" ref="X39:X45" si="22">+P39-T39</f>
        <v>-5</v>
      </c>
      <c r="Y39" s="1"/>
      <c r="Z39" s="5">
        <f t="shared" ref="Z39:Z45" si="23">IF(T39=0,0,X39/T39)</f>
        <v>-1</v>
      </c>
    </row>
    <row r="40" spans="1:26" s="24" customFormat="1" hidden="1" outlineLevel="2" x14ac:dyDescent="0.25">
      <c r="A40" s="27"/>
      <c r="B40" s="12" t="str">
        <f>CONCATENATE("          ", "6272", " - ", "CASH (OVER/SHORT)")</f>
        <v xml:space="preserve">          6272 - CASH (OVER/SHORT)</v>
      </c>
      <c r="C40" s="12"/>
      <c r="D40" s="7"/>
      <c r="E40" s="3"/>
      <c r="F40" s="8">
        <f t="shared" si="16"/>
        <v>0</v>
      </c>
      <c r="G40" s="3"/>
      <c r="H40" s="7">
        <v>5</v>
      </c>
      <c r="I40" s="3"/>
      <c r="J40" s="8">
        <f t="shared" si="17"/>
        <v>0</v>
      </c>
      <c r="K40" s="3"/>
      <c r="L40" s="7">
        <f t="shared" si="18"/>
        <v>-5</v>
      </c>
      <c r="M40" s="3"/>
      <c r="N40" s="8">
        <f t="shared" si="19"/>
        <v>-1</v>
      </c>
      <c r="O40" s="12"/>
      <c r="P40" s="7"/>
      <c r="Q40" s="3"/>
      <c r="R40" s="8">
        <f t="shared" si="20"/>
        <v>0</v>
      </c>
      <c r="S40" s="3"/>
      <c r="T40" s="7">
        <v>5</v>
      </c>
      <c r="U40" s="3"/>
      <c r="V40" s="8">
        <f t="shared" si="21"/>
        <v>0</v>
      </c>
      <c r="W40" s="3"/>
      <c r="X40" s="7">
        <f t="shared" si="22"/>
        <v>-5</v>
      </c>
      <c r="Y40" s="3"/>
      <c r="Z40" s="8">
        <f t="shared" si="23"/>
        <v>-1</v>
      </c>
    </row>
    <row r="41" spans="1:26" s="29" customFormat="1" outlineLevel="1" collapsed="1" x14ac:dyDescent="0.25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404</v>
      </c>
      <c r="I41" s="1"/>
      <c r="J41" s="5">
        <f t="shared" si="17"/>
        <v>0</v>
      </c>
      <c r="K41" s="1"/>
      <c r="L41" s="1">
        <f t="shared" si="18"/>
        <v>-404</v>
      </c>
      <c r="M41" s="1"/>
      <c r="N41" s="5">
        <f t="shared" si="19"/>
        <v>-1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404</v>
      </c>
      <c r="U41" s="1"/>
      <c r="V41" s="5">
        <f t="shared" si="21"/>
        <v>0</v>
      </c>
      <c r="W41" s="1"/>
      <c r="X41" s="1">
        <f t="shared" si="22"/>
        <v>-404</v>
      </c>
      <c r="Y41" s="1"/>
      <c r="Z41" s="5">
        <f t="shared" si="23"/>
        <v>-1</v>
      </c>
    </row>
    <row r="42" spans="1:26" s="24" customFormat="1" hidden="1" outlineLevel="2" x14ac:dyDescent="0.25">
      <c r="A42" s="27"/>
      <c r="B42" s="12" t="str">
        <f>CONCATENATE("          ", "6381", " - ", "BANK/CREDIT CARD FEES")</f>
        <v xml:space="preserve">          6381 - BANK/CREDIT CARD FEES</v>
      </c>
      <c r="C42" s="12"/>
      <c r="D42" s="7"/>
      <c r="E42" s="3"/>
      <c r="F42" s="8">
        <f t="shared" si="16"/>
        <v>0</v>
      </c>
      <c r="G42" s="3"/>
      <c r="H42" s="7">
        <v>404</v>
      </c>
      <c r="I42" s="3"/>
      <c r="J42" s="8">
        <f t="shared" si="17"/>
        <v>0</v>
      </c>
      <c r="K42" s="3"/>
      <c r="L42" s="7">
        <f t="shared" si="18"/>
        <v>-404</v>
      </c>
      <c r="M42" s="3"/>
      <c r="N42" s="8">
        <f t="shared" si="19"/>
        <v>-1</v>
      </c>
      <c r="O42" s="12"/>
      <c r="P42" s="7"/>
      <c r="Q42" s="3"/>
      <c r="R42" s="8">
        <f t="shared" si="20"/>
        <v>0</v>
      </c>
      <c r="S42" s="3"/>
      <c r="T42" s="7">
        <v>404</v>
      </c>
      <c r="U42" s="3"/>
      <c r="V42" s="8">
        <f t="shared" si="21"/>
        <v>0</v>
      </c>
      <c r="W42" s="3"/>
      <c r="X42" s="7">
        <f t="shared" si="22"/>
        <v>-404</v>
      </c>
      <c r="Y42" s="3"/>
      <c r="Z42" s="8">
        <f t="shared" si="23"/>
        <v>-1</v>
      </c>
    </row>
    <row r="43" spans="1:26" s="29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SUM(OSRRefD22_4x_0)</f>
        <v>5582.59</v>
      </c>
      <c r="E43" s="1"/>
      <c r="F43" s="5">
        <f t="shared" si="16"/>
        <v>0</v>
      </c>
      <c r="G43" s="1"/>
      <c r="H43" s="1">
        <f>SUM(OSRRefH22_4x_0)</f>
        <v>5583</v>
      </c>
      <c r="I43" s="1"/>
      <c r="J43" s="5">
        <f t="shared" si="17"/>
        <v>0</v>
      </c>
      <c r="K43" s="1"/>
      <c r="L43" s="1">
        <f t="shared" si="18"/>
        <v>-0.40999999999985448</v>
      </c>
      <c r="M43" s="1"/>
      <c r="N43" s="5">
        <f t="shared" si="19"/>
        <v>-7.3437220132519155E-5</v>
      </c>
      <c r="O43" s="14"/>
      <c r="P43" s="1">
        <f>SUM(OSRRefP22_4x_0)</f>
        <v>5582.59</v>
      </c>
      <c r="Q43" s="1"/>
      <c r="R43" s="5">
        <f t="shared" si="20"/>
        <v>0</v>
      </c>
      <c r="S43" s="1"/>
      <c r="T43" s="1">
        <f>SUM(OSRRefT22_4x_0)</f>
        <v>5583</v>
      </c>
      <c r="U43" s="1"/>
      <c r="V43" s="5">
        <f t="shared" si="21"/>
        <v>0</v>
      </c>
      <c r="W43" s="1"/>
      <c r="X43" s="1">
        <f t="shared" si="22"/>
        <v>-0.40999999999985448</v>
      </c>
      <c r="Y43" s="1"/>
      <c r="Z43" s="5">
        <f t="shared" si="23"/>
        <v>-7.3437220132519155E-5</v>
      </c>
    </row>
    <row r="44" spans="1:26" s="24" customFormat="1" hidden="1" outlineLevel="2" x14ac:dyDescent="0.25">
      <c r="A44" s="27"/>
      <c r="B44" s="12" t="str">
        <f>CONCATENATE("          ", "6321", " - ", "BUILDING DEPRECIATION")</f>
        <v xml:space="preserve">          6321 - BUILDING DEPRECIATION</v>
      </c>
      <c r="C44" s="12"/>
      <c r="D44" s="7">
        <v>5080.51</v>
      </c>
      <c r="E44" s="3"/>
      <c r="F44" s="8">
        <f t="shared" si="16"/>
        <v>0</v>
      </c>
      <c r="G44" s="3"/>
      <c r="H44" s="7"/>
      <c r="I44" s="3"/>
      <c r="J44" s="8">
        <f t="shared" si="17"/>
        <v>0</v>
      </c>
      <c r="K44" s="3"/>
      <c r="L44" s="7">
        <f t="shared" si="18"/>
        <v>5080.51</v>
      </c>
      <c r="M44" s="3"/>
      <c r="N44" s="8">
        <f t="shared" si="19"/>
        <v>0</v>
      </c>
      <c r="O44" s="12"/>
      <c r="P44" s="7">
        <v>5080.51</v>
      </c>
      <c r="Q44" s="3"/>
      <c r="R44" s="8">
        <f t="shared" si="20"/>
        <v>0</v>
      </c>
      <c r="S44" s="3"/>
      <c r="T44" s="7"/>
      <c r="U44" s="3"/>
      <c r="V44" s="8">
        <f t="shared" si="21"/>
        <v>0</v>
      </c>
      <c r="W44" s="3"/>
      <c r="X44" s="7">
        <f t="shared" si="22"/>
        <v>5080.51</v>
      </c>
      <c r="Y44" s="3"/>
      <c r="Z44" s="8">
        <f t="shared" si="23"/>
        <v>0</v>
      </c>
    </row>
    <row r="45" spans="1:26" s="24" customFormat="1" hidden="1" outlineLevel="2" x14ac:dyDescent="0.25">
      <c r="A45" s="27"/>
      <c r="B45" s="12" t="str">
        <f>CONCATENATE("          ", "6322", " - ", "EQUIPMENT DEPRECIATION EXPENSE")</f>
        <v xml:space="preserve">          6322 - EQUIPMENT DEPRECIATION EXPENSE</v>
      </c>
      <c r="C45" s="12"/>
      <c r="D45" s="7">
        <v>502.08</v>
      </c>
      <c r="E45" s="3"/>
      <c r="F45" s="8">
        <f t="shared" si="16"/>
        <v>0</v>
      </c>
      <c r="G45" s="3"/>
      <c r="H45" s="7">
        <v>5583</v>
      </c>
      <c r="I45" s="3"/>
      <c r="J45" s="8">
        <f t="shared" si="17"/>
        <v>0</v>
      </c>
      <c r="K45" s="3"/>
      <c r="L45" s="7">
        <f t="shared" si="18"/>
        <v>-5080.92</v>
      </c>
      <c r="M45" s="3"/>
      <c r="N45" s="8">
        <f t="shared" si="19"/>
        <v>-0.91006985491671144</v>
      </c>
      <c r="O45" s="12"/>
      <c r="P45" s="7">
        <v>502.08</v>
      </c>
      <c r="Q45" s="3"/>
      <c r="R45" s="8">
        <f t="shared" si="20"/>
        <v>0</v>
      </c>
      <c r="S45" s="3"/>
      <c r="T45" s="7">
        <v>5583</v>
      </c>
      <c r="U45" s="3"/>
      <c r="V45" s="8">
        <f t="shared" si="21"/>
        <v>0</v>
      </c>
      <c r="W45" s="3"/>
      <c r="X45" s="7">
        <f t="shared" si="22"/>
        <v>-5080.92</v>
      </c>
      <c r="Y45" s="3"/>
      <c r="Z45" s="8">
        <f t="shared" si="23"/>
        <v>-0.91006985491671144</v>
      </c>
    </row>
    <row r="46" spans="1:26" s="29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SUM(OSRRefD22_5x_0)</f>
        <v>754.55</v>
      </c>
      <c r="E46" s="1"/>
      <c r="F46" s="5">
        <f t="shared" ref="F46:F57" si="24">IF(D$12=0,0,D46/D$12)</f>
        <v>0</v>
      </c>
      <c r="G46" s="1"/>
      <c r="H46" s="1">
        <f>SUM(OSRRefH22_5x_0)</f>
        <v>800</v>
      </c>
      <c r="I46" s="1"/>
      <c r="J46" s="5">
        <f t="shared" ref="J46:J57" si="25">IF(H$12=0,0,H46/H$12)</f>
        <v>0</v>
      </c>
      <c r="K46" s="1"/>
      <c r="L46" s="1">
        <f t="shared" ref="L46:L57" si="26">+D46-H46</f>
        <v>-45.450000000000045</v>
      </c>
      <c r="M46" s="1"/>
      <c r="N46" s="5">
        <f t="shared" ref="N46:N57" si="27">IF(H46=0,0,L46/H46)</f>
        <v>-5.6812500000000057E-2</v>
      </c>
      <c r="O46" s="14"/>
      <c r="P46" s="1">
        <f>SUM(OSRRefP22_5x_0)</f>
        <v>754.55</v>
      </c>
      <c r="Q46" s="1"/>
      <c r="R46" s="5">
        <f t="shared" ref="R46:R57" si="28">IF(P$12=0,0,P46/P$12)</f>
        <v>0</v>
      </c>
      <c r="S46" s="1"/>
      <c r="T46" s="1">
        <f>SUM(OSRRefT22_5x_0)</f>
        <v>800</v>
      </c>
      <c r="U46" s="1"/>
      <c r="V46" s="5">
        <f t="shared" ref="V46:V57" si="29">IF(T$12=0,0,T46/T$12)</f>
        <v>0</v>
      </c>
      <c r="W46" s="1"/>
      <c r="X46" s="1">
        <f t="shared" ref="X46:X57" si="30">+P46-T46</f>
        <v>-45.450000000000045</v>
      </c>
      <c r="Y46" s="1"/>
      <c r="Z46" s="5">
        <f t="shared" ref="Z46:Z57" si="31">IF(T46=0,0,X46/T46)</f>
        <v>-5.6812500000000057E-2</v>
      </c>
    </row>
    <row r="47" spans="1:26" s="24" customFormat="1" hidden="1" outlineLevel="2" x14ac:dyDescent="0.25">
      <c r="A47" s="27"/>
      <c r="B47" s="12" t="str">
        <f>CONCATENATE("          ", "6279", " - ", "GENERAL EXPENSE")</f>
        <v xml:space="preserve">          6279 - GENERAL EXPENSE</v>
      </c>
      <c r="C47" s="12"/>
      <c r="D47" s="7">
        <v>754.55</v>
      </c>
      <c r="E47" s="3"/>
      <c r="F47" s="8">
        <f t="shared" si="24"/>
        <v>0</v>
      </c>
      <c r="G47" s="3"/>
      <c r="H47" s="7">
        <v>800</v>
      </c>
      <c r="I47" s="3"/>
      <c r="J47" s="8">
        <f t="shared" si="25"/>
        <v>0</v>
      </c>
      <c r="K47" s="3"/>
      <c r="L47" s="7">
        <f t="shared" si="26"/>
        <v>-45.450000000000045</v>
      </c>
      <c r="M47" s="3"/>
      <c r="N47" s="8">
        <f t="shared" si="27"/>
        <v>-5.6812500000000057E-2</v>
      </c>
      <c r="O47" s="12"/>
      <c r="P47" s="7">
        <v>754.55</v>
      </c>
      <c r="Q47" s="3"/>
      <c r="R47" s="8">
        <f t="shared" si="28"/>
        <v>0</v>
      </c>
      <c r="S47" s="3"/>
      <c r="T47" s="7">
        <v>800</v>
      </c>
      <c r="U47" s="3"/>
      <c r="V47" s="8">
        <f t="shared" si="29"/>
        <v>0</v>
      </c>
      <c r="W47" s="3"/>
      <c r="X47" s="7">
        <f t="shared" si="30"/>
        <v>-45.450000000000045</v>
      </c>
      <c r="Y47" s="3"/>
      <c r="Z47" s="8">
        <f t="shared" si="31"/>
        <v>-5.6812500000000057E-2</v>
      </c>
    </row>
    <row r="48" spans="1:26" s="29" customFormat="1" outlineLevel="1" collapsed="1" x14ac:dyDescent="0.25">
      <c r="A48" s="28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SUM(OSRRefD22_6x_0)</f>
        <v>243.54</v>
      </c>
      <c r="E48" s="1"/>
      <c r="F48" s="5">
        <f t="shared" si="24"/>
        <v>0</v>
      </c>
      <c r="G48" s="1"/>
      <c r="H48" s="1">
        <f>SUM(OSRRefH22_6x_0)</f>
        <v>270</v>
      </c>
      <c r="I48" s="1"/>
      <c r="J48" s="5">
        <f t="shared" si="25"/>
        <v>0</v>
      </c>
      <c r="K48" s="1"/>
      <c r="L48" s="1">
        <f t="shared" si="26"/>
        <v>-26.460000000000008</v>
      </c>
      <c r="M48" s="1"/>
      <c r="N48" s="5">
        <f t="shared" si="27"/>
        <v>-9.8000000000000032E-2</v>
      </c>
      <c r="O48" s="14"/>
      <c r="P48" s="1">
        <f>SUM(OSRRefP22_6x_0)</f>
        <v>243.54</v>
      </c>
      <c r="Q48" s="1"/>
      <c r="R48" s="5">
        <f t="shared" si="28"/>
        <v>0</v>
      </c>
      <c r="S48" s="1"/>
      <c r="T48" s="1">
        <f>SUM(OSRRefT22_6x_0)</f>
        <v>270</v>
      </c>
      <c r="U48" s="1"/>
      <c r="V48" s="5">
        <f t="shared" si="29"/>
        <v>0</v>
      </c>
      <c r="W48" s="1"/>
      <c r="X48" s="1">
        <f t="shared" si="30"/>
        <v>-26.460000000000008</v>
      </c>
      <c r="Y48" s="1"/>
      <c r="Z48" s="5">
        <f t="shared" si="31"/>
        <v>-9.8000000000000032E-2</v>
      </c>
    </row>
    <row r="49" spans="1:26" s="24" customFormat="1" hidden="1" outlineLevel="2" x14ac:dyDescent="0.25">
      <c r="A49" s="27"/>
      <c r="B49" s="12" t="str">
        <f>CONCATENATE("          ", "6314", " - ", "LIABILITY INSURANCE")</f>
        <v xml:space="preserve">          6314 - LIABILITY INSURANCE</v>
      </c>
      <c r="C49" s="12"/>
      <c r="D49" s="7">
        <v>243.54</v>
      </c>
      <c r="E49" s="3"/>
      <c r="F49" s="8">
        <f t="shared" si="24"/>
        <v>0</v>
      </c>
      <c r="G49" s="3"/>
      <c r="H49" s="7">
        <v>270</v>
      </c>
      <c r="I49" s="3"/>
      <c r="J49" s="8">
        <f t="shared" si="25"/>
        <v>0</v>
      </c>
      <c r="K49" s="3"/>
      <c r="L49" s="7">
        <f t="shared" si="26"/>
        <v>-26.460000000000008</v>
      </c>
      <c r="M49" s="3"/>
      <c r="N49" s="8">
        <f t="shared" si="27"/>
        <v>-9.8000000000000032E-2</v>
      </c>
      <c r="O49" s="12"/>
      <c r="P49" s="7">
        <v>243.54</v>
      </c>
      <c r="Q49" s="3"/>
      <c r="R49" s="8">
        <f t="shared" si="28"/>
        <v>0</v>
      </c>
      <c r="S49" s="3"/>
      <c r="T49" s="7">
        <v>270</v>
      </c>
      <c r="U49" s="3"/>
      <c r="V49" s="8">
        <f t="shared" si="29"/>
        <v>0</v>
      </c>
      <c r="W49" s="3"/>
      <c r="X49" s="7">
        <f t="shared" si="30"/>
        <v>-26.460000000000008</v>
      </c>
      <c r="Y49" s="3"/>
      <c r="Z49" s="8">
        <f t="shared" si="31"/>
        <v>-9.8000000000000032E-2</v>
      </c>
    </row>
    <row r="50" spans="1:26" s="29" customFormat="1" outlineLevel="1" collapsed="1" x14ac:dyDescent="0.25">
      <c r="A50" s="28"/>
      <c r="B50" s="14" t="str">
        <f>CONCATENATE("     ","Interest                                          ")</f>
        <v xml:space="preserve">     Interest                                          </v>
      </c>
      <c r="C50" s="14"/>
      <c r="D50" s="1">
        <f>SUM(OSRRefD22_7x_0)</f>
        <v>4044</v>
      </c>
      <c r="E50" s="1"/>
      <c r="F50" s="5">
        <f t="shared" si="24"/>
        <v>0</v>
      </c>
      <c r="G50" s="1"/>
      <c r="H50" s="1">
        <f>SUM(OSRRefH22_7x_0)</f>
        <v>4044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4"/>
      <c r="P50" s="1">
        <f>SUM(OSRRefP22_7x_0)</f>
        <v>4044</v>
      </c>
      <c r="Q50" s="1"/>
      <c r="R50" s="5">
        <f t="shared" si="28"/>
        <v>0</v>
      </c>
      <c r="S50" s="1"/>
      <c r="T50" s="1">
        <f>SUM(OSRRefT22_7x_0)</f>
        <v>4044</v>
      </c>
      <c r="U50" s="1"/>
      <c r="V50" s="5">
        <f t="shared" si="29"/>
        <v>0</v>
      </c>
      <c r="W50" s="1"/>
      <c r="X50" s="1">
        <f t="shared" si="30"/>
        <v>0</v>
      </c>
      <c r="Y50" s="1"/>
      <c r="Z50" s="5">
        <f t="shared" si="31"/>
        <v>0</v>
      </c>
    </row>
    <row r="51" spans="1:26" s="24" customFormat="1" hidden="1" outlineLevel="2" x14ac:dyDescent="0.25">
      <c r="A51" s="27"/>
      <c r="B51" s="12" t="str">
        <f>CONCATENATE("          ", "6401", " - ", "INTEREST EXPENSE")</f>
        <v xml:space="preserve">          6401 - INTEREST EXPENSE</v>
      </c>
      <c r="C51" s="12"/>
      <c r="D51" s="7">
        <v>4044</v>
      </c>
      <c r="E51" s="3"/>
      <c r="F51" s="8">
        <f t="shared" si="24"/>
        <v>0</v>
      </c>
      <c r="G51" s="3"/>
      <c r="H51" s="7">
        <v>4044</v>
      </c>
      <c r="I51" s="3"/>
      <c r="J51" s="8">
        <f t="shared" si="25"/>
        <v>0</v>
      </c>
      <c r="K51" s="3"/>
      <c r="L51" s="7">
        <f t="shared" si="26"/>
        <v>0</v>
      </c>
      <c r="M51" s="3"/>
      <c r="N51" s="8">
        <f t="shared" si="27"/>
        <v>0</v>
      </c>
      <c r="O51" s="12"/>
      <c r="P51" s="7">
        <v>4044</v>
      </c>
      <c r="Q51" s="3"/>
      <c r="R51" s="8">
        <f t="shared" si="28"/>
        <v>0</v>
      </c>
      <c r="S51" s="3"/>
      <c r="T51" s="7">
        <v>4044</v>
      </c>
      <c r="U51" s="3"/>
      <c r="V51" s="8">
        <f t="shared" si="29"/>
        <v>0</v>
      </c>
      <c r="W51" s="3"/>
      <c r="X51" s="7">
        <f t="shared" si="30"/>
        <v>0</v>
      </c>
      <c r="Y51" s="3"/>
      <c r="Z51" s="8">
        <f t="shared" si="31"/>
        <v>0</v>
      </c>
    </row>
    <row r="52" spans="1:26" s="29" customFormat="1" outlineLevel="1" collapsed="1" x14ac:dyDescent="0.25">
      <c r="A52" s="28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SUM(OSRRefD22_8x_0)</f>
        <v>0</v>
      </c>
      <c r="E52" s="1"/>
      <c r="F52" s="5">
        <f t="shared" si="24"/>
        <v>0</v>
      </c>
      <c r="G52" s="1"/>
      <c r="H52" s="1">
        <f>SUM(OSRRefH22_8x_0)</f>
        <v>75</v>
      </c>
      <c r="I52" s="1"/>
      <c r="J52" s="5">
        <f t="shared" si="25"/>
        <v>0</v>
      </c>
      <c r="K52" s="1"/>
      <c r="L52" s="1">
        <f t="shared" si="26"/>
        <v>-75</v>
      </c>
      <c r="M52" s="1"/>
      <c r="N52" s="5">
        <f t="shared" si="27"/>
        <v>-1</v>
      </c>
      <c r="O52" s="14"/>
      <c r="P52" s="1">
        <f>SUM(OSRRefP22_8x_0)</f>
        <v>0</v>
      </c>
      <c r="Q52" s="1"/>
      <c r="R52" s="5">
        <f t="shared" si="28"/>
        <v>0</v>
      </c>
      <c r="S52" s="1"/>
      <c r="T52" s="1">
        <f>SUM(OSRRefT22_8x_0)</f>
        <v>75</v>
      </c>
      <c r="U52" s="1"/>
      <c r="V52" s="5">
        <f t="shared" si="29"/>
        <v>0</v>
      </c>
      <c r="W52" s="1"/>
      <c r="X52" s="1">
        <f t="shared" si="30"/>
        <v>-75</v>
      </c>
      <c r="Y52" s="1"/>
      <c r="Z52" s="5">
        <f t="shared" si="31"/>
        <v>-1</v>
      </c>
    </row>
    <row r="53" spans="1:26" s="24" customFormat="1" hidden="1" outlineLevel="2" x14ac:dyDescent="0.25">
      <c r="A53" s="27"/>
      <c r="B53" s="12" t="str">
        <f>CONCATENATE("          ", "6375", " - ", "OUTSIDE REPAIRS &amp; MAINTENANCE")</f>
        <v xml:space="preserve">          6375 - OUTSIDE REPAIRS &amp; MAINTENANCE</v>
      </c>
      <c r="C53" s="12"/>
      <c r="D53" s="7"/>
      <c r="E53" s="3"/>
      <c r="F53" s="8">
        <f t="shared" si="24"/>
        <v>0</v>
      </c>
      <c r="G53" s="3"/>
      <c r="H53" s="7">
        <v>75</v>
      </c>
      <c r="I53" s="3"/>
      <c r="J53" s="8">
        <f t="shared" si="25"/>
        <v>0</v>
      </c>
      <c r="K53" s="3"/>
      <c r="L53" s="7">
        <f t="shared" si="26"/>
        <v>-75</v>
      </c>
      <c r="M53" s="3"/>
      <c r="N53" s="8">
        <f t="shared" si="27"/>
        <v>-1</v>
      </c>
      <c r="O53" s="12"/>
      <c r="P53" s="7"/>
      <c r="Q53" s="3"/>
      <c r="R53" s="8">
        <f t="shared" si="28"/>
        <v>0</v>
      </c>
      <c r="S53" s="3"/>
      <c r="T53" s="7">
        <v>75</v>
      </c>
      <c r="U53" s="3"/>
      <c r="V53" s="8">
        <f t="shared" si="29"/>
        <v>0</v>
      </c>
      <c r="W53" s="3"/>
      <c r="X53" s="7">
        <f t="shared" si="30"/>
        <v>-75</v>
      </c>
      <c r="Y53" s="3"/>
      <c r="Z53" s="8">
        <f t="shared" si="31"/>
        <v>-1</v>
      </c>
    </row>
    <row r="54" spans="1:26" s="29" customFormat="1" outlineLevel="1" collapsed="1" x14ac:dyDescent="0.25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SUM(OSRRefD22_9x_0)</f>
        <v>0</v>
      </c>
      <c r="E54" s="1"/>
      <c r="F54" s="5">
        <f t="shared" si="24"/>
        <v>0</v>
      </c>
      <c r="G54" s="1"/>
      <c r="H54" s="1">
        <f>SUM(OSRRefH22_9x_0)</f>
        <v>436</v>
      </c>
      <c r="I54" s="1"/>
      <c r="J54" s="5">
        <f t="shared" si="25"/>
        <v>0</v>
      </c>
      <c r="K54" s="1"/>
      <c r="L54" s="1">
        <f t="shared" si="26"/>
        <v>-436</v>
      </c>
      <c r="M54" s="1"/>
      <c r="N54" s="5">
        <f t="shared" si="27"/>
        <v>-1</v>
      </c>
      <c r="O54" s="14"/>
      <c r="P54" s="1">
        <f>SUM(OSRRefP22_9x_0)</f>
        <v>0</v>
      </c>
      <c r="Q54" s="1"/>
      <c r="R54" s="5">
        <f t="shared" si="28"/>
        <v>0</v>
      </c>
      <c r="S54" s="1"/>
      <c r="T54" s="1">
        <f>SUM(OSRRefT22_9x_0)</f>
        <v>436</v>
      </c>
      <c r="U54" s="1"/>
      <c r="V54" s="5">
        <f t="shared" si="29"/>
        <v>0</v>
      </c>
      <c r="W54" s="1"/>
      <c r="X54" s="1">
        <f t="shared" si="30"/>
        <v>-436</v>
      </c>
      <c r="Y54" s="1"/>
      <c r="Z54" s="5">
        <f t="shared" si="31"/>
        <v>-1</v>
      </c>
    </row>
    <row r="55" spans="1:26" s="24" customFormat="1" hidden="1" outlineLevel="2" x14ac:dyDescent="0.25">
      <c r="A55" s="27"/>
      <c r="B55" s="12" t="str">
        <f>CONCATENATE("          ", "6282", " - ", "JANITORIAL/EXTERMINATOR EXPENS")</f>
        <v xml:space="preserve">          6282 - JANITORIAL/EXTERMINATOR EXPENS</v>
      </c>
      <c r="C55" s="12"/>
      <c r="D55" s="7"/>
      <c r="E55" s="3"/>
      <c r="F55" s="8">
        <f t="shared" si="24"/>
        <v>0</v>
      </c>
      <c r="G55" s="3"/>
      <c r="H55" s="7">
        <v>157</v>
      </c>
      <c r="I55" s="3"/>
      <c r="J55" s="8">
        <f t="shared" si="25"/>
        <v>0</v>
      </c>
      <c r="K55" s="3"/>
      <c r="L55" s="7">
        <f t="shared" si="26"/>
        <v>-157</v>
      </c>
      <c r="M55" s="3"/>
      <c r="N55" s="8">
        <f t="shared" si="27"/>
        <v>-1</v>
      </c>
      <c r="O55" s="12"/>
      <c r="P55" s="7"/>
      <c r="Q55" s="3"/>
      <c r="R55" s="8">
        <f t="shared" si="28"/>
        <v>0</v>
      </c>
      <c r="S55" s="3"/>
      <c r="T55" s="7">
        <v>157</v>
      </c>
      <c r="U55" s="3"/>
      <c r="V55" s="8">
        <f t="shared" si="29"/>
        <v>0</v>
      </c>
      <c r="W55" s="3"/>
      <c r="X55" s="7">
        <f t="shared" si="30"/>
        <v>-157</v>
      </c>
      <c r="Y55" s="3"/>
      <c r="Z55" s="8">
        <f t="shared" si="31"/>
        <v>-1</v>
      </c>
    </row>
    <row r="56" spans="1:26" s="24" customFormat="1" hidden="1" outlineLevel="2" x14ac:dyDescent="0.25">
      <c r="A56" s="27"/>
      <c r="B56" s="12" t="str">
        <f>CONCATENATE("          ", "6284", " - ", "TRASH REMOVAL EXPENSE")</f>
        <v xml:space="preserve">          6284 - TRASH REMOVAL EXPENSE</v>
      </c>
      <c r="C56" s="12"/>
      <c r="D56" s="7"/>
      <c r="E56" s="3"/>
      <c r="F56" s="8">
        <f t="shared" si="24"/>
        <v>0</v>
      </c>
      <c r="G56" s="3"/>
      <c r="H56" s="7">
        <v>237</v>
      </c>
      <c r="I56" s="3"/>
      <c r="J56" s="8">
        <f t="shared" si="25"/>
        <v>0</v>
      </c>
      <c r="K56" s="3"/>
      <c r="L56" s="7">
        <f t="shared" si="26"/>
        <v>-237</v>
      </c>
      <c r="M56" s="3"/>
      <c r="N56" s="8">
        <f t="shared" si="27"/>
        <v>-1</v>
      </c>
      <c r="O56" s="12"/>
      <c r="P56" s="7"/>
      <c r="Q56" s="3"/>
      <c r="R56" s="8">
        <f t="shared" si="28"/>
        <v>0</v>
      </c>
      <c r="S56" s="3"/>
      <c r="T56" s="7">
        <v>237</v>
      </c>
      <c r="U56" s="3"/>
      <c r="V56" s="8">
        <f t="shared" si="29"/>
        <v>0</v>
      </c>
      <c r="W56" s="3"/>
      <c r="X56" s="7">
        <f t="shared" si="30"/>
        <v>-237</v>
      </c>
      <c r="Y56" s="3"/>
      <c r="Z56" s="8">
        <f t="shared" si="31"/>
        <v>-1</v>
      </c>
    </row>
    <row r="57" spans="1:26" s="24" customFormat="1" hidden="1" outlineLevel="2" x14ac:dyDescent="0.25">
      <c r="A57" s="27"/>
      <c r="B57" s="12" t="str">
        <f>CONCATENATE("          ", "6286", " - ", "LAUNDRY EXPENSE")</f>
        <v xml:space="preserve">          6286 - LAUNDRY EXPENSE</v>
      </c>
      <c r="C57" s="12"/>
      <c r="D57" s="7"/>
      <c r="E57" s="3"/>
      <c r="F57" s="8">
        <f t="shared" si="24"/>
        <v>0</v>
      </c>
      <c r="G57" s="3"/>
      <c r="H57" s="7">
        <v>42</v>
      </c>
      <c r="I57" s="3"/>
      <c r="J57" s="8">
        <f t="shared" si="25"/>
        <v>0</v>
      </c>
      <c r="K57" s="3"/>
      <c r="L57" s="7">
        <f t="shared" si="26"/>
        <v>-42</v>
      </c>
      <c r="M57" s="3"/>
      <c r="N57" s="8">
        <f t="shared" si="27"/>
        <v>-1</v>
      </c>
      <c r="O57" s="12"/>
      <c r="P57" s="7"/>
      <c r="Q57" s="3"/>
      <c r="R57" s="8">
        <f t="shared" si="28"/>
        <v>0</v>
      </c>
      <c r="S57" s="3"/>
      <c r="T57" s="7">
        <v>42</v>
      </c>
      <c r="U57" s="3"/>
      <c r="V57" s="8">
        <f t="shared" si="29"/>
        <v>0</v>
      </c>
      <c r="W57" s="3"/>
      <c r="X57" s="7">
        <f t="shared" si="30"/>
        <v>-42</v>
      </c>
      <c r="Y57" s="3"/>
      <c r="Z57" s="8">
        <f t="shared" si="31"/>
        <v>-1</v>
      </c>
    </row>
    <row r="58" spans="1:26" s="29" customFormat="1" outlineLevel="1" collapsed="1" x14ac:dyDescent="0.25">
      <c r="A58" s="28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SUM(OSRRefD22_10x_0)</f>
        <v>0</v>
      </c>
      <c r="E58" s="1"/>
      <c r="F58" s="5">
        <f t="shared" ref="F58:F62" si="32">IF(D$12=0,0,D58/D$12)</f>
        <v>0</v>
      </c>
      <c r="G58" s="1"/>
      <c r="H58" s="1">
        <f>SUM(OSRRefH22_10x_0)</f>
        <v>176</v>
      </c>
      <c r="I58" s="1"/>
      <c r="J58" s="5">
        <f t="shared" ref="J58:J62" si="33">IF(H$12=0,0,H58/H$12)</f>
        <v>0</v>
      </c>
      <c r="K58" s="1"/>
      <c r="L58" s="1">
        <f t="shared" ref="L58:L62" si="34">+D58-H58</f>
        <v>-176</v>
      </c>
      <c r="M58" s="1"/>
      <c r="N58" s="5">
        <f t="shared" ref="N58:N62" si="35">IF(H58=0,0,L58/H58)</f>
        <v>-1</v>
      </c>
      <c r="O58" s="14"/>
      <c r="P58" s="1">
        <f>SUM(OSRRefP22_10x_0)</f>
        <v>0</v>
      </c>
      <c r="Q58" s="1"/>
      <c r="R58" s="5">
        <f t="shared" ref="R58:R62" si="36">IF(P$12=0,0,P58/P$12)</f>
        <v>0</v>
      </c>
      <c r="S58" s="1"/>
      <c r="T58" s="1">
        <f>SUM(OSRRefT22_10x_0)</f>
        <v>176</v>
      </c>
      <c r="U58" s="1"/>
      <c r="V58" s="5">
        <f t="shared" ref="V58:V62" si="37">IF(T$12=0,0,T58/T$12)</f>
        <v>0</v>
      </c>
      <c r="W58" s="1"/>
      <c r="X58" s="1">
        <f t="shared" ref="X58:X62" si="38">+P58-T58</f>
        <v>-176</v>
      </c>
      <c r="Y58" s="1"/>
      <c r="Z58" s="5">
        <f t="shared" ref="Z58:Z62" si="39">IF(T58=0,0,X58/T58)</f>
        <v>-1</v>
      </c>
    </row>
    <row r="59" spans="1:26" s="24" customFormat="1" hidden="1" outlineLevel="2" x14ac:dyDescent="0.25">
      <c r="A59" s="27"/>
      <c r="B59" s="12" t="str">
        <f>CONCATENATE("          ", "6275", " - ", "SUBSCRIPTIONS")</f>
        <v xml:space="preserve">          6275 - SUBSCRIPTIONS</v>
      </c>
      <c r="C59" s="12"/>
      <c r="D59" s="7"/>
      <c r="E59" s="3"/>
      <c r="F59" s="8">
        <f t="shared" si="32"/>
        <v>0</v>
      </c>
      <c r="G59" s="3"/>
      <c r="H59" s="7">
        <v>176</v>
      </c>
      <c r="I59" s="3"/>
      <c r="J59" s="8">
        <f t="shared" si="33"/>
        <v>0</v>
      </c>
      <c r="K59" s="3"/>
      <c r="L59" s="7">
        <f t="shared" si="34"/>
        <v>-176</v>
      </c>
      <c r="M59" s="3"/>
      <c r="N59" s="8">
        <f t="shared" si="35"/>
        <v>-1</v>
      </c>
      <c r="O59" s="12"/>
      <c r="P59" s="7"/>
      <c r="Q59" s="3"/>
      <c r="R59" s="8">
        <f t="shared" si="36"/>
        <v>0</v>
      </c>
      <c r="S59" s="3"/>
      <c r="T59" s="7">
        <v>176</v>
      </c>
      <c r="U59" s="3"/>
      <c r="V59" s="8">
        <f t="shared" si="37"/>
        <v>0</v>
      </c>
      <c r="W59" s="3"/>
      <c r="X59" s="7">
        <f t="shared" si="38"/>
        <v>-176</v>
      </c>
      <c r="Y59" s="3"/>
      <c r="Z59" s="8">
        <f t="shared" si="39"/>
        <v>-1</v>
      </c>
    </row>
    <row r="60" spans="1:26" s="29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SUM(OSRRefD22_11x_0)</f>
        <v>0</v>
      </c>
      <c r="E60" s="1"/>
      <c r="F60" s="5">
        <f t="shared" si="32"/>
        <v>0</v>
      </c>
      <c r="G60" s="1"/>
      <c r="H60" s="1">
        <f>SUM(OSRRefH22_11x_0)</f>
        <v>277</v>
      </c>
      <c r="I60" s="1"/>
      <c r="J60" s="5">
        <f t="shared" si="33"/>
        <v>0</v>
      </c>
      <c r="K60" s="1"/>
      <c r="L60" s="1">
        <f t="shared" si="34"/>
        <v>-277</v>
      </c>
      <c r="M60" s="1"/>
      <c r="N60" s="5">
        <f t="shared" si="35"/>
        <v>-1</v>
      </c>
      <c r="O60" s="14"/>
      <c r="P60" s="1">
        <f>SUM(OSRRefP22_11x_0)</f>
        <v>0</v>
      </c>
      <c r="Q60" s="1"/>
      <c r="R60" s="5">
        <f t="shared" si="36"/>
        <v>0</v>
      </c>
      <c r="S60" s="1"/>
      <c r="T60" s="1">
        <f>SUM(OSRRefT22_11x_0)</f>
        <v>277</v>
      </c>
      <c r="U60" s="1"/>
      <c r="V60" s="5">
        <f t="shared" si="37"/>
        <v>0</v>
      </c>
      <c r="W60" s="1"/>
      <c r="X60" s="1">
        <f t="shared" si="38"/>
        <v>-277</v>
      </c>
      <c r="Y60" s="1"/>
      <c r="Z60" s="5">
        <f t="shared" si="39"/>
        <v>-1</v>
      </c>
    </row>
    <row r="61" spans="1:26" s="24" customFormat="1" hidden="1" outlineLevel="2" x14ac:dyDescent="0.25">
      <c r="A61" s="27"/>
      <c r="B61" s="12" t="str">
        <f>CONCATENATE("          ", "6235", " - ", "COVID-19 EXPENSES")</f>
        <v xml:space="preserve">          6235 - COVID-19 EXPENSES</v>
      </c>
      <c r="C61" s="12"/>
      <c r="D61" s="7"/>
      <c r="E61" s="3"/>
      <c r="F61" s="8">
        <f t="shared" si="32"/>
        <v>0</v>
      </c>
      <c r="G61" s="3"/>
      <c r="H61" s="7">
        <v>0</v>
      </c>
      <c r="I61" s="3"/>
      <c r="J61" s="8">
        <f t="shared" si="33"/>
        <v>0</v>
      </c>
      <c r="K61" s="3"/>
      <c r="L61" s="7">
        <f t="shared" si="34"/>
        <v>0</v>
      </c>
      <c r="M61" s="3"/>
      <c r="N61" s="8">
        <f t="shared" si="35"/>
        <v>0</v>
      </c>
      <c r="O61" s="12"/>
      <c r="P61" s="7"/>
      <c r="Q61" s="3"/>
      <c r="R61" s="8">
        <f t="shared" si="36"/>
        <v>0</v>
      </c>
      <c r="S61" s="3"/>
      <c r="T61" s="7">
        <v>0</v>
      </c>
      <c r="U61" s="3"/>
      <c r="V61" s="8">
        <f t="shared" si="37"/>
        <v>0</v>
      </c>
      <c r="W61" s="3"/>
      <c r="X61" s="7">
        <f t="shared" si="38"/>
        <v>0</v>
      </c>
      <c r="Y61" s="3"/>
      <c r="Z61" s="8">
        <f t="shared" si="39"/>
        <v>0</v>
      </c>
    </row>
    <row r="62" spans="1:26" s="24" customFormat="1" hidden="1" outlineLevel="2" x14ac:dyDescent="0.25">
      <c r="A62" s="27"/>
      <c r="B62" s="12" t="str">
        <f>CONCATENATE("          ", "6247", " - ", "STORE SUPPLIES")</f>
        <v xml:space="preserve">          6247 - STORE SUPPLIES</v>
      </c>
      <c r="C62" s="12"/>
      <c r="D62" s="7"/>
      <c r="E62" s="3"/>
      <c r="F62" s="8">
        <f t="shared" si="32"/>
        <v>0</v>
      </c>
      <c r="G62" s="3"/>
      <c r="H62" s="7">
        <v>277</v>
      </c>
      <c r="I62" s="3"/>
      <c r="J62" s="8">
        <f t="shared" si="33"/>
        <v>0</v>
      </c>
      <c r="K62" s="3"/>
      <c r="L62" s="7">
        <f t="shared" si="34"/>
        <v>-277</v>
      </c>
      <c r="M62" s="3"/>
      <c r="N62" s="8">
        <f t="shared" si="35"/>
        <v>-1</v>
      </c>
      <c r="O62" s="12"/>
      <c r="P62" s="7"/>
      <c r="Q62" s="3"/>
      <c r="R62" s="8">
        <f t="shared" si="36"/>
        <v>0</v>
      </c>
      <c r="S62" s="3"/>
      <c r="T62" s="7">
        <v>277</v>
      </c>
      <c r="U62" s="3"/>
      <c r="V62" s="8">
        <f t="shared" si="37"/>
        <v>0</v>
      </c>
      <c r="W62" s="3"/>
      <c r="X62" s="7">
        <f t="shared" si="38"/>
        <v>-277</v>
      </c>
      <c r="Y62" s="3"/>
      <c r="Z62" s="8">
        <f t="shared" si="39"/>
        <v>-1</v>
      </c>
    </row>
    <row r="63" spans="1:26" s="29" customFormat="1" outlineLevel="1" collapsed="1" x14ac:dyDescent="0.25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38</v>
      </c>
      <c r="E63" s="1"/>
      <c r="F63" s="5">
        <f t="shared" ref="F63:F65" si="40">IF(D$12=0,0,D63/D$12)</f>
        <v>0</v>
      </c>
      <c r="G63" s="1"/>
      <c r="H63" s="1">
        <f>SUM(OSRRefH22_12x_0)</f>
        <v>187</v>
      </c>
      <c r="I63" s="1"/>
      <c r="J63" s="5">
        <f t="shared" ref="J63:J65" si="41">IF(H$12=0,0,H63/H$12)</f>
        <v>0</v>
      </c>
      <c r="K63" s="1"/>
      <c r="L63" s="1">
        <f t="shared" ref="L63:L65" si="42">+D63-H63</f>
        <v>-149</v>
      </c>
      <c r="M63" s="1"/>
      <c r="N63" s="5">
        <f t="shared" ref="N63:N65" si="43">IF(H63=0,0,L63/H63)</f>
        <v>-0.79679144385026734</v>
      </c>
      <c r="O63" s="14"/>
      <c r="P63" s="1">
        <f>SUM(OSRRefP22_12x_0)</f>
        <v>38</v>
      </c>
      <c r="Q63" s="1"/>
      <c r="R63" s="5">
        <f t="shared" ref="R63:R65" si="44">IF(P$12=0,0,P63/P$12)</f>
        <v>0</v>
      </c>
      <c r="S63" s="1"/>
      <c r="T63" s="1">
        <f>SUM(OSRRefT22_12x_0)</f>
        <v>187</v>
      </c>
      <c r="U63" s="1"/>
      <c r="V63" s="5">
        <f t="shared" ref="V63:V65" si="45">IF(T$12=0,0,T63/T$12)</f>
        <v>0</v>
      </c>
      <c r="W63" s="1"/>
      <c r="X63" s="1">
        <f t="shared" ref="X63:X65" si="46">+P63-T63</f>
        <v>-149</v>
      </c>
      <c r="Y63" s="1"/>
      <c r="Z63" s="5">
        <f t="shared" ref="Z63:Z65" si="47">IF(T63=0,0,X63/T63)</f>
        <v>-0.79679144385026734</v>
      </c>
    </row>
    <row r="64" spans="1:26" s="24" customFormat="1" hidden="1" outlineLevel="2" x14ac:dyDescent="0.25">
      <c r="A64" s="27"/>
      <c r="B64" s="12" t="str">
        <f>CONCATENATE("          ", "6303", " - ", "DATA PHONE LINES")</f>
        <v xml:space="preserve">          6303 - DATA PHONE LINES</v>
      </c>
      <c r="C64" s="12"/>
      <c r="D64" s="7"/>
      <c r="E64" s="3"/>
      <c r="F64" s="8">
        <f t="shared" si="40"/>
        <v>0</v>
      </c>
      <c r="G64" s="3"/>
      <c r="H64" s="7">
        <v>37</v>
      </c>
      <c r="I64" s="3"/>
      <c r="J64" s="8">
        <f t="shared" si="41"/>
        <v>0</v>
      </c>
      <c r="K64" s="3"/>
      <c r="L64" s="7">
        <f t="shared" si="42"/>
        <v>-37</v>
      </c>
      <c r="M64" s="3"/>
      <c r="N64" s="8">
        <f t="shared" si="43"/>
        <v>-1</v>
      </c>
      <c r="O64" s="12"/>
      <c r="P64" s="7"/>
      <c r="Q64" s="3"/>
      <c r="R64" s="8">
        <f t="shared" si="44"/>
        <v>0</v>
      </c>
      <c r="S64" s="3"/>
      <c r="T64" s="7">
        <v>37</v>
      </c>
      <c r="U64" s="3"/>
      <c r="V64" s="8">
        <f t="shared" si="45"/>
        <v>0</v>
      </c>
      <c r="W64" s="3"/>
      <c r="X64" s="7">
        <f t="shared" si="46"/>
        <v>-37</v>
      </c>
      <c r="Y64" s="3"/>
      <c r="Z64" s="8">
        <f t="shared" si="47"/>
        <v>-1</v>
      </c>
    </row>
    <row r="65" spans="1:26" s="24" customFormat="1" hidden="1" outlineLevel="2" x14ac:dyDescent="0.25">
      <c r="A65" s="27"/>
      <c r="B65" s="12" t="str">
        <f>CONCATENATE("          ", "6309", " - ", "TELEPHONE")</f>
        <v xml:space="preserve">          6309 - TELEPHONE</v>
      </c>
      <c r="C65" s="12"/>
      <c r="D65" s="7">
        <v>38</v>
      </c>
      <c r="E65" s="3"/>
      <c r="F65" s="8">
        <f t="shared" si="40"/>
        <v>0</v>
      </c>
      <c r="G65" s="3"/>
      <c r="H65" s="7">
        <v>150</v>
      </c>
      <c r="I65" s="3"/>
      <c r="J65" s="8">
        <f t="shared" si="41"/>
        <v>0</v>
      </c>
      <c r="K65" s="3"/>
      <c r="L65" s="7">
        <f t="shared" si="42"/>
        <v>-112</v>
      </c>
      <c r="M65" s="3"/>
      <c r="N65" s="8">
        <f t="shared" si="43"/>
        <v>-0.7466666666666667</v>
      </c>
      <c r="O65" s="12"/>
      <c r="P65" s="7">
        <v>38</v>
      </c>
      <c r="Q65" s="3"/>
      <c r="R65" s="8">
        <f t="shared" si="44"/>
        <v>0</v>
      </c>
      <c r="S65" s="3"/>
      <c r="T65" s="7">
        <v>150</v>
      </c>
      <c r="U65" s="3"/>
      <c r="V65" s="8">
        <f t="shared" si="45"/>
        <v>0</v>
      </c>
      <c r="W65" s="3"/>
      <c r="X65" s="7">
        <f t="shared" si="46"/>
        <v>-112</v>
      </c>
      <c r="Y65" s="3"/>
      <c r="Z65" s="8">
        <f t="shared" si="47"/>
        <v>-0.7466666666666667</v>
      </c>
    </row>
    <row r="66" spans="1:26" s="29" customFormat="1" outlineLevel="1" collapsed="1" x14ac:dyDescent="0.25">
      <c r="A66" s="28"/>
      <c r="B66" s="14" t="str">
        <f>CONCATENATE("     ","Utilities                                         ")</f>
        <v xml:space="preserve">     Utilities                                         </v>
      </c>
      <c r="C66" s="14"/>
      <c r="D66" s="1">
        <f>SUM(OSRRefD22_13x_0)</f>
        <v>0</v>
      </c>
      <c r="E66" s="1"/>
      <c r="F66" s="5">
        <f t="shared" ref="F66:F67" si="48">IF(D$12=0,0,D66/D$12)</f>
        <v>0</v>
      </c>
      <c r="G66" s="1"/>
      <c r="H66" s="1">
        <f>SUM(OSRRefH22_13x_0)</f>
        <v>771</v>
      </c>
      <c r="I66" s="1"/>
      <c r="J66" s="5">
        <f t="shared" ref="J66:J67" si="49">IF(H$12=0,0,H66/H$12)</f>
        <v>0</v>
      </c>
      <c r="K66" s="1"/>
      <c r="L66" s="1">
        <f t="shared" ref="L66:L67" si="50">+D66-H66</f>
        <v>-771</v>
      </c>
      <c r="M66" s="1"/>
      <c r="N66" s="5">
        <f t="shared" ref="N66:N67" si="51">IF(H66=0,0,L66/H66)</f>
        <v>-1</v>
      </c>
      <c r="O66" s="14"/>
      <c r="P66" s="1">
        <f>SUM(OSRRefP22_13x_0)</f>
        <v>0</v>
      </c>
      <c r="Q66" s="1"/>
      <c r="R66" s="5">
        <f t="shared" ref="R66:R67" si="52">IF(P$12=0,0,P66/P$12)</f>
        <v>0</v>
      </c>
      <c r="S66" s="1"/>
      <c r="T66" s="1">
        <f>SUM(OSRRefT22_13x_0)</f>
        <v>771</v>
      </c>
      <c r="U66" s="1"/>
      <c r="V66" s="5">
        <f t="shared" ref="V66:V67" si="53">IF(T$12=0,0,T66/T$12)</f>
        <v>0</v>
      </c>
      <c r="W66" s="1"/>
      <c r="X66" s="1">
        <f t="shared" ref="X66:X67" si="54">+P66-T66</f>
        <v>-771</v>
      </c>
      <c r="Y66" s="1"/>
      <c r="Z66" s="5">
        <f t="shared" ref="Z66:Z67" si="55">IF(T66=0,0,X66/T66)</f>
        <v>-1</v>
      </c>
    </row>
    <row r="67" spans="1:26" s="24" customFormat="1" hidden="1" outlineLevel="2" x14ac:dyDescent="0.25">
      <c r="A67" s="27"/>
      <c r="B67" s="12" t="str">
        <f>CONCATENATE("          ", "6274", " - ", "UTILITIES")</f>
        <v xml:space="preserve">          6274 - UTILITIES</v>
      </c>
      <c r="C67" s="12"/>
      <c r="D67" s="7"/>
      <c r="E67" s="3"/>
      <c r="F67" s="8">
        <f t="shared" si="48"/>
        <v>0</v>
      </c>
      <c r="G67" s="3"/>
      <c r="H67" s="7">
        <v>771</v>
      </c>
      <c r="I67" s="3"/>
      <c r="J67" s="8">
        <f t="shared" si="49"/>
        <v>0</v>
      </c>
      <c r="K67" s="3"/>
      <c r="L67" s="7">
        <f t="shared" si="50"/>
        <v>-771</v>
      </c>
      <c r="M67" s="3"/>
      <c r="N67" s="8">
        <f t="shared" si="51"/>
        <v>-1</v>
      </c>
      <c r="O67" s="12"/>
      <c r="P67" s="7"/>
      <c r="Q67" s="3"/>
      <c r="R67" s="8">
        <f t="shared" si="52"/>
        <v>0</v>
      </c>
      <c r="S67" s="3"/>
      <c r="T67" s="7">
        <v>771</v>
      </c>
      <c r="U67" s="3"/>
      <c r="V67" s="8">
        <f t="shared" si="53"/>
        <v>0</v>
      </c>
      <c r="W67" s="3"/>
      <c r="X67" s="7">
        <f t="shared" si="54"/>
        <v>-771</v>
      </c>
      <c r="Y67" s="3"/>
      <c r="Z67" s="8">
        <f t="shared" si="55"/>
        <v>-1</v>
      </c>
    </row>
    <row r="68" spans="1:26" s="54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2" customFormat="1" x14ac:dyDescent="0.25">
      <c r="A69" s="10"/>
      <c r="B69" s="26" t="s">
        <v>0</v>
      </c>
      <c r="C69" s="10"/>
      <c r="D69" s="4">
        <f>SUM(0)</f>
        <v>0</v>
      </c>
      <c r="E69" s="4"/>
      <c r="F69" s="11">
        <f>IF(D$12=0,0,D69/D$12)</f>
        <v>0</v>
      </c>
      <c r="G69" s="4"/>
      <c r="H69" s="4">
        <f>SUM(0)</f>
        <v>0</v>
      </c>
      <c r="I69" s="4"/>
      <c r="J69" s="11">
        <f>IF(H$12=0,0,H69/H$12)</f>
        <v>0</v>
      </c>
      <c r="K69" s="4"/>
      <c r="L69" s="4">
        <f>+D69-H69</f>
        <v>0</v>
      </c>
      <c r="M69" s="4"/>
      <c r="N69" s="11">
        <f>IF(H69=0,0,L69/H69)</f>
        <v>0</v>
      </c>
      <c r="O69" s="10"/>
      <c r="P69" s="4">
        <f>SUM(0)</f>
        <v>0</v>
      </c>
      <c r="Q69" s="4"/>
      <c r="R69" s="11">
        <f>IF(P$12=0,0,P69/P$12)</f>
        <v>0</v>
      </c>
      <c r="S69" s="4"/>
      <c r="T69" s="4">
        <f>SUM(0)</f>
        <v>0</v>
      </c>
      <c r="U69" s="4"/>
      <c r="V69" s="11">
        <f>IF(T$12=0,0,T69/T$12)</f>
        <v>0</v>
      </c>
      <c r="W69" s="4"/>
      <c r="X69" s="4">
        <f>+P69-T69</f>
        <v>0</v>
      </c>
      <c r="Y69" s="4"/>
      <c r="Z69" s="11">
        <f>IF(T69=0,0,X69/T69)</f>
        <v>0</v>
      </c>
    </row>
    <row r="70" spans="1:26" x14ac:dyDescent="0.25">
      <c r="A70" s="9"/>
      <c r="B70" s="10"/>
      <c r="C70" s="10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10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2" customFormat="1" x14ac:dyDescent="0.25">
      <c r="A71" s="10"/>
      <c r="B71" s="25" t="s">
        <v>3</v>
      </c>
      <c r="C71" s="25"/>
      <c r="D71" s="21">
        <f>+D16-D18+D69</f>
        <v>-14436.4</v>
      </c>
      <c r="E71" s="13"/>
      <c r="F71" s="20">
        <f>IF(D$12=0,0,D71/D$12)</f>
        <v>0</v>
      </c>
      <c r="G71" s="13"/>
      <c r="H71" s="21">
        <f>+H16-H18+H69</f>
        <v>-21162.876</v>
      </c>
      <c r="I71" s="13"/>
      <c r="J71" s="20">
        <f>IF(H$12=0,0,H71/H$12)</f>
        <v>0</v>
      </c>
      <c r="K71" s="15"/>
      <c r="L71" s="21">
        <f>+D71-H71</f>
        <v>6726.4760000000006</v>
      </c>
      <c r="M71" s="15"/>
      <c r="N71" s="20">
        <f>IF(H71=0,0,L71/H71)</f>
        <v>-0.31784318917712323</v>
      </c>
      <c r="O71" s="26"/>
      <c r="P71" s="21">
        <f>+P16-P18+P69</f>
        <v>-14436.4</v>
      </c>
      <c r="Q71" s="13"/>
      <c r="R71" s="20">
        <f>IF(P$12=0,0,P71/P$12)</f>
        <v>0</v>
      </c>
      <c r="S71" s="13"/>
      <c r="T71" s="21">
        <f>+T16-T18+T69</f>
        <v>-21162.876</v>
      </c>
      <c r="U71" s="13"/>
      <c r="V71" s="20">
        <f>IF(T$12=0,0,T71/T$12)</f>
        <v>0</v>
      </c>
      <c r="W71" s="15"/>
      <c r="X71" s="21">
        <f>+P71-T71</f>
        <v>6726.4760000000006</v>
      </c>
      <c r="Y71" s="15"/>
      <c r="Z71" s="20">
        <f>IF(T71=0,0,X71/T71)</f>
        <v>-0.31784318917712323</v>
      </c>
    </row>
    <row r="72" spans="1:26" x14ac:dyDescent="0.25">
      <c r="A72" s="9"/>
      <c r="B72" s="10"/>
      <c r="C72" s="9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2" customFormat="1" x14ac:dyDescent="0.25">
      <c r="A73" s="52"/>
      <c r="B73" s="10" t="s">
        <v>14</v>
      </c>
      <c r="C73" s="10"/>
      <c r="D73" s="4"/>
      <c r="E73" s="4"/>
      <c r="F73" s="11">
        <f>IF(D$12=0,0,D73/D$12)</f>
        <v>0</v>
      </c>
      <c r="G73" s="4"/>
      <c r="H73" s="4"/>
      <c r="I73" s="4"/>
      <c r="J73" s="11">
        <f>IF(H$12=0,0,H73/H$12)</f>
        <v>0</v>
      </c>
      <c r="K73" s="4"/>
      <c r="L73" s="4">
        <f>+D73-H73</f>
        <v>0</v>
      </c>
      <c r="M73" s="4"/>
      <c r="N73" s="11">
        <f>IF(H73=0,0,L73/H73)</f>
        <v>0</v>
      </c>
      <c r="O73" s="10"/>
      <c r="P73" s="4"/>
      <c r="Q73" s="4"/>
      <c r="R73" s="11">
        <f>IF(P$12=0,0,P73/P$12)</f>
        <v>0</v>
      </c>
      <c r="S73" s="4"/>
      <c r="T73" s="4"/>
      <c r="U73" s="4"/>
      <c r="V73" s="11">
        <f>IF(T$12=0,0,T73/T$12)</f>
        <v>0</v>
      </c>
      <c r="W73" s="4"/>
      <c r="X73" s="4">
        <f>+P73-T73</f>
        <v>0</v>
      </c>
      <c r="Y73" s="4"/>
      <c r="Z73" s="11">
        <f>IF(T73=0,0,X73/T73)</f>
        <v>0</v>
      </c>
    </row>
    <row r="74" spans="1:26" x14ac:dyDescent="0.25">
      <c r="A74" s="9"/>
      <c r="B74" s="10"/>
      <c r="C74" s="10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10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2" customFormat="1" ht="15.75" thickBot="1" x14ac:dyDescent="0.3">
      <c r="A75" s="10"/>
      <c r="B75" s="25" t="s">
        <v>4</v>
      </c>
      <c r="C75" s="25"/>
      <c r="D75" s="34">
        <f>+D71-D73</f>
        <v>-14436.4</v>
      </c>
      <c r="E75" s="13"/>
      <c r="F75" s="30">
        <f>IF(D$12=0,0,D75/D$12)</f>
        <v>0</v>
      </c>
      <c r="G75" s="13"/>
      <c r="H75" s="34">
        <f>+H71-H73</f>
        <v>-21162.876</v>
      </c>
      <c r="I75" s="13"/>
      <c r="J75" s="30">
        <f>IF(H$12=0,0,H75/H$12)</f>
        <v>0</v>
      </c>
      <c r="K75" s="15"/>
      <c r="L75" s="34">
        <f>D75-H75</f>
        <v>6726.4760000000006</v>
      </c>
      <c r="M75" s="15"/>
      <c r="N75" s="30">
        <f>IF(H75=0,0,L75/H75)</f>
        <v>-0.31784318917712323</v>
      </c>
      <c r="O75" s="26"/>
      <c r="P75" s="34">
        <f>+P71-P73</f>
        <v>-14436.4</v>
      </c>
      <c r="Q75" s="13"/>
      <c r="R75" s="30">
        <f>IF(P$12=0,0,P75/P$12)</f>
        <v>0</v>
      </c>
      <c r="S75" s="13"/>
      <c r="T75" s="34">
        <f>+T71-T73</f>
        <v>-21162.876</v>
      </c>
      <c r="U75" s="13"/>
      <c r="V75" s="30">
        <f>IF(T$12=0,0,T75/T$12)</f>
        <v>0</v>
      </c>
      <c r="W75" s="15"/>
      <c r="X75" s="34">
        <f>P75-T75</f>
        <v>6726.4760000000006</v>
      </c>
      <c r="Y75" s="15"/>
      <c r="Z75" s="30">
        <f>IF(T75=0,0,X75/T75)</f>
        <v>-0.31784318917712323</v>
      </c>
    </row>
    <row r="76" spans="1:26" ht="15.75" thickTop="1" x14ac:dyDescent="0.25">
      <c r="A76" s="9"/>
      <c r="B76" s="9"/>
      <c r="C76" s="9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x14ac:dyDescent="0.25">
      <c r="A77" s="9"/>
      <c r="B77" s="9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2" customFormat="1" ht="15.75" thickBot="1" x14ac:dyDescent="0.3">
      <c r="A78" s="10"/>
      <c r="B78" s="25" t="s">
        <v>5</v>
      </c>
      <c r="C78" s="25"/>
      <c r="D78" s="32">
        <f>SUM(D75:D77)</f>
        <v>-14436.4</v>
      </c>
      <c r="E78" s="13"/>
      <c r="F78" s="33">
        <f>IF(D$12=0,0,D78/D$12)</f>
        <v>0</v>
      </c>
      <c r="G78" s="13"/>
      <c r="H78" s="32">
        <f>SUM(H75:H77)</f>
        <v>-21162.876</v>
      </c>
      <c r="I78" s="13"/>
      <c r="J78" s="33">
        <f>IF(H$12=0,0,H78/H$12)</f>
        <v>0</v>
      </c>
      <c r="K78" s="15"/>
      <c r="L78" s="32">
        <f>+D78-H78</f>
        <v>6726.4760000000006</v>
      </c>
      <c r="M78" s="15"/>
      <c r="N78" s="33">
        <f>IF(H78=0,0,L78/H78)</f>
        <v>-0.31784318917712323</v>
      </c>
      <c r="O78" s="26"/>
      <c r="P78" s="32">
        <f>SUM(P75:P77)</f>
        <v>-14436.4</v>
      </c>
      <c r="Q78" s="13"/>
      <c r="R78" s="33">
        <f>IF(P$12=0,0,P78/P$12)</f>
        <v>0</v>
      </c>
      <c r="S78" s="13"/>
      <c r="T78" s="32">
        <f>SUM(T75:T77)</f>
        <v>-21162.876</v>
      </c>
      <c r="U78" s="13"/>
      <c r="V78" s="33">
        <f>IF(T$12=0,0,T78/T$12)</f>
        <v>0</v>
      </c>
      <c r="W78" s="15"/>
      <c r="X78" s="32">
        <f>+P78-T78</f>
        <v>6726.4760000000006</v>
      </c>
      <c r="Y78" s="15"/>
      <c r="Z78" s="33">
        <f>IF(T78=0,0,X78/T78)</f>
        <v>-0.31784318917712323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8">
        <v>44104.686149803238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6" t="s">
        <v>314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62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","327", " - ", "C-Store Vending Machine(s)")</f>
        <v>Department 327 - C-Store Vending Machine(s)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50</v>
      </c>
      <c r="I12" s="4"/>
      <c r="J12" s="11"/>
      <c r="K12" s="4"/>
      <c r="L12" s="4">
        <f t="shared" ref="L12:L13" si="0">+D12-H12</f>
        <v>-50</v>
      </c>
      <c r="M12" s="4"/>
      <c r="N12" s="11">
        <f t="shared" ref="N12:N13" si="1">IF(H12=0,0,L12/H12)</f>
        <v>-1</v>
      </c>
      <c r="O12" s="10"/>
      <c r="P12" s="4">
        <f>SUM(OSRRefP13x_0)</f>
        <v>0</v>
      </c>
      <c r="Q12" s="4"/>
      <c r="R12" s="11"/>
      <c r="S12" s="4"/>
      <c r="T12" s="4">
        <f>SUM(OSRRefT13x_0)</f>
        <v>50</v>
      </c>
      <c r="U12" s="4"/>
      <c r="V12" s="11"/>
      <c r="W12" s="4"/>
      <c r="X12" s="4">
        <f t="shared" ref="X12:X13" si="2">+P12-T12</f>
        <v>-50</v>
      </c>
      <c r="Y12" s="4"/>
      <c r="Z12" s="11">
        <f t="shared" ref="Z12:Z13" si="3">IF(T12=0,0,X12/T12)</f>
        <v>-1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50</v>
      </c>
      <c r="I13" s="3"/>
      <c r="J13" s="23"/>
      <c r="K13" s="3"/>
      <c r="L13" s="3">
        <f t="shared" si="0"/>
        <v>-50</v>
      </c>
      <c r="M13" s="3"/>
      <c r="N13" s="23">
        <f t="shared" si="1"/>
        <v>-1</v>
      </c>
      <c r="O13" s="12"/>
      <c r="P13" s="3">
        <f>0</f>
        <v>0</v>
      </c>
      <c r="Q13" s="3"/>
      <c r="R13" s="23"/>
      <c r="S13" s="3"/>
      <c r="T13" s="3">
        <v>50</v>
      </c>
      <c r="U13" s="3"/>
      <c r="V13" s="23"/>
      <c r="W13" s="3"/>
      <c r="X13" s="3">
        <f t="shared" si="2"/>
        <v>-50</v>
      </c>
      <c r="Y13" s="3"/>
      <c r="Z13" s="23">
        <f t="shared" si="3"/>
        <v>-1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1">
        <f t="shared" ref="F15:F16" si="4">IF(D$12=0,0,D15/D$12)</f>
        <v>0</v>
      </c>
      <c r="G15" s="4"/>
      <c r="H15" s="4">
        <f>SUM(OSRRefH16x_0)</f>
        <v>25</v>
      </c>
      <c r="I15" s="4"/>
      <c r="J15" s="11">
        <f t="shared" ref="J15:J16" si="5">IF(H$12=0,0,H15/H$12)</f>
        <v>0.5</v>
      </c>
      <c r="K15" s="4"/>
      <c r="L15" s="4">
        <f t="shared" ref="L15:L16" si="6">+D15-H15</f>
        <v>-25</v>
      </c>
      <c r="M15" s="4"/>
      <c r="N15" s="11">
        <f t="shared" ref="N15:N16" si="7">IF(H15=0,0,L15/H15)</f>
        <v>-1</v>
      </c>
      <c r="O15" s="10"/>
      <c r="P15" s="4">
        <f>SUM(OSRRefP16x_0)</f>
        <v>0</v>
      </c>
      <c r="Q15" s="4"/>
      <c r="R15" s="11">
        <f t="shared" ref="R15:R16" si="8">IF(P$12=0,0,P15/P$12)</f>
        <v>0</v>
      </c>
      <c r="S15" s="4"/>
      <c r="T15" s="4">
        <f>SUM(OSRRefT16x_0)</f>
        <v>25</v>
      </c>
      <c r="U15" s="4"/>
      <c r="V15" s="11">
        <f t="shared" ref="V15:V16" si="9">IF(T$12=0,0,T15/T$12)</f>
        <v>0.5</v>
      </c>
      <c r="W15" s="4"/>
      <c r="X15" s="4">
        <f t="shared" ref="X15:X16" si="10">+P15-T15</f>
        <v>-25</v>
      </c>
      <c r="Y15" s="4"/>
      <c r="Z15" s="11">
        <f t="shared" ref="Z15:Z16" si="11">IF(T15=0,0,X15/T15)</f>
        <v>-1</v>
      </c>
    </row>
    <row r="16" spans="1:26" s="24" customFormat="1" hidden="1" outlineLevel="1" x14ac:dyDescent="0.25">
      <c r="A16" s="51"/>
      <c r="B16" s="12" t="str">
        <f>CONCATENATE("          ", "5000", " - ", "PURCHASES @ COST")</f>
        <v xml:space="preserve">          5000 - PURCHASES @ COST</v>
      </c>
      <c r="C16" s="12"/>
      <c r="D16" s="3"/>
      <c r="E16" s="3"/>
      <c r="F16" s="23">
        <f t="shared" si="4"/>
        <v>0</v>
      </c>
      <c r="G16" s="3"/>
      <c r="H16" s="3">
        <v>25</v>
      </c>
      <c r="I16" s="3"/>
      <c r="J16" s="23">
        <f t="shared" si="5"/>
        <v>0.5</v>
      </c>
      <c r="K16" s="3"/>
      <c r="L16" s="3">
        <f t="shared" si="6"/>
        <v>-25</v>
      </c>
      <c r="M16" s="3"/>
      <c r="N16" s="23">
        <f t="shared" si="7"/>
        <v>-1</v>
      </c>
      <c r="O16" s="12"/>
      <c r="P16" s="3"/>
      <c r="Q16" s="3"/>
      <c r="R16" s="23">
        <f t="shared" si="8"/>
        <v>0</v>
      </c>
      <c r="S16" s="3"/>
      <c r="T16" s="3">
        <v>25</v>
      </c>
      <c r="U16" s="3"/>
      <c r="V16" s="23">
        <f t="shared" si="9"/>
        <v>0.5</v>
      </c>
      <c r="W16" s="3"/>
      <c r="X16" s="3">
        <f t="shared" si="10"/>
        <v>-25</v>
      </c>
      <c r="Y16" s="3"/>
      <c r="Z16" s="23">
        <f t="shared" si="11"/>
        <v>-1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>
        <f>D12-D15</f>
        <v>0</v>
      </c>
      <c r="E18" s="13"/>
      <c r="F18" s="20">
        <f>IF(D$12=0,0,D18/D$12)</f>
        <v>0</v>
      </c>
      <c r="G18" s="13"/>
      <c r="H18" s="21">
        <f>H12-H15</f>
        <v>25</v>
      </c>
      <c r="I18" s="13"/>
      <c r="J18" s="20">
        <f>IF(H$12=0,0,H18/H$12)</f>
        <v>0.5</v>
      </c>
      <c r="K18" s="15"/>
      <c r="L18" s="21">
        <f>+D18-H18</f>
        <v>-25</v>
      </c>
      <c r="M18" s="15"/>
      <c r="N18" s="20">
        <f>IF(H18=0,0,L18/H18)</f>
        <v>-1</v>
      </c>
      <c r="O18" s="26"/>
      <c r="P18" s="21">
        <f>P12-P15</f>
        <v>0</v>
      </c>
      <c r="Q18" s="13"/>
      <c r="R18" s="20">
        <f>IF(P$12=0,0,P18/P$12)</f>
        <v>0</v>
      </c>
      <c r="S18" s="13"/>
      <c r="T18" s="21">
        <f>T12-T15</f>
        <v>25</v>
      </c>
      <c r="U18" s="13"/>
      <c r="V18" s="20">
        <f>IF(T$12=0,0,T18/T$12)</f>
        <v>0.5</v>
      </c>
      <c r="W18" s="15"/>
      <c r="X18" s="21">
        <f>+P18-T18</f>
        <v>-25</v>
      </c>
      <c r="Y18" s="15"/>
      <c r="Z18" s="20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>
        <f>SUM(OSRRefD22x_0)</f>
        <v>0</v>
      </c>
      <c r="E20" s="19"/>
      <c r="F20" s="31">
        <f t="shared" ref="F20:F22" si="12">IF(D$12=0,0,D20/D$12)</f>
        <v>0</v>
      </c>
      <c r="G20" s="19"/>
      <c r="H20" s="19">
        <f>SUM(OSRRefH22x_0)</f>
        <v>5</v>
      </c>
      <c r="I20" s="19"/>
      <c r="J20" s="31">
        <f t="shared" ref="J20:J22" si="13">IF(H$12=0,0,H20/H$12)</f>
        <v>0.1</v>
      </c>
      <c r="K20" s="4"/>
      <c r="L20" s="19">
        <f t="shared" ref="L20:L22" si="14">+D20-H20</f>
        <v>-5</v>
      </c>
      <c r="M20" s="4"/>
      <c r="N20" s="31">
        <f t="shared" ref="N20:N22" si="15">IF(H20=0,0,L20/H20)</f>
        <v>-1</v>
      </c>
      <c r="O20" s="10"/>
      <c r="P20" s="19">
        <f>SUM(OSRRefP22x_0)</f>
        <v>0</v>
      </c>
      <c r="Q20" s="19"/>
      <c r="R20" s="31">
        <f t="shared" ref="R20:R22" si="16">IF(P$12=0,0,P20/P$12)</f>
        <v>0</v>
      </c>
      <c r="S20" s="19"/>
      <c r="T20" s="19">
        <f>SUM(OSRRefT22x_0)</f>
        <v>5</v>
      </c>
      <c r="U20" s="19"/>
      <c r="V20" s="31">
        <f t="shared" ref="V20:V22" si="17">IF(T$12=0,0,T20/T$12)</f>
        <v>0.1</v>
      </c>
      <c r="W20" s="4"/>
      <c r="X20" s="19">
        <f t="shared" ref="X20:X22" si="18">+P20-T20</f>
        <v>-5</v>
      </c>
      <c r="Y20" s="4"/>
      <c r="Z20" s="31">
        <f t="shared" ref="Z20:Z22" si="19">IF(T20=0,0,X20/T20)</f>
        <v>-1</v>
      </c>
    </row>
    <row r="21" spans="1:26" s="29" customFormat="1" outlineLevel="1" collapsed="1" x14ac:dyDescent="0.25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5</v>
      </c>
      <c r="I21" s="1"/>
      <c r="J21" s="5">
        <f t="shared" si="13"/>
        <v>0.1</v>
      </c>
      <c r="K21" s="1"/>
      <c r="L21" s="1">
        <f t="shared" si="14"/>
        <v>-5</v>
      </c>
      <c r="M21" s="1"/>
      <c r="N21" s="5">
        <f t="shared" si="15"/>
        <v>-1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5</v>
      </c>
      <c r="U21" s="1"/>
      <c r="V21" s="5">
        <f t="shared" si="17"/>
        <v>0.1</v>
      </c>
      <c r="W21" s="1"/>
      <c r="X21" s="1">
        <f t="shared" si="18"/>
        <v>-5</v>
      </c>
      <c r="Y21" s="1"/>
      <c r="Z21" s="5">
        <f t="shared" si="19"/>
        <v>-1</v>
      </c>
    </row>
    <row r="22" spans="1:26" s="24" customFormat="1" hidden="1" outlineLevel="2" x14ac:dyDescent="0.25">
      <c r="A22" s="27"/>
      <c r="B22" s="12" t="str">
        <f>CONCATENATE("          ", "6381", " - ", "BANK/CREDIT CARD FEES")</f>
        <v xml:space="preserve">          6381 - BANK/CREDIT CARD FEES</v>
      </c>
      <c r="C22" s="12"/>
      <c r="D22" s="7"/>
      <c r="E22" s="3"/>
      <c r="F22" s="8">
        <f t="shared" si="12"/>
        <v>0</v>
      </c>
      <c r="G22" s="3"/>
      <c r="H22" s="7">
        <v>5</v>
      </c>
      <c r="I22" s="3"/>
      <c r="J22" s="8">
        <f t="shared" si="13"/>
        <v>0.1</v>
      </c>
      <c r="K22" s="3"/>
      <c r="L22" s="7">
        <f t="shared" si="14"/>
        <v>-5</v>
      </c>
      <c r="M22" s="3"/>
      <c r="N22" s="8">
        <f t="shared" si="15"/>
        <v>-1</v>
      </c>
      <c r="O22" s="12"/>
      <c r="P22" s="7"/>
      <c r="Q22" s="3"/>
      <c r="R22" s="8">
        <f t="shared" si="16"/>
        <v>0</v>
      </c>
      <c r="S22" s="3"/>
      <c r="T22" s="7">
        <v>5</v>
      </c>
      <c r="U22" s="3"/>
      <c r="V22" s="8">
        <f t="shared" si="17"/>
        <v>0.1</v>
      </c>
      <c r="W22" s="3"/>
      <c r="X22" s="7">
        <f t="shared" si="18"/>
        <v>-5</v>
      </c>
      <c r="Y22" s="3"/>
      <c r="Z22" s="8">
        <f t="shared" si="19"/>
        <v>-1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x14ac:dyDescent="0.25">
      <c r="A24" s="10"/>
      <c r="B24" s="26" t="s">
        <v>0</v>
      </c>
      <c r="C24" s="10"/>
      <c r="D24" s="4">
        <f>SUM(0)</f>
        <v>0</v>
      </c>
      <c r="E24" s="4"/>
      <c r="F24" s="11">
        <f>IF(D$12=0,0,D24/D$12)</f>
        <v>0</v>
      </c>
      <c r="G24" s="4"/>
      <c r="H24" s="4">
        <f>SUM(0)</f>
        <v>0</v>
      </c>
      <c r="I24" s="4"/>
      <c r="J24" s="11">
        <f>IF(H$12=0,0,H24/H$12)</f>
        <v>0</v>
      </c>
      <c r="K24" s="4"/>
      <c r="L24" s="4">
        <f>+D24-H24</f>
        <v>0</v>
      </c>
      <c r="M24" s="4"/>
      <c r="N24" s="11">
        <f>IF(H24=0,0,L24/H24)</f>
        <v>0</v>
      </c>
      <c r="O24" s="10"/>
      <c r="P24" s="4">
        <f>SUM(0)</f>
        <v>0</v>
      </c>
      <c r="Q24" s="4"/>
      <c r="R24" s="11">
        <f>IF(P$12=0,0,P24/P$12)</f>
        <v>0</v>
      </c>
      <c r="S24" s="4"/>
      <c r="T24" s="4">
        <f>SUM(0)</f>
        <v>0</v>
      </c>
      <c r="U24" s="4"/>
      <c r="V24" s="11">
        <f>IF(T$12=0,0,T24/T$12)</f>
        <v>0</v>
      </c>
      <c r="W24" s="4"/>
      <c r="X24" s="4">
        <f>+P24-T24</f>
        <v>0</v>
      </c>
      <c r="Y24" s="4"/>
      <c r="Z24" s="11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2" customFormat="1" x14ac:dyDescent="0.25">
      <c r="A26" s="10"/>
      <c r="B26" s="25" t="s">
        <v>3</v>
      </c>
      <c r="C26" s="25"/>
      <c r="D26" s="21">
        <f>+D18-D20+D24</f>
        <v>0</v>
      </c>
      <c r="E26" s="13"/>
      <c r="F26" s="20">
        <f>IF(D$12=0,0,D26/D$12)</f>
        <v>0</v>
      </c>
      <c r="G26" s="13"/>
      <c r="H26" s="21">
        <f>+H18-H20+H24</f>
        <v>20</v>
      </c>
      <c r="I26" s="13"/>
      <c r="J26" s="20">
        <f>IF(H$12=0,0,H26/H$12)</f>
        <v>0.4</v>
      </c>
      <c r="K26" s="15"/>
      <c r="L26" s="21">
        <f>+D26-H26</f>
        <v>-20</v>
      </c>
      <c r="M26" s="15"/>
      <c r="N26" s="20">
        <f>IF(H26=0,0,L26/H26)</f>
        <v>-1</v>
      </c>
      <c r="O26" s="26"/>
      <c r="P26" s="21">
        <f>+P18-P20+P24</f>
        <v>0</v>
      </c>
      <c r="Q26" s="13"/>
      <c r="R26" s="20">
        <f>IF(P$12=0,0,P26/P$12)</f>
        <v>0</v>
      </c>
      <c r="S26" s="13"/>
      <c r="T26" s="21">
        <f>+T18-T20+T24</f>
        <v>20</v>
      </c>
      <c r="U26" s="13"/>
      <c r="V26" s="20">
        <f>IF(T$12=0,0,T26/T$12)</f>
        <v>0.4</v>
      </c>
      <c r="W26" s="15"/>
      <c r="X26" s="21">
        <f>+P26-T26</f>
        <v>-20</v>
      </c>
      <c r="Y26" s="15"/>
      <c r="Z26" s="20">
        <f>IF(T26=0,0,X26/T26)</f>
        <v>-1</v>
      </c>
    </row>
    <row r="27" spans="1:26" x14ac:dyDescent="0.25">
      <c r="A27" s="9"/>
      <c r="B27" s="10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2" customFormat="1" x14ac:dyDescent="0.25">
      <c r="A28" s="52"/>
      <c r="B28" s="10" t="s">
        <v>14</v>
      </c>
      <c r="C28" s="10"/>
      <c r="D28" s="4"/>
      <c r="E28" s="4"/>
      <c r="F28" s="11">
        <f>IF(D$12=0,0,D28/D$12)</f>
        <v>0</v>
      </c>
      <c r="G28" s="4"/>
      <c r="H28" s="4">
        <v>24</v>
      </c>
      <c r="I28" s="4"/>
      <c r="J28" s="11">
        <f>IF(H$12=0,0,H28/H$12)</f>
        <v>0.48</v>
      </c>
      <c r="K28" s="4"/>
      <c r="L28" s="4">
        <f>+D28-H28</f>
        <v>-24</v>
      </c>
      <c r="M28" s="4"/>
      <c r="N28" s="11">
        <f>IF(H28=0,0,L28/H28)</f>
        <v>-1</v>
      </c>
      <c r="O28" s="10"/>
      <c r="P28" s="4"/>
      <c r="Q28" s="4"/>
      <c r="R28" s="11">
        <f>IF(P$12=0,0,P28/P$12)</f>
        <v>0</v>
      </c>
      <c r="S28" s="4"/>
      <c r="T28" s="4">
        <v>24</v>
      </c>
      <c r="U28" s="4"/>
      <c r="V28" s="11">
        <f>IF(T$12=0,0,T28/T$12)</f>
        <v>0.48</v>
      </c>
      <c r="W28" s="4"/>
      <c r="X28" s="4">
        <f>+P28-T28</f>
        <v>-24</v>
      </c>
      <c r="Y28" s="4"/>
      <c r="Z28" s="11">
        <f>IF(T28=0,0,X28/T28)</f>
        <v>-1</v>
      </c>
    </row>
    <row r="29" spans="1:26" x14ac:dyDescent="0.25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2" customFormat="1" ht="15.75" thickBot="1" x14ac:dyDescent="0.3">
      <c r="A30" s="10"/>
      <c r="B30" s="25" t="s">
        <v>4</v>
      </c>
      <c r="C30" s="25"/>
      <c r="D30" s="34">
        <f>+D26-D28</f>
        <v>0</v>
      </c>
      <c r="E30" s="13"/>
      <c r="F30" s="30">
        <f>IF(D$12=0,0,D30/D$12)</f>
        <v>0</v>
      </c>
      <c r="G30" s="13"/>
      <c r="H30" s="34">
        <f>+H26-H28</f>
        <v>-4</v>
      </c>
      <c r="I30" s="13"/>
      <c r="J30" s="30">
        <f>IF(H$12=0,0,H30/H$12)</f>
        <v>-0.08</v>
      </c>
      <c r="K30" s="15"/>
      <c r="L30" s="34">
        <f>D30-H30</f>
        <v>4</v>
      </c>
      <c r="M30" s="15"/>
      <c r="N30" s="30">
        <f>IF(H30=0,0,L30/H30)</f>
        <v>-1</v>
      </c>
      <c r="O30" s="26"/>
      <c r="P30" s="34">
        <f>+P26-P28</f>
        <v>0</v>
      </c>
      <c r="Q30" s="13"/>
      <c r="R30" s="30">
        <f>IF(P$12=0,0,P30/P$12)</f>
        <v>0</v>
      </c>
      <c r="S30" s="13"/>
      <c r="T30" s="34">
        <f>+T26-T28</f>
        <v>-4</v>
      </c>
      <c r="U30" s="13"/>
      <c r="V30" s="30">
        <f>IF(T$12=0,0,T30/T$12)</f>
        <v>-0.08</v>
      </c>
      <c r="W30" s="15"/>
      <c r="X30" s="34">
        <f>P30-T30</f>
        <v>4</v>
      </c>
      <c r="Y30" s="15"/>
      <c r="Z30" s="30">
        <f>IF(T30=0,0,X30/T30)</f>
        <v>-1</v>
      </c>
    </row>
    <row r="31" spans="1:26" ht="15.75" thickTop="1" x14ac:dyDescent="0.25">
      <c r="A31" s="9"/>
      <c r="B31" s="9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ht="15.75" thickBot="1" x14ac:dyDescent="0.3">
      <c r="A33" s="10"/>
      <c r="B33" s="25" t="s">
        <v>5</v>
      </c>
      <c r="C33" s="25"/>
      <c r="D33" s="32">
        <f>SUM(D30:D32)</f>
        <v>0</v>
      </c>
      <c r="E33" s="13"/>
      <c r="F33" s="33">
        <f>IF(D$12=0,0,D33/D$12)</f>
        <v>0</v>
      </c>
      <c r="G33" s="13"/>
      <c r="H33" s="32">
        <f>SUM(H30:H32)</f>
        <v>-4</v>
      </c>
      <c r="I33" s="13"/>
      <c r="J33" s="33">
        <f>IF(H$12=0,0,H33/H$12)</f>
        <v>-0.08</v>
      </c>
      <c r="K33" s="15"/>
      <c r="L33" s="32">
        <f>+D33-H33</f>
        <v>4</v>
      </c>
      <c r="M33" s="15"/>
      <c r="N33" s="33">
        <f>IF(H33=0,0,L33/H33)</f>
        <v>-1</v>
      </c>
      <c r="O33" s="26"/>
      <c r="P33" s="32">
        <f>SUM(P30:P32)</f>
        <v>0</v>
      </c>
      <c r="Q33" s="13"/>
      <c r="R33" s="33">
        <f>IF(P$12=0,0,P33/P$12)</f>
        <v>0</v>
      </c>
      <c r="S33" s="13"/>
      <c r="T33" s="32">
        <f>SUM(T30:T32)</f>
        <v>-4</v>
      </c>
      <c r="U33" s="13"/>
      <c r="V33" s="33">
        <f>IF(T$12=0,0,T33/T$12)</f>
        <v>-0.08</v>
      </c>
      <c r="W33" s="15"/>
      <c r="X33" s="32">
        <f>+P33-T33</f>
        <v>4</v>
      </c>
      <c r="Y33" s="15"/>
      <c r="Z33" s="33">
        <f>IF(T33=0,0,X33/T33)</f>
        <v>-1</v>
      </c>
    </row>
    <row r="34" spans="1:26" ht="15.75" thickTop="1" x14ac:dyDescent="0.25">
      <c r="A34" s="9"/>
      <c r="C34" s="9"/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6" x14ac:dyDescent="0.25">
      <c r="A35" s="9"/>
      <c r="B35" s="58">
        <v>44104.686185648148</v>
      </c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6" x14ac:dyDescent="0.25">
      <c r="A36" s="9"/>
      <c r="B36" s="56" t="s">
        <v>314</v>
      </c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62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20302.829999999998</v>
      </c>
      <c r="E12" s="4"/>
      <c r="F12" s="11"/>
      <c r="G12" s="4"/>
      <c r="H12" s="4">
        <f>SUM(OSRRefH13x_0)</f>
        <v>4335</v>
      </c>
      <c r="I12" s="4"/>
      <c r="J12" s="11"/>
      <c r="K12" s="4"/>
      <c r="L12" s="4">
        <f t="shared" ref="L12:L18" si="0">+D12-H12</f>
        <v>15967.829999999998</v>
      </c>
      <c r="M12" s="4"/>
      <c r="N12" s="11">
        <f t="shared" ref="N12:N18" si="1">IF(H12=0,0,L12/H12)</f>
        <v>3.6834671280276812</v>
      </c>
      <c r="O12" s="10"/>
      <c r="P12" s="4">
        <f>SUM(OSRRefP13x_0)</f>
        <v>20302.829999999998</v>
      </c>
      <c r="Q12" s="4"/>
      <c r="R12" s="11"/>
      <c r="S12" s="4"/>
      <c r="T12" s="4">
        <f>SUM(OSRRefT13x_0)</f>
        <v>4335</v>
      </c>
      <c r="U12" s="4"/>
      <c r="V12" s="11"/>
      <c r="W12" s="4"/>
      <c r="X12" s="4">
        <f t="shared" ref="X12:X18" si="2">+P12-T12</f>
        <v>15967.829999999998</v>
      </c>
      <c r="Y12" s="4"/>
      <c r="Z12" s="11">
        <f t="shared" ref="Z12:Z18" si="3">IF(T12=0,0,X12/T12)</f>
        <v>3.6834671280276812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0</f>
        <v>0</v>
      </c>
      <c r="E13" s="3"/>
      <c r="F13" s="23"/>
      <c r="G13" s="3"/>
      <c r="H13" s="3">
        <v>1348</v>
      </c>
      <c r="I13" s="3"/>
      <c r="J13" s="23"/>
      <c r="K13" s="3"/>
      <c r="L13" s="3">
        <f t="shared" si="0"/>
        <v>-1348</v>
      </c>
      <c r="M13" s="3"/>
      <c r="N13" s="23">
        <f t="shared" si="1"/>
        <v>-1</v>
      </c>
      <c r="O13" s="12"/>
      <c r="P13" s="3">
        <f>0</f>
        <v>0</v>
      </c>
      <c r="Q13" s="3"/>
      <c r="R13" s="23"/>
      <c r="S13" s="3"/>
      <c r="T13" s="3">
        <v>1348</v>
      </c>
      <c r="U13" s="3"/>
      <c r="V13" s="23"/>
      <c r="W13" s="3"/>
      <c r="X13" s="3">
        <f t="shared" si="2"/>
        <v>-1348</v>
      </c>
      <c r="Y13" s="3"/>
      <c r="Z13" s="23">
        <f t="shared" si="3"/>
        <v>-1</v>
      </c>
    </row>
    <row r="14" spans="1:26" s="24" customFormat="1" hidden="1" outlineLevel="1" x14ac:dyDescent="0.25">
      <c r="A14" s="51"/>
      <c r="B14" s="12" t="str">
        <f>CONCATENATE("          ", "4053", " - ", "TAXABLE SALES-FOOD")</f>
        <v xml:space="preserve">          4053 - TAXABLE SALES-FOOD</v>
      </c>
      <c r="C14" s="12"/>
      <c r="D14" s="3">
        <f>--199.89</f>
        <v>199.89</v>
      </c>
      <c r="E14" s="3"/>
      <c r="F14" s="23"/>
      <c r="G14" s="3"/>
      <c r="H14" s="3"/>
      <c r="I14" s="3"/>
      <c r="J14" s="23"/>
      <c r="K14" s="3"/>
      <c r="L14" s="3">
        <f t="shared" si="0"/>
        <v>199.89</v>
      </c>
      <c r="M14" s="3"/>
      <c r="N14" s="23">
        <f t="shared" si="1"/>
        <v>0</v>
      </c>
      <c r="O14" s="12"/>
      <c r="P14" s="3">
        <f>--199.89</f>
        <v>199.89</v>
      </c>
      <c r="Q14" s="3"/>
      <c r="R14" s="23"/>
      <c r="S14" s="3"/>
      <c r="T14" s="3"/>
      <c r="U14" s="3"/>
      <c r="V14" s="23"/>
      <c r="W14" s="3"/>
      <c r="X14" s="3">
        <f t="shared" si="2"/>
        <v>199.89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"4058", " - ", "TAXABLE SALES-FOOD")</f>
        <v xml:space="preserve">          4058 - TAXABLE SALES-FOOD</v>
      </c>
      <c r="C15" s="12"/>
      <c r="D15" s="3">
        <f>--974.91</f>
        <v>974.91</v>
      </c>
      <c r="E15" s="3"/>
      <c r="F15" s="23"/>
      <c r="G15" s="3"/>
      <c r="H15" s="3"/>
      <c r="I15" s="3"/>
      <c r="J15" s="23"/>
      <c r="K15" s="3"/>
      <c r="L15" s="3">
        <f t="shared" si="0"/>
        <v>974.91</v>
      </c>
      <c r="M15" s="3"/>
      <c r="N15" s="23">
        <f t="shared" si="1"/>
        <v>0</v>
      </c>
      <c r="O15" s="12"/>
      <c r="P15" s="3">
        <f>--974.91</f>
        <v>974.91</v>
      </c>
      <c r="Q15" s="3"/>
      <c r="R15" s="23"/>
      <c r="S15" s="3"/>
      <c r="T15" s="3"/>
      <c r="U15" s="3"/>
      <c r="V15" s="23"/>
      <c r="W15" s="3"/>
      <c r="X15" s="3">
        <f t="shared" si="2"/>
        <v>974.91</v>
      </c>
      <c r="Y15" s="3"/>
      <c r="Z15" s="23">
        <f t="shared" si="3"/>
        <v>0</v>
      </c>
    </row>
    <row r="16" spans="1:26" s="24" customFormat="1" hidden="1" outlineLevel="1" x14ac:dyDescent="0.25">
      <c r="A16" s="51"/>
      <c r="B16" s="12" t="str">
        <f>CONCATENATE("          ", "4100", " - ", "NON-TAXABLE SALES")</f>
        <v xml:space="preserve">          4100 - NON-TAXABLE SALES</v>
      </c>
      <c r="C16" s="12"/>
      <c r="D16" s="3">
        <f>0</f>
        <v>0</v>
      </c>
      <c r="E16" s="3"/>
      <c r="F16" s="23"/>
      <c r="G16" s="3"/>
      <c r="H16" s="3">
        <v>2987</v>
      </c>
      <c r="I16" s="3"/>
      <c r="J16" s="23"/>
      <c r="K16" s="3"/>
      <c r="L16" s="3">
        <f t="shared" si="0"/>
        <v>-2987</v>
      </c>
      <c r="M16" s="3"/>
      <c r="N16" s="23">
        <f t="shared" si="1"/>
        <v>-1</v>
      </c>
      <c r="O16" s="12"/>
      <c r="P16" s="3">
        <f>0</f>
        <v>0</v>
      </c>
      <c r="Q16" s="3"/>
      <c r="R16" s="23"/>
      <c r="S16" s="3"/>
      <c r="T16" s="3">
        <v>2987</v>
      </c>
      <c r="U16" s="3"/>
      <c r="V16" s="23"/>
      <c r="W16" s="3"/>
      <c r="X16" s="3">
        <f t="shared" si="2"/>
        <v>-2987</v>
      </c>
      <c r="Y16" s="3"/>
      <c r="Z16" s="23">
        <f t="shared" si="3"/>
        <v>-1</v>
      </c>
    </row>
    <row r="17" spans="1:26" s="24" customFormat="1" hidden="1" outlineLevel="1" x14ac:dyDescent="0.25">
      <c r="A17" s="51"/>
      <c r="B17" s="12" t="str">
        <f>CONCATENATE("          ", "4151", " - ", "NON-TAXABLE SALES-FOOD")</f>
        <v xml:space="preserve">          4151 - NON-TAXABLE SALES-FOOD</v>
      </c>
      <c r="C17" s="12"/>
      <c r="D17" s="3">
        <f>--1300</f>
        <v>1300</v>
      </c>
      <c r="E17" s="3"/>
      <c r="F17" s="23"/>
      <c r="G17" s="3"/>
      <c r="H17" s="3"/>
      <c r="I17" s="3"/>
      <c r="J17" s="23"/>
      <c r="K17" s="3"/>
      <c r="L17" s="3">
        <f t="shared" si="0"/>
        <v>1300</v>
      </c>
      <c r="M17" s="3"/>
      <c r="N17" s="23">
        <f t="shared" si="1"/>
        <v>0</v>
      </c>
      <c r="O17" s="12"/>
      <c r="P17" s="3">
        <f>--1300</f>
        <v>1300</v>
      </c>
      <c r="Q17" s="3"/>
      <c r="R17" s="23"/>
      <c r="S17" s="3"/>
      <c r="T17" s="3"/>
      <c r="U17" s="3"/>
      <c r="V17" s="23"/>
      <c r="W17" s="3"/>
      <c r="X17" s="3">
        <f t="shared" si="2"/>
        <v>1300</v>
      </c>
      <c r="Y17" s="3"/>
      <c r="Z17" s="23">
        <f t="shared" si="3"/>
        <v>0</v>
      </c>
    </row>
    <row r="18" spans="1:26" s="24" customFormat="1" hidden="1" outlineLevel="1" x14ac:dyDescent="0.25">
      <c r="A18" s="51"/>
      <c r="B18" s="12" t="str">
        <f>CONCATENATE("          ", "4153", " - ", "NON-TAXABLE SALES-FOOD")</f>
        <v xml:space="preserve">          4153 - NON-TAXABLE SALES-FOOD</v>
      </c>
      <c r="C18" s="12"/>
      <c r="D18" s="3">
        <f>--17828.03</f>
        <v>17828.03</v>
      </c>
      <c r="E18" s="3"/>
      <c r="F18" s="23"/>
      <c r="G18" s="3"/>
      <c r="H18" s="3"/>
      <c r="I18" s="3"/>
      <c r="J18" s="23"/>
      <c r="K18" s="3"/>
      <c r="L18" s="3">
        <f t="shared" si="0"/>
        <v>17828.03</v>
      </c>
      <c r="M18" s="3"/>
      <c r="N18" s="23">
        <f t="shared" si="1"/>
        <v>0</v>
      </c>
      <c r="O18" s="12"/>
      <c r="P18" s="3">
        <f>--17828.03</f>
        <v>17828.03</v>
      </c>
      <c r="Q18" s="3"/>
      <c r="R18" s="23"/>
      <c r="S18" s="3"/>
      <c r="T18" s="3"/>
      <c r="U18" s="3"/>
      <c r="V18" s="23"/>
      <c r="W18" s="3"/>
      <c r="X18" s="3">
        <f t="shared" si="2"/>
        <v>17828.03</v>
      </c>
      <c r="Y18" s="3"/>
      <c r="Z18" s="23">
        <f t="shared" si="3"/>
        <v>0</v>
      </c>
    </row>
    <row r="19" spans="1:26" x14ac:dyDescent="0.25">
      <c r="A19" s="9"/>
      <c r="B19" s="10"/>
      <c r="C19" s="9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2" customFormat="1" collapsed="1" x14ac:dyDescent="0.25">
      <c r="A20" s="10"/>
      <c r="B20" s="26" t="s">
        <v>8</v>
      </c>
      <c r="C20" s="10"/>
      <c r="D20" s="4">
        <f>SUM(OSRRefD16x_0)</f>
        <v>11689.62</v>
      </c>
      <c r="E20" s="4"/>
      <c r="F20" s="11">
        <f t="shared" ref="F20:F23" si="4">IF(D$12=0,0,D20/D$12)</f>
        <v>0.5757630832745978</v>
      </c>
      <c r="G20" s="4"/>
      <c r="H20" s="4">
        <f>SUM(OSRRefH16x_0)</f>
        <v>1040</v>
      </c>
      <c r="I20" s="4"/>
      <c r="J20" s="11">
        <f t="shared" ref="J20:J23" si="5">IF(H$12=0,0,H20/H$12)</f>
        <v>0.23990772779700115</v>
      </c>
      <c r="K20" s="4"/>
      <c r="L20" s="4">
        <f t="shared" ref="L20:L23" si="6">+D20-H20</f>
        <v>10649.62</v>
      </c>
      <c r="M20" s="4"/>
      <c r="N20" s="11">
        <f t="shared" ref="N20:N23" si="7">IF(H20=0,0,L20/H20)</f>
        <v>10.240019230769231</v>
      </c>
      <c r="O20" s="10"/>
      <c r="P20" s="4">
        <f>SUM(OSRRefP16x_0)</f>
        <v>11689.62</v>
      </c>
      <c r="Q20" s="4"/>
      <c r="R20" s="11">
        <f t="shared" ref="R20:R23" si="8">IF(P$12=0,0,P20/P$12)</f>
        <v>0.5757630832745978</v>
      </c>
      <c r="S20" s="4"/>
      <c r="T20" s="4">
        <f>SUM(OSRRefT16x_0)</f>
        <v>1040</v>
      </c>
      <c r="U20" s="4"/>
      <c r="V20" s="11">
        <f t="shared" ref="V20:V23" si="9">IF(T$12=0,0,T20/T$12)</f>
        <v>0.23990772779700115</v>
      </c>
      <c r="W20" s="4"/>
      <c r="X20" s="4">
        <f t="shared" ref="X20:X23" si="10">+P20-T20</f>
        <v>10649.62</v>
      </c>
      <c r="Y20" s="4"/>
      <c r="Z20" s="11">
        <f t="shared" ref="Z20:Z23" si="11">IF(T20=0,0,X20/T20)</f>
        <v>10.240019230769231</v>
      </c>
    </row>
    <row r="21" spans="1:26" s="24" customFormat="1" hidden="1" outlineLevel="1" x14ac:dyDescent="0.25">
      <c r="A21" s="51"/>
      <c r="B21" s="12" t="str">
        <f>CONCATENATE("          ", "5000", " - ", "PURCHASES @ COST")</f>
        <v xml:space="preserve">          5000 - PURCHASES @ COST</v>
      </c>
      <c r="C21" s="12"/>
      <c r="D21" s="3"/>
      <c r="E21" s="3"/>
      <c r="F21" s="23">
        <f t="shared" si="4"/>
        <v>0</v>
      </c>
      <c r="G21" s="3"/>
      <c r="H21" s="3">
        <v>1040</v>
      </c>
      <c r="I21" s="3"/>
      <c r="J21" s="23">
        <f t="shared" si="5"/>
        <v>0.23990772779700115</v>
      </c>
      <c r="K21" s="3"/>
      <c r="L21" s="3">
        <f t="shared" si="6"/>
        <v>-1040</v>
      </c>
      <c r="M21" s="3"/>
      <c r="N21" s="23">
        <f t="shared" si="7"/>
        <v>-1</v>
      </c>
      <c r="O21" s="12"/>
      <c r="P21" s="3"/>
      <c r="Q21" s="3"/>
      <c r="R21" s="23">
        <f t="shared" si="8"/>
        <v>0</v>
      </c>
      <c r="S21" s="3"/>
      <c r="T21" s="3">
        <v>1040</v>
      </c>
      <c r="U21" s="3"/>
      <c r="V21" s="23">
        <f t="shared" si="9"/>
        <v>0.23990772779700115</v>
      </c>
      <c r="W21" s="3"/>
      <c r="X21" s="3">
        <f t="shared" si="10"/>
        <v>-1040</v>
      </c>
      <c r="Y21" s="3"/>
      <c r="Z21" s="23">
        <f t="shared" si="11"/>
        <v>-1</v>
      </c>
    </row>
    <row r="22" spans="1:26" s="24" customFormat="1" hidden="1" outlineLevel="1" x14ac:dyDescent="0.25">
      <c r="A22" s="51"/>
      <c r="B22" s="12" t="str">
        <f>CONCATENATE("          ", "5053", " - ", "PURCHASES @ COST-FOOD")</f>
        <v xml:space="preserve">          5053 - PURCHASES @ COST-FOOD</v>
      </c>
      <c r="C22" s="12"/>
      <c r="D22" s="3">
        <v>8280.6200000000008</v>
      </c>
      <c r="E22" s="3"/>
      <c r="F22" s="23">
        <f t="shared" si="4"/>
        <v>0.40785545660383316</v>
      </c>
      <c r="G22" s="3"/>
      <c r="H22" s="3"/>
      <c r="I22" s="3"/>
      <c r="J22" s="23">
        <f t="shared" si="5"/>
        <v>0</v>
      </c>
      <c r="K22" s="3"/>
      <c r="L22" s="3">
        <f t="shared" si="6"/>
        <v>8280.6200000000008</v>
      </c>
      <c r="M22" s="3"/>
      <c r="N22" s="23">
        <f t="shared" si="7"/>
        <v>0</v>
      </c>
      <c r="O22" s="12"/>
      <c r="P22" s="3">
        <v>8280.6200000000008</v>
      </c>
      <c r="Q22" s="3"/>
      <c r="R22" s="23">
        <f t="shared" si="8"/>
        <v>0.40785545660383316</v>
      </c>
      <c r="S22" s="3"/>
      <c r="T22" s="3"/>
      <c r="U22" s="3"/>
      <c r="V22" s="23">
        <f t="shared" si="9"/>
        <v>0</v>
      </c>
      <c r="W22" s="3"/>
      <c r="X22" s="3">
        <f t="shared" si="10"/>
        <v>8280.6200000000008</v>
      </c>
      <c r="Y22" s="3"/>
      <c r="Z22" s="23">
        <f t="shared" si="11"/>
        <v>0</v>
      </c>
    </row>
    <row r="23" spans="1:26" s="24" customFormat="1" hidden="1" outlineLevel="1" x14ac:dyDescent="0.25">
      <c r="A23" s="51"/>
      <c r="B23" s="12" t="str">
        <f>CONCATENATE("          ", "5059", " - ", "PURCHASES @ COST-FOOD")</f>
        <v xml:space="preserve">          5059 - PURCHASES @ COST-FOOD</v>
      </c>
      <c r="C23" s="12"/>
      <c r="D23" s="3">
        <v>3409</v>
      </c>
      <c r="E23" s="3"/>
      <c r="F23" s="23">
        <f t="shared" si="4"/>
        <v>0.16790762667076464</v>
      </c>
      <c r="G23" s="3"/>
      <c r="H23" s="3"/>
      <c r="I23" s="3"/>
      <c r="J23" s="23">
        <f t="shared" si="5"/>
        <v>0</v>
      </c>
      <c r="K23" s="3"/>
      <c r="L23" s="3">
        <f t="shared" si="6"/>
        <v>3409</v>
      </c>
      <c r="M23" s="3"/>
      <c r="N23" s="23">
        <f t="shared" si="7"/>
        <v>0</v>
      </c>
      <c r="O23" s="12"/>
      <c r="P23" s="3">
        <v>3409</v>
      </c>
      <c r="Q23" s="3"/>
      <c r="R23" s="23">
        <f t="shared" si="8"/>
        <v>0.16790762667076464</v>
      </c>
      <c r="S23" s="3"/>
      <c r="T23" s="3"/>
      <c r="U23" s="3"/>
      <c r="V23" s="23">
        <f t="shared" si="9"/>
        <v>0</v>
      </c>
      <c r="W23" s="3"/>
      <c r="X23" s="3">
        <f t="shared" si="10"/>
        <v>3409</v>
      </c>
      <c r="Y23" s="3"/>
      <c r="Z23" s="23">
        <f t="shared" si="11"/>
        <v>0</v>
      </c>
    </row>
    <row r="24" spans="1:26" x14ac:dyDescent="0.25">
      <c r="A24" s="9"/>
      <c r="B24" s="10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10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22" customFormat="1" x14ac:dyDescent="0.25">
      <c r="A25" s="10"/>
      <c r="B25" s="25" t="s">
        <v>6</v>
      </c>
      <c r="C25" s="25"/>
      <c r="D25" s="21">
        <f>D12-D20</f>
        <v>8613.2099999999973</v>
      </c>
      <c r="E25" s="13"/>
      <c r="F25" s="20">
        <f>IF(D$12=0,0,D25/D$12)</f>
        <v>0.4242369167254022</v>
      </c>
      <c r="G25" s="13"/>
      <c r="H25" s="21">
        <f>H12-H20</f>
        <v>3295</v>
      </c>
      <c r="I25" s="13"/>
      <c r="J25" s="20">
        <f>IF(H$12=0,0,H25/H$12)</f>
        <v>0.7600922722029988</v>
      </c>
      <c r="K25" s="15"/>
      <c r="L25" s="21">
        <f>+D25-H25</f>
        <v>5318.2099999999973</v>
      </c>
      <c r="M25" s="15"/>
      <c r="N25" s="20">
        <f>IF(H25=0,0,L25/H25)</f>
        <v>1.6140242792109247</v>
      </c>
      <c r="O25" s="26"/>
      <c r="P25" s="21">
        <f>P12-P20</f>
        <v>8613.2099999999973</v>
      </c>
      <c r="Q25" s="13"/>
      <c r="R25" s="20">
        <f>IF(P$12=0,0,P25/P$12)</f>
        <v>0.4242369167254022</v>
      </c>
      <c r="S25" s="13"/>
      <c r="T25" s="21">
        <f>T12-T20</f>
        <v>3295</v>
      </c>
      <c r="U25" s="13"/>
      <c r="V25" s="20">
        <f>IF(T$12=0,0,T25/T$12)</f>
        <v>0.7600922722029988</v>
      </c>
      <c r="W25" s="15"/>
      <c r="X25" s="21">
        <f>+P25-T25</f>
        <v>5318.2099999999973</v>
      </c>
      <c r="Y25" s="15"/>
      <c r="Z25" s="20">
        <f>IF(T25=0,0,X25/T25)</f>
        <v>1.6140242792109247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2" customFormat="1" x14ac:dyDescent="0.25">
      <c r="A27" s="10"/>
      <c r="B27" s="26" t="s">
        <v>9</v>
      </c>
      <c r="C27" s="10"/>
      <c r="D27" s="19">
        <f>SUM(OSRRefD22x_0)</f>
        <v>313095.14999999997</v>
      </c>
      <c r="E27" s="19"/>
      <c r="F27" s="31">
        <f t="shared" ref="F27:F38" si="12">IF(D$12=0,0,D27/D$12)</f>
        <v>15.421256544038442</v>
      </c>
      <c r="G27" s="19"/>
      <c r="H27" s="19">
        <f>SUM(OSRRefH22x_0)</f>
        <v>405605.53597129864</v>
      </c>
      <c r="I27" s="19"/>
      <c r="J27" s="31">
        <f t="shared" ref="J27:J38" si="13">IF(H$12=0,0,H27/H$12)</f>
        <v>93.565290881499109</v>
      </c>
      <c r="K27" s="4"/>
      <c r="L27" s="19">
        <f t="shared" ref="L27:L38" si="14">+D27-H27</f>
        <v>-92510.385971298674</v>
      </c>
      <c r="M27" s="4"/>
      <c r="N27" s="31">
        <f t="shared" ref="N27:N38" si="15">IF(H27=0,0,L27/H27)</f>
        <v>-0.2280796926249174</v>
      </c>
      <c r="O27" s="10"/>
      <c r="P27" s="19">
        <f>SUM(OSRRefP22x_0)</f>
        <v>313095.14999999997</v>
      </c>
      <c r="Q27" s="19"/>
      <c r="R27" s="31">
        <f t="shared" ref="R27:R38" si="16">IF(P$12=0,0,P27/P$12)</f>
        <v>15.421256544038442</v>
      </c>
      <c r="S27" s="19"/>
      <c r="T27" s="19">
        <f>SUM(OSRRefT22x_0)</f>
        <v>405605.53597129864</v>
      </c>
      <c r="U27" s="19"/>
      <c r="V27" s="31">
        <f t="shared" ref="V27:V38" si="17">IF(T$12=0,0,T27/T$12)</f>
        <v>93.565290881499109</v>
      </c>
      <c r="W27" s="4"/>
      <c r="X27" s="19">
        <f t="shared" ref="X27:X38" si="18">+P27-T27</f>
        <v>-92510.385971298674</v>
      </c>
      <c r="Y27" s="4"/>
      <c r="Z27" s="31">
        <f t="shared" ref="Z27:Z38" si="19">IF(T27=0,0,X27/T27)</f>
        <v>-0.2280796926249174</v>
      </c>
    </row>
    <row r="28" spans="1:26" s="29" customFormat="1" outlineLevel="1" collapsed="1" x14ac:dyDescent="0.25">
      <c r="A28" s="28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97515.280000000013</v>
      </c>
      <c r="E28" s="1"/>
      <c r="F28" s="5">
        <f t="shared" si="12"/>
        <v>4.8030387881886432</v>
      </c>
      <c r="G28" s="1"/>
      <c r="H28" s="1">
        <f>SUM(OSRRefH22_0x_0)</f>
        <v>126382.29119950377</v>
      </c>
      <c r="I28" s="1"/>
      <c r="J28" s="5">
        <f t="shared" si="13"/>
        <v>29.153931072549891</v>
      </c>
      <c r="K28" s="1"/>
      <c r="L28" s="1">
        <f t="shared" si="14"/>
        <v>-28867.011199503759</v>
      </c>
      <c r="M28" s="1"/>
      <c r="N28" s="5">
        <f t="shared" si="15"/>
        <v>-0.22841025372720178</v>
      </c>
      <c r="O28" s="14"/>
      <c r="P28" s="1">
        <f>SUM(OSRRefP22_0x_0)</f>
        <v>97515.280000000013</v>
      </c>
      <c r="Q28" s="1"/>
      <c r="R28" s="5">
        <f t="shared" si="16"/>
        <v>4.8030387881886432</v>
      </c>
      <c r="S28" s="1"/>
      <c r="T28" s="1">
        <f>SUM(OSRRefT22_0x_0)</f>
        <v>126382.29119950377</v>
      </c>
      <c r="U28" s="1"/>
      <c r="V28" s="5">
        <f t="shared" si="17"/>
        <v>29.153931072549891</v>
      </c>
      <c r="W28" s="1"/>
      <c r="X28" s="1">
        <f t="shared" si="18"/>
        <v>-28867.011199503759</v>
      </c>
      <c r="Y28" s="1"/>
      <c r="Z28" s="5">
        <f t="shared" si="19"/>
        <v>-0.22841025372720178</v>
      </c>
    </row>
    <row r="29" spans="1:26" s="24" customFormat="1" hidden="1" outlineLevel="2" x14ac:dyDescent="0.25">
      <c r="A29" s="27"/>
      <c r="B29" s="12" t="str">
        <f>CONCATENATE("          ", "6111", " - ", "F.I.C.A.")</f>
        <v xml:space="preserve">          6111 - F.I.C.A.</v>
      </c>
      <c r="C29" s="12"/>
      <c r="D29" s="7">
        <v>9015.16</v>
      </c>
      <c r="E29" s="3"/>
      <c r="F29" s="8">
        <f t="shared" si="12"/>
        <v>0.44403464935676457</v>
      </c>
      <c r="G29" s="3"/>
      <c r="H29" s="7">
        <v>13410.20934815769</v>
      </c>
      <c r="I29" s="3"/>
      <c r="J29" s="8">
        <f t="shared" si="13"/>
        <v>3.0934738980755916</v>
      </c>
      <c r="K29" s="3"/>
      <c r="L29" s="7">
        <f t="shared" si="14"/>
        <v>-4395.0493481576905</v>
      </c>
      <c r="M29" s="3"/>
      <c r="N29" s="8">
        <f t="shared" si="15"/>
        <v>-0.32773905567413736</v>
      </c>
      <c r="O29" s="12"/>
      <c r="P29" s="7">
        <v>9015.16</v>
      </c>
      <c r="Q29" s="3"/>
      <c r="R29" s="8">
        <f t="shared" si="16"/>
        <v>0.44403464935676457</v>
      </c>
      <c r="S29" s="3"/>
      <c r="T29" s="7">
        <v>13410.20934815769</v>
      </c>
      <c r="U29" s="3"/>
      <c r="V29" s="8">
        <f t="shared" si="17"/>
        <v>3.0934738980755916</v>
      </c>
      <c r="W29" s="3"/>
      <c r="X29" s="7">
        <f t="shared" si="18"/>
        <v>-4395.0493481576905</v>
      </c>
      <c r="Y29" s="3"/>
      <c r="Z29" s="8">
        <f t="shared" si="19"/>
        <v>-0.32773905567413736</v>
      </c>
    </row>
    <row r="30" spans="1:26" s="24" customFormat="1" hidden="1" outlineLevel="2" x14ac:dyDescent="0.25">
      <c r="A30" s="27"/>
      <c r="B30" s="12" t="str">
        <f>CONCATENATE("          ", "6112", " - ", "COMPENSATION INSURANCE")</f>
        <v xml:space="preserve">          6112 - COMPENSATION INSURANCE</v>
      </c>
      <c r="C30" s="12"/>
      <c r="D30" s="7">
        <v>4140.1099999999997</v>
      </c>
      <c r="E30" s="3"/>
      <c r="F30" s="8">
        <f t="shared" si="12"/>
        <v>0.20391787745846268</v>
      </c>
      <c r="G30" s="3"/>
      <c r="H30" s="7">
        <v>7042.9765674230766</v>
      </c>
      <c r="I30" s="3"/>
      <c r="J30" s="8">
        <f t="shared" si="13"/>
        <v>1.6246774088634548</v>
      </c>
      <c r="K30" s="3"/>
      <c r="L30" s="7">
        <f t="shared" si="14"/>
        <v>-2902.866567423077</v>
      </c>
      <c r="M30" s="3"/>
      <c r="N30" s="8">
        <f t="shared" si="15"/>
        <v>-0.41216473455983593</v>
      </c>
      <c r="O30" s="12"/>
      <c r="P30" s="7">
        <v>4140.1099999999997</v>
      </c>
      <c r="Q30" s="3"/>
      <c r="R30" s="8">
        <f t="shared" si="16"/>
        <v>0.20391787745846268</v>
      </c>
      <c r="S30" s="3"/>
      <c r="T30" s="7">
        <v>7042.9765674230766</v>
      </c>
      <c r="U30" s="3"/>
      <c r="V30" s="8">
        <f t="shared" si="17"/>
        <v>1.6246774088634548</v>
      </c>
      <c r="W30" s="3"/>
      <c r="X30" s="7">
        <f t="shared" si="18"/>
        <v>-2902.866567423077</v>
      </c>
      <c r="Y30" s="3"/>
      <c r="Z30" s="8">
        <f t="shared" si="19"/>
        <v>-0.41216473455983593</v>
      </c>
    </row>
    <row r="31" spans="1:26" s="24" customFormat="1" hidden="1" outlineLevel="2" x14ac:dyDescent="0.25">
      <c r="A31" s="27"/>
      <c r="B31" s="12" t="str">
        <f>CONCATENATE("          ", "6113", " - ", "GROUP INSURANCE")</f>
        <v xml:space="preserve">          6113 - GROUP INSURANCE</v>
      </c>
      <c r="C31" s="12"/>
      <c r="D31" s="7">
        <v>55309.61</v>
      </c>
      <c r="E31" s="3"/>
      <c r="F31" s="8">
        <f t="shared" si="12"/>
        <v>2.7242315480157204</v>
      </c>
      <c r="G31" s="3"/>
      <c r="H31" s="7">
        <v>77729.230769230693</v>
      </c>
      <c r="I31" s="3"/>
      <c r="J31" s="8">
        <f t="shared" si="13"/>
        <v>17.930618401206619</v>
      </c>
      <c r="K31" s="3"/>
      <c r="L31" s="7">
        <f t="shared" si="14"/>
        <v>-22419.620769230693</v>
      </c>
      <c r="M31" s="3"/>
      <c r="N31" s="8">
        <f t="shared" si="15"/>
        <v>-0.28843229950122645</v>
      </c>
      <c r="O31" s="12"/>
      <c r="P31" s="7">
        <v>55309.61</v>
      </c>
      <c r="Q31" s="3"/>
      <c r="R31" s="8">
        <f t="shared" si="16"/>
        <v>2.7242315480157204</v>
      </c>
      <c r="S31" s="3"/>
      <c r="T31" s="7">
        <v>77729.230769230693</v>
      </c>
      <c r="U31" s="3"/>
      <c r="V31" s="8">
        <f t="shared" si="17"/>
        <v>17.930618401206619</v>
      </c>
      <c r="W31" s="3"/>
      <c r="X31" s="7">
        <f t="shared" si="18"/>
        <v>-22419.620769230693</v>
      </c>
      <c r="Y31" s="3"/>
      <c r="Z31" s="8">
        <f t="shared" si="19"/>
        <v>-0.28843229950122645</v>
      </c>
    </row>
    <row r="32" spans="1:26" s="24" customFormat="1" hidden="1" outlineLevel="2" x14ac:dyDescent="0.25">
      <c r="A32" s="27"/>
      <c r="B32" s="12" t="str">
        <f>CONCATENATE("          ", "6114", " - ", "STATE UNEMPLOYMENT INSURANCE")</f>
        <v xml:space="preserve">          6114 - STATE UNEMPLOYMENT INSURANCE</v>
      </c>
      <c r="C32" s="12"/>
      <c r="D32" s="7">
        <v>374.57</v>
      </c>
      <c r="E32" s="3"/>
      <c r="F32" s="8">
        <f t="shared" si="12"/>
        <v>1.8449152162531037E-2</v>
      </c>
      <c r="G32" s="3"/>
      <c r="H32" s="7">
        <v>460.054757</v>
      </c>
      <c r="I32" s="3"/>
      <c r="J32" s="8">
        <f t="shared" si="13"/>
        <v>0.10612566482122261</v>
      </c>
      <c r="K32" s="3"/>
      <c r="L32" s="7">
        <f t="shared" si="14"/>
        <v>-85.484757000000002</v>
      </c>
      <c r="M32" s="3"/>
      <c r="N32" s="8">
        <f t="shared" si="15"/>
        <v>-0.18581430949098957</v>
      </c>
      <c r="O32" s="12"/>
      <c r="P32" s="7">
        <v>374.57</v>
      </c>
      <c r="Q32" s="3"/>
      <c r="R32" s="8">
        <f t="shared" si="16"/>
        <v>1.8449152162531037E-2</v>
      </c>
      <c r="S32" s="3"/>
      <c r="T32" s="7">
        <v>460.054757</v>
      </c>
      <c r="U32" s="3"/>
      <c r="V32" s="8">
        <f t="shared" si="17"/>
        <v>0.10612566482122261</v>
      </c>
      <c r="W32" s="3"/>
      <c r="X32" s="7">
        <f t="shared" si="18"/>
        <v>-85.484757000000002</v>
      </c>
      <c r="Y32" s="3"/>
      <c r="Z32" s="8">
        <f t="shared" si="19"/>
        <v>-0.18581430949098957</v>
      </c>
    </row>
    <row r="33" spans="1:26" s="24" customFormat="1" hidden="1" outlineLevel="2" x14ac:dyDescent="0.25">
      <c r="A33" s="27"/>
      <c r="B33" s="12" t="str">
        <f>CONCATENATE("          ", "6115", " - ", "P.E.R.S.")</f>
        <v xml:space="preserve">          6115 - P.E.R.S.</v>
      </c>
      <c r="C33" s="12"/>
      <c r="D33" s="7">
        <v>10026.56</v>
      </c>
      <c r="E33" s="3"/>
      <c r="F33" s="8">
        <f t="shared" si="12"/>
        <v>0.49385036470285182</v>
      </c>
      <c r="G33" s="3"/>
      <c r="H33" s="7">
        <v>7486.5938884615507</v>
      </c>
      <c r="I33" s="3"/>
      <c r="J33" s="8">
        <f t="shared" si="13"/>
        <v>1.7270112776151212</v>
      </c>
      <c r="K33" s="3"/>
      <c r="L33" s="7">
        <f t="shared" si="14"/>
        <v>2539.9661115384488</v>
      </c>
      <c r="M33" s="3"/>
      <c r="N33" s="8">
        <f t="shared" si="15"/>
        <v>0.33926858453656505</v>
      </c>
      <c r="O33" s="12"/>
      <c r="P33" s="7">
        <v>10026.56</v>
      </c>
      <c r="Q33" s="3"/>
      <c r="R33" s="8">
        <f t="shared" si="16"/>
        <v>0.49385036470285182</v>
      </c>
      <c r="S33" s="3"/>
      <c r="T33" s="7">
        <v>7486.5938884615507</v>
      </c>
      <c r="U33" s="3"/>
      <c r="V33" s="8">
        <f t="shared" si="17"/>
        <v>1.7270112776151212</v>
      </c>
      <c r="W33" s="3"/>
      <c r="X33" s="7">
        <f t="shared" si="18"/>
        <v>2539.9661115384488</v>
      </c>
      <c r="Y33" s="3"/>
      <c r="Z33" s="8">
        <f t="shared" si="19"/>
        <v>0.33926858453656505</v>
      </c>
    </row>
    <row r="34" spans="1:26" s="24" customFormat="1" hidden="1" outlineLevel="2" x14ac:dyDescent="0.25">
      <c r="A34" s="27"/>
      <c r="B34" s="12" t="str">
        <f>CONCATENATE("          ", "6116", " - ", "EDUCATIONAL BENEFITS")</f>
        <v xml:space="preserve">          6116 - EDUCATIONAL BENEFITS</v>
      </c>
      <c r="C34" s="12"/>
      <c r="D34" s="7"/>
      <c r="E34" s="3"/>
      <c r="F34" s="8">
        <f t="shared" si="12"/>
        <v>0</v>
      </c>
      <c r="G34" s="3"/>
      <c r="H34" s="7">
        <v>0</v>
      </c>
      <c r="I34" s="3"/>
      <c r="J34" s="8">
        <f t="shared" si="13"/>
        <v>0</v>
      </c>
      <c r="K34" s="3"/>
      <c r="L34" s="7">
        <f t="shared" si="14"/>
        <v>0</v>
      </c>
      <c r="M34" s="3"/>
      <c r="N34" s="8">
        <f t="shared" si="15"/>
        <v>0</v>
      </c>
      <c r="O34" s="12"/>
      <c r="P34" s="7"/>
      <c r="Q34" s="3"/>
      <c r="R34" s="8">
        <f t="shared" si="16"/>
        <v>0</v>
      </c>
      <c r="S34" s="3"/>
      <c r="T34" s="7">
        <v>0</v>
      </c>
      <c r="U34" s="3"/>
      <c r="V34" s="8">
        <f t="shared" si="17"/>
        <v>0</v>
      </c>
      <c r="W34" s="3"/>
      <c r="X34" s="7">
        <f t="shared" si="18"/>
        <v>0</v>
      </c>
      <c r="Y34" s="3"/>
      <c r="Z34" s="8">
        <f t="shared" si="19"/>
        <v>0</v>
      </c>
    </row>
    <row r="35" spans="1:26" s="24" customFormat="1" hidden="1" outlineLevel="2" x14ac:dyDescent="0.25">
      <c r="A35" s="27"/>
      <c r="B35" s="12" t="str">
        <f>CONCATENATE("          ", "6117", " - ", "RETIREMENT STAFF HOURLY")</f>
        <v xml:space="preserve">          6117 - RETIREMENT STAFF HOURLY</v>
      </c>
      <c r="C35" s="12"/>
      <c r="D35" s="7">
        <v>1969.14</v>
      </c>
      <c r="E35" s="3"/>
      <c r="F35" s="8">
        <f t="shared" si="12"/>
        <v>9.6988449393508216E-2</v>
      </c>
      <c r="G35" s="3"/>
      <c r="H35" s="7"/>
      <c r="I35" s="3"/>
      <c r="J35" s="8">
        <f t="shared" si="13"/>
        <v>0</v>
      </c>
      <c r="K35" s="3"/>
      <c r="L35" s="7">
        <f t="shared" si="14"/>
        <v>1969.14</v>
      </c>
      <c r="M35" s="3"/>
      <c r="N35" s="8">
        <f t="shared" si="15"/>
        <v>0</v>
      </c>
      <c r="O35" s="12"/>
      <c r="P35" s="7">
        <v>1969.14</v>
      </c>
      <c r="Q35" s="3"/>
      <c r="R35" s="8">
        <f t="shared" si="16"/>
        <v>9.6988449393508216E-2</v>
      </c>
      <c r="S35" s="3"/>
      <c r="T35" s="7"/>
      <c r="U35" s="3"/>
      <c r="V35" s="8">
        <f t="shared" si="17"/>
        <v>0</v>
      </c>
      <c r="W35" s="3"/>
      <c r="X35" s="7">
        <f t="shared" si="18"/>
        <v>1969.14</v>
      </c>
      <c r="Y35" s="3"/>
      <c r="Z35" s="8">
        <f t="shared" si="19"/>
        <v>0</v>
      </c>
    </row>
    <row r="36" spans="1:26" s="24" customFormat="1" hidden="1" outlineLevel="2" x14ac:dyDescent="0.25">
      <c r="A36" s="27"/>
      <c r="B36" s="12" t="str">
        <f>CONCATENATE("          ", "6118", " - ", "VACATION")</f>
        <v xml:space="preserve">          6118 - VACATION</v>
      </c>
      <c r="C36" s="12"/>
      <c r="D36" s="7">
        <v>8012.45</v>
      </c>
      <c r="E36" s="3"/>
      <c r="F36" s="8">
        <f t="shared" si="12"/>
        <v>0.39464695315874687</v>
      </c>
      <c r="G36" s="3"/>
      <c r="H36" s="7">
        <v>10350.299942307689</v>
      </c>
      <c r="I36" s="3"/>
      <c r="J36" s="8">
        <f t="shared" si="13"/>
        <v>2.3876124434389134</v>
      </c>
      <c r="K36" s="3"/>
      <c r="L36" s="7">
        <f t="shared" si="14"/>
        <v>-2337.8499423076892</v>
      </c>
      <c r="M36" s="3"/>
      <c r="N36" s="8">
        <f t="shared" si="15"/>
        <v>-0.22587267570397049</v>
      </c>
      <c r="O36" s="12"/>
      <c r="P36" s="7">
        <v>8012.45</v>
      </c>
      <c r="Q36" s="3"/>
      <c r="R36" s="8">
        <f t="shared" si="16"/>
        <v>0.39464695315874687</v>
      </c>
      <c r="S36" s="3"/>
      <c r="T36" s="7">
        <v>10350.299942307689</v>
      </c>
      <c r="U36" s="3"/>
      <c r="V36" s="8">
        <f t="shared" si="17"/>
        <v>2.3876124434389134</v>
      </c>
      <c r="W36" s="3"/>
      <c r="X36" s="7">
        <f t="shared" si="18"/>
        <v>-2337.8499423076892</v>
      </c>
      <c r="Y36" s="3"/>
      <c r="Z36" s="8">
        <f t="shared" si="19"/>
        <v>-0.22587267570397049</v>
      </c>
    </row>
    <row r="37" spans="1:26" s="24" customFormat="1" hidden="1" outlineLevel="2" x14ac:dyDescent="0.25">
      <c r="A37" s="27"/>
      <c r="B37" s="12" t="str">
        <f>CONCATENATE("          ", "6119", " - ", "SICK LEAVE")</f>
        <v xml:space="preserve">          6119 - SICK LEAVE</v>
      </c>
      <c r="C37" s="12"/>
      <c r="D37" s="7">
        <v>5655.13</v>
      </c>
      <c r="E37" s="3"/>
      <c r="F37" s="8">
        <f t="shared" si="12"/>
        <v>0.27853900170567358</v>
      </c>
      <c r="G37" s="3"/>
      <c r="H37" s="7">
        <v>5877.9259269230697</v>
      </c>
      <c r="I37" s="3"/>
      <c r="J37" s="8">
        <f t="shared" si="13"/>
        <v>1.3559229358530727</v>
      </c>
      <c r="K37" s="3"/>
      <c r="L37" s="7">
        <f t="shared" si="14"/>
        <v>-222.7959269230696</v>
      </c>
      <c r="M37" s="3"/>
      <c r="N37" s="8">
        <f t="shared" si="15"/>
        <v>-3.7903833714981343E-2</v>
      </c>
      <c r="O37" s="12"/>
      <c r="P37" s="7">
        <v>5655.13</v>
      </c>
      <c r="Q37" s="3"/>
      <c r="R37" s="8">
        <f t="shared" si="16"/>
        <v>0.27853900170567358</v>
      </c>
      <c r="S37" s="3"/>
      <c r="T37" s="7">
        <v>5877.9259269230697</v>
      </c>
      <c r="U37" s="3"/>
      <c r="V37" s="8">
        <f t="shared" si="17"/>
        <v>1.3559229358530727</v>
      </c>
      <c r="W37" s="3"/>
      <c r="X37" s="7">
        <f t="shared" si="18"/>
        <v>-222.7959269230696</v>
      </c>
      <c r="Y37" s="3"/>
      <c r="Z37" s="8">
        <f t="shared" si="19"/>
        <v>-3.7903833714981343E-2</v>
      </c>
    </row>
    <row r="38" spans="1:26" s="24" customFormat="1" hidden="1" outlineLevel="2" x14ac:dyDescent="0.25">
      <c r="A38" s="27"/>
      <c r="B38" s="12" t="str">
        <f>CONCATENATE("          ", "6156", " - ", "EMPLOYEE MEALS")</f>
        <v xml:space="preserve">          6156 - EMPLOYEE MEALS</v>
      </c>
      <c r="C38" s="12"/>
      <c r="D38" s="7">
        <v>3012.55</v>
      </c>
      <c r="E38" s="3"/>
      <c r="F38" s="8">
        <f t="shared" si="12"/>
        <v>0.14838079223438311</v>
      </c>
      <c r="G38" s="3"/>
      <c r="H38" s="7">
        <v>4025</v>
      </c>
      <c r="I38" s="3"/>
      <c r="J38" s="8">
        <f t="shared" si="13"/>
        <v>0.92848904267589394</v>
      </c>
      <c r="K38" s="3"/>
      <c r="L38" s="7">
        <f t="shared" si="14"/>
        <v>-1012.4499999999998</v>
      </c>
      <c r="M38" s="3"/>
      <c r="N38" s="8">
        <f t="shared" si="15"/>
        <v>-0.25154037267080742</v>
      </c>
      <c r="O38" s="12"/>
      <c r="P38" s="7">
        <v>3012.55</v>
      </c>
      <c r="Q38" s="3"/>
      <c r="R38" s="8">
        <f t="shared" si="16"/>
        <v>0.14838079223438311</v>
      </c>
      <c r="S38" s="3"/>
      <c r="T38" s="7">
        <v>4025</v>
      </c>
      <c r="U38" s="3"/>
      <c r="V38" s="8">
        <f t="shared" si="17"/>
        <v>0.92848904267589394</v>
      </c>
      <c r="W38" s="3"/>
      <c r="X38" s="7">
        <f t="shared" si="18"/>
        <v>-1012.4499999999998</v>
      </c>
      <c r="Y38" s="3"/>
      <c r="Z38" s="8">
        <f t="shared" si="19"/>
        <v>-0.25154037267080742</v>
      </c>
    </row>
    <row r="39" spans="1:26" s="29" customFormat="1" outlineLevel="1" collapsed="1" x14ac:dyDescent="0.25">
      <c r="A39" s="28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123425.57999999999</v>
      </c>
      <c r="E39" s="1"/>
      <c r="F39" s="5">
        <f t="shared" ref="F39:F49" si="20">IF(D$12=0,0,D39/D$12)</f>
        <v>6.0792303338992646</v>
      </c>
      <c r="G39" s="1"/>
      <c r="H39" s="1">
        <f>SUM(OSRRefH22_1x_0)</f>
        <v>160715.91143846148</v>
      </c>
      <c r="I39" s="1"/>
      <c r="J39" s="5">
        <f t="shared" ref="J39:J49" si="21">IF(H$12=0,0,H39/H$12)</f>
        <v>37.074028013485922</v>
      </c>
      <c r="K39" s="1"/>
      <c r="L39" s="1">
        <f t="shared" ref="L39:L49" si="22">+D39-H39</f>
        <v>-37290.331438461493</v>
      </c>
      <c r="M39" s="1"/>
      <c r="N39" s="5">
        <f t="shared" ref="N39:N49" si="23">IF(H39=0,0,L39/H39)</f>
        <v>-0.23202638186039254</v>
      </c>
      <c r="O39" s="14"/>
      <c r="P39" s="1">
        <f>SUM(OSRRefP22_1x_0)</f>
        <v>123425.57999999999</v>
      </c>
      <c r="Q39" s="1"/>
      <c r="R39" s="5">
        <f t="shared" ref="R39:R49" si="24">IF(P$12=0,0,P39/P$12)</f>
        <v>6.0792303338992646</v>
      </c>
      <c r="S39" s="1"/>
      <c r="T39" s="1">
        <f>SUM(OSRRefT22_1x_0)</f>
        <v>160715.91143846148</v>
      </c>
      <c r="U39" s="1"/>
      <c r="V39" s="5">
        <f t="shared" ref="V39:V49" si="25">IF(T$12=0,0,T39/T$12)</f>
        <v>37.074028013485922</v>
      </c>
      <c r="W39" s="1"/>
      <c r="X39" s="1">
        <f t="shared" ref="X39:X49" si="26">+P39-T39</f>
        <v>-37290.331438461493</v>
      </c>
      <c r="Y39" s="1"/>
      <c r="Z39" s="5">
        <f t="shared" ref="Z39:Z49" si="27">IF(T39=0,0,X39/T39)</f>
        <v>-0.23202638186039254</v>
      </c>
    </row>
    <row r="40" spans="1:26" s="24" customFormat="1" hidden="1" outlineLevel="2" x14ac:dyDescent="0.25">
      <c r="A40" s="27"/>
      <c r="B40" s="12" t="str">
        <f>CONCATENATE("          ", "6001", " - ", "ADMINISTRATIVE SALARIES")</f>
        <v xml:space="preserve">          6001 - ADMINISTRATIVE SALARIES</v>
      </c>
      <c r="C40" s="12"/>
      <c r="D40" s="7">
        <v>22406.870000000003</v>
      </c>
      <c r="E40" s="3"/>
      <c r="F40" s="8">
        <f t="shared" si="20"/>
        <v>1.1036328433031259</v>
      </c>
      <c r="G40" s="3"/>
      <c r="H40" s="7">
        <v>12452.884615384599</v>
      </c>
      <c r="I40" s="3"/>
      <c r="J40" s="8">
        <f t="shared" si="21"/>
        <v>2.8726377428799537</v>
      </c>
      <c r="K40" s="3"/>
      <c r="L40" s="7">
        <f t="shared" si="22"/>
        <v>9953.9853846154037</v>
      </c>
      <c r="M40" s="3"/>
      <c r="N40" s="8">
        <f t="shared" si="23"/>
        <v>0.7993316963941034</v>
      </c>
      <c r="O40" s="12"/>
      <c r="P40" s="7">
        <v>22406.870000000003</v>
      </c>
      <c r="Q40" s="3"/>
      <c r="R40" s="8">
        <f t="shared" si="24"/>
        <v>1.1036328433031259</v>
      </c>
      <c r="S40" s="3"/>
      <c r="T40" s="7">
        <v>12452.884615384599</v>
      </c>
      <c r="U40" s="3"/>
      <c r="V40" s="8">
        <f t="shared" si="25"/>
        <v>2.8726377428799537</v>
      </c>
      <c r="W40" s="3"/>
      <c r="X40" s="7">
        <f t="shared" si="26"/>
        <v>9953.9853846154037</v>
      </c>
      <c r="Y40" s="3"/>
      <c r="Z40" s="8">
        <f t="shared" si="27"/>
        <v>0.7993316963941034</v>
      </c>
    </row>
    <row r="41" spans="1:26" s="24" customFormat="1" hidden="1" outlineLevel="2" x14ac:dyDescent="0.25">
      <c r="A41" s="27"/>
      <c r="B41" s="12" t="str">
        <f>CONCATENATE("          ", "6002", " - ", "STAFF SALARIES")</f>
        <v xml:space="preserve">          6002 - STAFF SALARIES</v>
      </c>
      <c r="C41" s="12"/>
      <c r="D41" s="7">
        <v>55335.5</v>
      </c>
      <c r="E41" s="3"/>
      <c r="F41" s="8">
        <f t="shared" si="20"/>
        <v>2.7255067397008204</v>
      </c>
      <c r="G41" s="3"/>
      <c r="H41" s="7">
        <v>66034.304423076901</v>
      </c>
      <c r="I41" s="3"/>
      <c r="J41" s="8">
        <f t="shared" si="21"/>
        <v>15.232826856534464</v>
      </c>
      <c r="K41" s="3"/>
      <c r="L41" s="7">
        <f t="shared" si="22"/>
        <v>-10698.804423076901</v>
      </c>
      <c r="M41" s="3"/>
      <c r="N41" s="8">
        <f t="shared" si="23"/>
        <v>-0.16201888573748657</v>
      </c>
      <c r="O41" s="12"/>
      <c r="P41" s="7">
        <v>55335.5</v>
      </c>
      <c r="Q41" s="3"/>
      <c r="R41" s="8">
        <f t="shared" si="24"/>
        <v>2.7255067397008204</v>
      </c>
      <c r="S41" s="3"/>
      <c r="T41" s="7">
        <v>66034.304423076901</v>
      </c>
      <c r="U41" s="3"/>
      <c r="V41" s="8">
        <f t="shared" si="25"/>
        <v>15.232826856534464</v>
      </c>
      <c r="W41" s="3"/>
      <c r="X41" s="7">
        <f t="shared" si="26"/>
        <v>-10698.804423076901</v>
      </c>
      <c r="Y41" s="3"/>
      <c r="Z41" s="8">
        <f t="shared" si="27"/>
        <v>-0.16201888573748657</v>
      </c>
    </row>
    <row r="42" spans="1:26" s="24" customFormat="1" hidden="1" outlineLevel="2" x14ac:dyDescent="0.25">
      <c r="A42" s="27"/>
      <c r="B42" s="12" t="str">
        <f>CONCATENATE("          ", "6003", " - ", "STAFF HOURLY-9 MONTH")</f>
        <v xml:space="preserve">          6003 - STAFF HOURLY-9 MONTH</v>
      </c>
      <c r="C42" s="12"/>
      <c r="D42" s="7"/>
      <c r="E42" s="3"/>
      <c r="F42" s="8">
        <f t="shared" si="20"/>
        <v>0</v>
      </c>
      <c r="G42" s="3"/>
      <c r="H42" s="7">
        <v>0</v>
      </c>
      <c r="I42" s="3"/>
      <c r="J42" s="8">
        <f t="shared" si="21"/>
        <v>0</v>
      </c>
      <c r="K42" s="3"/>
      <c r="L42" s="7">
        <f t="shared" si="22"/>
        <v>0</v>
      </c>
      <c r="M42" s="3"/>
      <c r="N42" s="8">
        <f t="shared" si="23"/>
        <v>0</v>
      </c>
      <c r="O42" s="12"/>
      <c r="P42" s="7"/>
      <c r="Q42" s="3"/>
      <c r="R42" s="8">
        <f t="shared" si="24"/>
        <v>0</v>
      </c>
      <c r="S42" s="3"/>
      <c r="T42" s="7">
        <v>0</v>
      </c>
      <c r="U42" s="3"/>
      <c r="V42" s="8">
        <f t="shared" si="25"/>
        <v>0</v>
      </c>
      <c r="W42" s="3"/>
      <c r="X42" s="7">
        <f t="shared" si="26"/>
        <v>0</v>
      </c>
      <c r="Y42" s="3"/>
      <c r="Z42" s="8">
        <f t="shared" si="27"/>
        <v>0</v>
      </c>
    </row>
    <row r="43" spans="1:26" s="24" customFormat="1" hidden="1" outlineLevel="2" x14ac:dyDescent="0.25">
      <c r="A43" s="27"/>
      <c r="B43" s="12" t="str">
        <f>CONCATENATE("          ", "6004", " - ", "STAFF HOURLY")</f>
        <v xml:space="preserve">          6004 - STAFF HOURLY</v>
      </c>
      <c r="C43" s="12"/>
      <c r="D43" s="7">
        <v>35932.21</v>
      </c>
      <c r="E43" s="3"/>
      <c r="F43" s="8">
        <f t="shared" si="20"/>
        <v>1.7698128783031726</v>
      </c>
      <c r="G43" s="3"/>
      <c r="H43" s="7">
        <v>79631.062399999995</v>
      </c>
      <c r="I43" s="3"/>
      <c r="J43" s="8">
        <f t="shared" si="21"/>
        <v>18.369333886966551</v>
      </c>
      <c r="K43" s="3"/>
      <c r="L43" s="7">
        <f t="shared" si="22"/>
        <v>-43698.852399999996</v>
      </c>
      <c r="M43" s="3"/>
      <c r="N43" s="8">
        <f t="shared" si="23"/>
        <v>-0.54876641203772258</v>
      </c>
      <c r="O43" s="12"/>
      <c r="P43" s="7">
        <v>35932.21</v>
      </c>
      <c r="Q43" s="3"/>
      <c r="R43" s="8">
        <f t="shared" si="24"/>
        <v>1.7698128783031726</v>
      </c>
      <c r="S43" s="3"/>
      <c r="T43" s="7">
        <v>79631.062399999995</v>
      </c>
      <c r="U43" s="3"/>
      <c r="V43" s="8">
        <f t="shared" si="25"/>
        <v>18.369333886966551</v>
      </c>
      <c r="W43" s="3"/>
      <c r="X43" s="7">
        <f t="shared" si="26"/>
        <v>-43698.852399999996</v>
      </c>
      <c r="Y43" s="3"/>
      <c r="Z43" s="8">
        <f t="shared" si="27"/>
        <v>-0.54876641203772258</v>
      </c>
    </row>
    <row r="44" spans="1:26" s="24" customFormat="1" hidden="1" outlineLevel="2" x14ac:dyDescent="0.25">
      <c r="A44" s="27"/>
      <c r="B44" s="12" t="str">
        <f>CONCATENATE("          ", "6005", " - ", "TEMPORARY WAGES-HOURLY")</f>
        <v xml:space="preserve">          6005 - TEMPORARY WAGES-HOURLY</v>
      </c>
      <c r="C44" s="12"/>
      <c r="D44" s="7"/>
      <c r="E44" s="3"/>
      <c r="F44" s="8">
        <f t="shared" si="20"/>
        <v>0</v>
      </c>
      <c r="G44" s="3"/>
      <c r="H44" s="7">
        <v>1664.52</v>
      </c>
      <c r="I44" s="3"/>
      <c r="J44" s="8">
        <f t="shared" si="21"/>
        <v>0.38397231833910034</v>
      </c>
      <c r="K44" s="3"/>
      <c r="L44" s="7">
        <f t="shared" si="22"/>
        <v>-1664.52</v>
      </c>
      <c r="M44" s="3"/>
      <c r="N44" s="8">
        <f t="shared" si="23"/>
        <v>-1</v>
      </c>
      <c r="O44" s="12"/>
      <c r="P44" s="7"/>
      <c r="Q44" s="3"/>
      <c r="R44" s="8">
        <f t="shared" si="24"/>
        <v>0</v>
      </c>
      <c r="S44" s="3"/>
      <c r="T44" s="7">
        <v>1664.52</v>
      </c>
      <c r="U44" s="3"/>
      <c r="V44" s="8">
        <f t="shared" si="25"/>
        <v>0.38397231833910034</v>
      </c>
      <c r="W44" s="3"/>
      <c r="X44" s="7">
        <f t="shared" si="26"/>
        <v>-1664.52</v>
      </c>
      <c r="Y44" s="3"/>
      <c r="Z44" s="8">
        <f t="shared" si="27"/>
        <v>-1</v>
      </c>
    </row>
    <row r="45" spans="1:26" s="24" customFormat="1" hidden="1" outlineLevel="2" x14ac:dyDescent="0.25">
      <c r="A45" s="27"/>
      <c r="B45" s="12" t="str">
        <f>CONCATENATE("          ", "6006", " - ", "TEMPORARY PART TIME")</f>
        <v xml:space="preserve">          6006 - TEMPORARY PART TIME</v>
      </c>
      <c r="C45" s="12"/>
      <c r="D45" s="7"/>
      <c r="E45" s="3"/>
      <c r="F45" s="8">
        <f t="shared" si="20"/>
        <v>0</v>
      </c>
      <c r="G45" s="3"/>
      <c r="H45" s="7">
        <v>0</v>
      </c>
      <c r="I45" s="3"/>
      <c r="J45" s="8">
        <f t="shared" si="21"/>
        <v>0</v>
      </c>
      <c r="K45" s="3"/>
      <c r="L45" s="7">
        <f t="shared" si="22"/>
        <v>0</v>
      </c>
      <c r="M45" s="3"/>
      <c r="N45" s="8">
        <f t="shared" si="23"/>
        <v>0</v>
      </c>
      <c r="O45" s="12"/>
      <c r="P45" s="7"/>
      <c r="Q45" s="3"/>
      <c r="R45" s="8">
        <f t="shared" si="24"/>
        <v>0</v>
      </c>
      <c r="S45" s="3"/>
      <c r="T45" s="7">
        <v>0</v>
      </c>
      <c r="U45" s="3"/>
      <c r="V45" s="8">
        <f t="shared" si="25"/>
        <v>0</v>
      </c>
      <c r="W45" s="3"/>
      <c r="X45" s="7">
        <f t="shared" si="26"/>
        <v>0</v>
      </c>
      <c r="Y45" s="3"/>
      <c r="Z45" s="8">
        <f t="shared" si="27"/>
        <v>0</v>
      </c>
    </row>
    <row r="46" spans="1:26" s="24" customFormat="1" hidden="1" outlineLevel="2" x14ac:dyDescent="0.25">
      <c r="A46" s="27"/>
      <c r="B46" s="12" t="str">
        <f>CONCATENATE("          ", "6007", " - ", "STUDENT HOURLY")</f>
        <v xml:space="preserve">          6007 - STUDENT HOURLY</v>
      </c>
      <c r="C46" s="12"/>
      <c r="D46" s="7">
        <v>9751</v>
      </c>
      <c r="E46" s="3"/>
      <c r="F46" s="8">
        <f t="shared" si="20"/>
        <v>0.48027787259214605</v>
      </c>
      <c r="G46" s="3"/>
      <c r="H46" s="7">
        <v>933.14</v>
      </c>
      <c r="I46" s="3"/>
      <c r="J46" s="8">
        <f t="shared" si="21"/>
        <v>0.21525720876585927</v>
      </c>
      <c r="K46" s="3"/>
      <c r="L46" s="7">
        <f t="shared" si="22"/>
        <v>8817.86</v>
      </c>
      <c r="M46" s="3"/>
      <c r="N46" s="8">
        <f t="shared" si="23"/>
        <v>9.4496645733759141</v>
      </c>
      <c r="O46" s="12"/>
      <c r="P46" s="7">
        <v>9751</v>
      </c>
      <c r="Q46" s="3"/>
      <c r="R46" s="8">
        <f t="shared" si="24"/>
        <v>0.48027787259214605</v>
      </c>
      <c r="S46" s="3"/>
      <c r="T46" s="7">
        <v>933.14</v>
      </c>
      <c r="U46" s="3"/>
      <c r="V46" s="8">
        <f t="shared" si="25"/>
        <v>0.21525720876585927</v>
      </c>
      <c r="W46" s="3"/>
      <c r="X46" s="7">
        <f t="shared" si="26"/>
        <v>8817.86</v>
      </c>
      <c r="Y46" s="3"/>
      <c r="Z46" s="8">
        <f t="shared" si="27"/>
        <v>9.4496645733759141</v>
      </c>
    </row>
    <row r="47" spans="1:26" s="24" customFormat="1" hidden="1" outlineLevel="2" x14ac:dyDescent="0.25">
      <c r="A47" s="27"/>
      <c r="B47" s="12" t="str">
        <f>CONCATENATE("          ", "6008", " - ", "STUDENT HOURLY-FICA EXEMPT")</f>
        <v xml:space="preserve">          6008 - STUDENT HOURLY-FICA EXEMPT</v>
      </c>
      <c r="C47" s="12"/>
      <c r="D47" s="7"/>
      <c r="E47" s="3"/>
      <c r="F47" s="8">
        <f t="shared" si="20"/>
        <v>0</v>
      </c>
      <c r="G47" s="3"/>
      <c r="H47" s="7">
        <v>0</v>
      </c>
      <c r="I47" s="3"/>
      <c r="J47" s="8">
        <f t="shared" si="21"/>
        <v>0</v>
      </c>
      <c r="K47" s="3"/>
      <c r="L47" s="7">
        <f t="shared" si="22"/>
        <v>0</v>
      </c>
      <c r="M47" s="3"/>
      <c r="N47" s="8">
        <f t="shared" si="23"/>
        <v>0</v>
      </c>
      <c r="O47" s="12"/>
      <c r="P47" s="7"/>
      <c r="Q47" s="3"/>
      <c r="R47" s="8">
        <f t="shared" si="24"/>
        <v>0</v>
      </c>
      <c r="S47" s="3"/>
      <c r="T47" s="7">
        <v>0</v>
      </c>
      <c r="U47" s="3"/>
      <c r="V47" s="8">
        <f t="shared" si="25"/>
        <v>0</v>
      </c>
      <c r="W47" s="3"/>
      <c r="X47" s="7">
        <f t="shared" si="26"/>
        <v>0</v>
      </c>
      <c r="Y47" s="3"/>
      <c r="Z47" s="8">
        <f t="shared" si="27"/>
        <v>0</v>
      </c>
    </row>
    <row r="48" spans="1:26" s="24" customFormat="1" hidden="1" outlineLevel="2" x14ac:dyDescent="0.25">
      <c r="A48" s="27"/>
      <c r="B48" s="12" t="str">
        <f>CONCATENATE("          ", "6009", " - ", "TEMPORARY-SEASONAL")</f>
        <v xml:space="preserve">          6009 - TEMPORARY-SEASONAL</v>
      </c>
      <c r="C48" s="12"/>
      <c r="D48" s="7"/>
      <c r="E48" s="3"/>
      <c r="F48" s="8">
        <f t="shared" si="20"/>
        <v>0</v>
      </c>
      <c r="G48" s="3"/>
      <c r="H48" s="7">
        <v>0</v>
      </c>
      <c r="I48" s="3"/>
      <c r="J48" s="8">
        <f t="shared" si="21"/>
        <v>0</v>
      </c>
      <c r="K48" s="3"/>
      <c r="L48" s="7">
        <f t="shared" si="22"/>
        <v>0</v>
      </c>
      <c r="M48" s="3"/>
      <c r="N48" s="8">
        <f t="shared" si="23"/>
        <v>0</v>
      </c>
      <c r="O48" s="12"/>
      <c r="P48" s="7"/>
      <c r="Q48" s="3"/>
      <c r="R48" s="8">
        <f t="shared" si="24"/>
        <v>0</v>
      </c>
      <c r="S48" s="3"/>
      <c r="T48" s="7">
        <v>0</v>
      </c>
      <c r="U48" s="3"/>
      <c r="V48" s="8">
        <f t="shared" si="25"/>
        <v>0</v>
      </c>
      <c r="W48" s="3"/>
      <c r="X48" s="7">
        <f t="shared" si="26"/>
        <v>0</v>
      </c>
      <c r="Y48" s="3"/>
      <c r="Z48" s="8">
        <f t="shared" si="27"/>
        <v>0</v>
      </c>
    </row>
    <row r="49" spans="1:26" s="24" customFormat="1" hidden="1" outlineLevel="2" x14ac:dyDescent="0.25">
      <c r="A49" s="27"/>
      <c r="B49" s="12" t="str">
        <f>CONCATENATE("          ", "6010", " - ", "GRATUITY")</f>
        <v xml:space="preserve">          6010 - GRATUITY</v>
      </c>
      <c r="C49" s="12"/>
      <c r="D49" s="7"/>
      <c r="E49" s="3"/>
      <c r="F49" s="8">
        <f t="shared" si="20"/>
        <v>0</v>
      </c>
      <c r="G49" s="3"/>
      <c r="H49" s="7">
        <v>0</v>
      </c>
      <c r="I49" s="3"/>
      <c r="J49" s="8">
        <f t="shared" si="21"/>
        <v>0</v>
      </c>
      <c r="K49" s="3"/>
      <c r="L49" s="7">
        <f t="shared" si="22"/>
        <v>0</v>
      </c>
      <c r="M49" s="3"/>
      <c r="N49" s="8">
        <f t="shared" si="23"/>
        <v>0</v>
      </c>
      <c r="O49" s="12"/>
      <c r="P49" s="7"/>
      <c r="Q49" s="3"/>
      <c r="R49" s="8">
        <f t="shared" si="24"/>
        <v>0</v>
      </c>
      <c r="S49" s="3"/>
      <c r="T49" s="7">
        <v>0</v>
      </c>
      <c r="U49" s="3"/>
      <c r="V49" s="8">
        <f t="shared" si="25"/>
        <v>0</v>
      </c>
      <c r="W49" s="3"/>
      <c r="X49" s="7">
        <f t="shared" si="26"/>
        <v>0</v>
      </c>
      <c r="Y49" s="3"/>
      <c r="Z49" s="8">
        <f t="shared" si="27"/>
        <v>0</v>
      </c>
    </row>
    <row r="50" spans="1:26" s="29" customFormat="1" outlineLevel="1" collapsed="1" x14ac:dyDescent="0.25">
      <c r="A50" s="28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770.46</v>
      </c>
      <c r="E50" s="1"/>
      <c r="F50" s="5">
        <f t="shared" ref="F50:F59" si="28">IF(D$12=0,0,D50/D$12)</f>
        <v>3.7948404237241808E-2</v>
      </c>
      <c r="G50" s="1"/>
      <c r="H50" s="1">
        <f>SUM(OSRRefH22_2x_0)</f>
        <v>2340</v>
      </c>
      <c r="I50" s="1"/>
      <c r="J50" s="5">
        <f t="shared" ref="J50:J59" si="29">IF(H$12=0,0,H50/H$12)</f>
        <v>0.53979238754325265</v>
      </c>
      <c r="K50" s="1"/>
      <c r="L50" s="1">
        <f t="shared" ref="L50:L59" si="30">+D50-H50</f>
        <v>-1569.54</v>
      </c>
      <c r="M50" s="1"/>
      <c r="N50" s="5">
        <f t="shared" ref="N50:N59" si="31">IF(H50=0,0,L50/H50)</f>
        <v>-0.67074358974358972</v>
      </c>
      <c r="O50" s="14"/>
      <c r="P50" s="1">
        <f>SUM(OSRRefP22_2x_0)</f>
        <v>770.46</v>
      </c>
      <c r="Q50" s="1"/>
      <c r="R50" s="5">
        <f t="shared" ref="R50:R59" si="32">IF(P$12=0,0,P50/P$12)</f>
        <v>3.7948404237241808E-2</v>
      </c>
      <c r="S50" s="1"/>
      <c r="T50" s="1">
        <f>SUM(OSRRefT22_2x_0)</f>
        <v>2340</v>
      </c>
      <c r="U50" s="1"/>
      <c r="V50" s="5">
        <f t="shared" ref="V50:V59" si="33">IF(T$12=0,0,T50/T$12)</f>
        <v>0.53979238754325265</v>
      </c>
      <c r="W50" s="1"/>
      <c r="X50" s="1">
        <f t="shared" ref="X50:X59" si="34">+P50-T50</f>
        <v>-1569.54</v>
      </c>
      <c r="Y50" s="1"/>
      <c r="Z50" s="5">
        <f t="shared" ref="Z50:Z59" si="35">IF(T50=0,0,X50/T50)</f>
        <v>-0.67074358974358972</v>
      </c>
    </row>
    <row r="51" spans="1:26" s="24" customFormat="1" hidden="1" outlineLevel="2" x14ac:dyDescent="0.25">
      <c r="A51" s="27"/>
      <c r="B51" s="12" t="str">
        <f>CONCATENATE("          ", "6362", " - ", "ADVERTISING EXPENSE")</f>
        <v xml:space="preserve">          6362 - ADVERTISING EXPENSE</v>
      </c>
      <c r="C51" s="12"/>
      <c r="D51" s="7">
        <v>770.46</v>
      </c>
      <c r="E51" s="3"/>
      <c r="F51" s="8">
        <f t="shared" si="28"/>
        <v>3.7948404237241808E-2</v>
      </c>
      <c r="G51" s="3"/>
      <c r="H51" s="7">
        <v>2340</v>
      </c>
      <c r="I51" s="3"/>
      <c r="J51" s="8">
        <f t="shared" si="29"/>
        <v>0.53979238754325265</v>
      </c>
      <c r="K51" s="3"/>
      <c r="L51" s="7">
        <f t="shared" si="30"/>
        <v>-1569.54</v>
      </c>
      <c r="M51" s="3"/>
      <c r="N51" s="8">
        <f t="shared" si="31"/>
        <v>-0.67074358974358972</v>
      </c>
      <c r="O51" s="12"/>
      <c r="P51" s="7">
        <v>770.46</v>
      </c>
      <c r="Q51" s="3"/>
      <c r="R51" s="8">
        <f t="shared" si="32"/>
        <v>3.7948404237241808E-2</v>
      </c>
      <c r="S51" s="3"/>
      <c r="T51" s="7">
        <v>2340</v>
      </c>
      <c r="U51" s="3"/>
      <c r="V51" s="8">
        <f t="shared" si="33"/>
        <v>0.53979238754325265</v>
      </c>
      <c r="W51" s="3"/>
      <c r="X51" s="7">
        <f t="shared" si="34"/>
        <v>-1569.54</v>
      </c>
      <c r="Y51" s="3"/>
      <c r="Z51" s="8">
        <f t="shared" si="35"/>
        <v>-0.67074358974358972</v>
      </c>
    </row>
    <row r="52" spans="1:26" s="29" customFormat="1" outlineLevel="1" collapsed="1" x14ac:dyDescent="0.25">
      <c r="A52" s="28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0</v>
      </c>
      <c r="E52" s="1"/>
      <c r="F52" s="5">
        <f t="shared" si="28"/>
        <v>0</v>
      </c>
      <c r="G52" s="1"/>
      <c r="H52" s="1">
        <f>SUM(OSRRefH22_3x_0)</f>
        <v>20</v>
      </c>
      <c r="I52" s="1"/>
      <c r="J52" s="5">
        <f t="shared" si="29"/>
        <v>4.61361014994233E-3</v>
      </c>
      <c r="K52" s="1"/>
      <c r="L52" s="1">
        <f t="shared" si="30"/>
        <v>-20</v>
      </c>
      <c r="M52" s="1"/>
      <c r="N52" s="5">
        <f t="shared" si="31"/>
        <v>-1</v>
      </c>
      <c r="O52" s="14"/>
      <c r="P52" s="1">
        <f>SUM(OSRRefP22_3x_0)</f>
        <v>0</v>
      </c>
      <c r="Q52" s="1"/>
      <c r="R52" s="5">
        <f t="shared" si="32"/>
        <v>0</v>
      </c>
      <c r="S52" s="1"/>
      <c r="T52" s="1">
        <f>SUM(OSRRefT22_3x_0)</f>
        <v>20</v>
      </c>
      <c r="U52" s="1"/>
      <c r="V52" s="5">
        <f t="shared" si="33"/>
        <v>4.61361014994233E-3</v>
      </c>
      <c r="W52" s="1"/>
      <c r="X52" s="1">
        <f t="shared" si="34"/>
        <v>-20</v>
      </c>
      <c r="Y52" s="1"/>
      <c r="Z52" s="5">
        <f t="shared" si="35"/>
        <v>-1</v>
      </c>
    </row>
    <row r="53" spans="1:26" s="24" customFormat="1" hidden="1" outlineLevel="2" x14ac:dyDescent="0.25">
      <c r="A53" s="27"/>
      <c r="B53" s="12" t="str">
        <f>CONCATENATE("          ", "6272", " - ", "CASH (OVER/SHORT)")</f>
        <v xml:space="preserve">          6272 - CASH (OVER/SHORT)</v>
      </c>
      <c r="C53" s="12"/>
      <c r="D53" s="7"/>
      <c r="E53" s="3"/>
      <c r="F53" s="8">
        <f t="shared" si="28"/>
        <v>0</v>
      </c>
      <c r="G53" s="3"/>
      <c r="H53" s="7">
        <v>20</v>
      </c>
      <c r="I53" s="3"/>
      <c r="J53" s="8">
        <f t="shared" si="29"/>
        <v>4.61361014994233E-3</v>
      </c>
      <c r="K53" s="3"/>
      <c r="L53" s="7">
        <f t="shared" si="30"/>
        <v>-20</v>
      </c>
      <c r="M53" s="3"/>
      <c r="N53" s="8">
        <f t="shared" si="31"/>
        <v>-1</v>
      </c>
      <c r="O53" s="12"/>
      <c r="P53" s="7"/>
      <c r="Q53" s="3"/>
      <c r="R53" s="8">
        <f t="shared" si="32"/>
        <v>0</v>
      </c>
      <c r="S53" s="3"/>
      <c r="T53" s="7">
        <v>20</v>
      </c>
      <c r="U53" s="3"/>
      <c r="V53" s="8">
        <f t="shared" si="33"/>
        <v>4.61361014994233E-3</v>
      </c>
      <c r="W53" s="3"/>
      <c r="X53" s="7">
        <f t="shared" si="34"/>
        <v>-20</v>
      </c>
      <c r="Y53" s="3"/>
      <c r="Z53" s="8">
        <f t="shared" si="35"/>
        <v>-1</v>
      </c>
    </row>
    <row r="54" spans="1:26" s="29" customFormat="1" outlineLevel="1" collapsed="1" x14ac:dyDescent="0.25">
      <c r="A54" s="28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282.82</v>
      </c>
      <c r="E54" s="1"/>
      <c r="F54" s="5">
        <f t="shared" si="28"/>
        <v>1.3930077728080274E-2</v>
      </c>
      <c r="G54" s="1"/>
      <c r="H54" s="1">
        <f>SUM(OSRRefH22_4x_0)</f>
        <v>1102</v>
      </c>
      <c r="I54" s="1"/>
      <c r="J54" s="5">
        <f t="shared" si="29"/>
        <v>0.2542099192618224</v>
      </c>
      <c r="K54" s="1"/>
      <c r="L54" s="1">
        <f t="shared" si="30"/>
        <v>-819.18000000000006</v>
      </c>
      <c r="M54" s="1"/>
      <c r="N54" s="5">
        <f t="shared" si="31"/>
        <v>-0.74335753176043562</v>
      </c>
      <c r="O54" s="14"/>
      <c r="P54" s="1">
        <f>SUM(OSRRefP22_4x_0)</f>
        <v>282.82</v>
      </c>
      <c r="Q54" s="1"/>
      <c r="R54" s="5">
        <f t="shared" si="32"/>
        <v>1.3930077728080274E-2</v>
      </c>
      <c r="S54" s="1"/>
      <c r="T54" s="1">
        <f>SUM(OSRRefT22_4x_0)</f>
        <v>1102</v>
      </c>
      <c r="U54" s="1"/>
      <c r="V54" s="5">
        <f t="shared" si="33"/>
        <v>0.2542099192618224</v>
      </c>
      <c r="W54" s="1"/>
      <c r="X54" s="1">
        <f t="shared" si="34"/>
        <v>-819.18000000000006</v>
      </c>
      <c r="Y54" s="1"/>
      <c r="Z54" s="5">
        <f t="shared" si="35"/>
        <v>-0.74335753176043562</v>
      </c>
    </row>
    <row r="55" spans="1:26" s="24" customFormat="1" hidden="1" outlineLevel="2" x14ac:dyDescent="0.25">
      <c r="A55" s="27"/>
      <c r="B55" s="12" t="str">
        <f>CONCATENATE("          ", "6381", " - ", "BANK/CREDIT CARD FEES")</f>
        <v xml:space="preserve">          6381 - BANK/CREDIT CARD FEES</v>
      </c>
      <c r="C55" s="12"/>
      <c r="D55" s="7">
        <v>282.82</v>
      </c>
      <c r="E55" s="3"/>
      <c r="F55" s="8">
        <f t="shared" si="28"/>
        <v>1.3930077728080274E-2</v>
      </c>
      <c r="G55" s="3"/>
      <c r="H55" s="7">
        <v>1102</v>
      </c>
      <c r="I55" s="3"/>
      <c r="J55" s="8">
        <f t="shared" si="29"/>
        <v>0.2542099192618224</v>
      </c>
      <c r="K55" s="3"/>
      <c r="L55" s="7">
        <f t="shared" si="30"/>
        <v>-819.18000000000006</v>
      </c>
      <c r="M55" s="3"/>
      <c r="N55" s="8">
        <f t="shared" si="31"/>
        <v>-0.74335753176043562</v>
      </c>
      <c r="O55" s="12"/>
      <c r="P55" s="7">
        <v>282.82</v>
      </c>
      <c r="Q55" s="3"/>
      <c r="R55" s="8">
        <f t="shared" si="32"/>
        <v>1.3930077728080274E-2</v>
      </c>
      <c r="S55" s="3"/>
      <c r="T55" s="7">
        <v>1102</v>
      </c>
      <c r="U55" s="3"/>
      <c r="V55" s="8">
        <f t="shared" si="33"/>
        <v>0.2542099192618224</v>
      </c>
      <c r="W55" s="3"/>
      <c r="X55" s="7">
        <f t="shared" si="34"/>
        <v>-819.18000000000006</v>
      </c>
      <c r="Y55" s="3"/>
      <c r="Z55" s="8">
        <f t="shared" si="35"/>
        <v>-0.74335753176043562</v>
      </c>
    </row>
    <row r="56" spans="1:26" s="29" customFormat="1" outlineLevel="1" collapsed="1" x14ac:dyDescent="0.25">
      <c r="A56" s="28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37769.03</v>
      </c>
      <c r="E56" s="1"/>
      <c r="F56" s="5">
        <f t="shared" si="28"/>
        <v>1.8602840096676179</v>
      </c>
      <c r="G56" s="1"/>
      <c r="H56" s="1">
        <f>SUM(OSRRefH22_5x_0)</f>
        <v>38779</v>
      </c>
      <c r="I56" s="1"/>
      <c r="J56" s="5">
        <f t="shared" si="29"/>
        <v>8.94555940023068</v>
      </c>
      <c r="K56" s="1"/>
      <c r="L56" s="1">
        <f t="shared" si="30"/>
        <v>-1009.9700000000012</v>
      </c>
      <c r="M56" s="1"/>
      <c r="N56" s="5">
        <f t="shared" si="31"/>
        <v>-2.6044250754274252E-2</v>
      </c>
      <c r="O56" s="14"/>
      <c r="P56" s="1">
        <f>SUM(OSRRefP22_5x_0)</f>
        <v>37769.03</v>
      </c>
      <c r="Q56" s="1"/>
      <c r="R56" s="5">
        <f t="shared" si="32"/>
        <v>1.8602840096676179</v>
      </c>
      <c r="S56" s="1"/>
      <c r="T56" s="1">
        <f>SUM(OSRRefT22_5x_0)</f>
        <v>38779</v>
      </c>
      <c r="U56" s="1"/>
      <c r="V56" s="5">
        <f t="shared" si="33"/>
        <v>8.94555940023068</v>
      </c>
      <c r="W56" s="1"/>
      <c r="X56" s="1">
        <f t="shared" si="34"/>
        <v>-1009.9700000000012</v>
      </c>
      <c r="Y56" s="1"/>
      <c r="Z56" s="5">
        <f t="shared" si="35"/>
        <v>-2.6044250754274252E-2</v>
      </c>
    </row>
    <row r="57" spans="1:26" s="24" customFormat="1" hidden="1" outlineLevel="2" x14ac:dyDescent="0.25">
      <c r="A57" s="27"/>
      <c r="B57" s="12" t="str">
        <f>CONCATENATE("          ", "6321", " - ", "BUILDING DEPRECIATION")</f>
        <v xml:space="preserve">          6321 - BUILDING DEPRECIATION</v>
      </c>
      <c r="C57" s="12"/>
      <c r="D57" s="7">
        <v>23844.89</v>
      </c>
      <c r="E57" s="3"/>
      <c r="F57" s="8">
        <f t="shared" si="28"/>
        <v>1.1744613928206069</v>
      </c>
      <c r="G57" s="3"/>
      <c r="H57" s="7"/>
      <c r="I57" s="3"/>
      <c r="J57" s="8">
        <f t="shared" si="29"/>
        <v>0</v>
      </c>
      <c r="K57" s="3"/>
      <c r="L57" s="7">
        <f t="shared" si="30"/>
        <v>23844.89</v>
      </c>
      <c r="M57" s="3"/>
      <c r="N57" s="8">
        <f t="shared" si="31"/>
        <v>0</v>
      </c>
      <c r="O57" s="12"/>
      <c r="P57" s="7">
        <v>23844.89</v>
      </c>
      <c r="Q57" s="3"/>
      <c r="R57" s="8">
        <f t="shared" si="32"/>
        <v>1.1744613928206069</v>
      </c>
      <c r="S57" s="3"/>
      <c r="T57" s="7"/>
      <c r="U57" s="3"/>
      <c r="V57" s="8">
        <f t="shared" si="33"/>
        <v>0</v>
      </c>
      <c r="W57" s="3"/>
      <c r="X57" s="7">
        <f t="shared" si="34"/>
        <v>23844.89</v>
      </c>
      <c r="Y57" s="3"/>
      <c r="Z57" s="8">
        <f t="shared" si="35"/>
        <v>0</v>
      </c>
    </row>
    <row r="58" spans="1:26" s="24" customFormat="1" hidden="1" outlineLevel="2" x14ac:dyDescent="0.25">
      <c r="A58" s="27"/>
      <c r="B58" s="12" t="str">
        <f>CONCATENATE("          ", "6322", " - ", "EQUIPMENT DEPRECIATION EXPENSE")</f>
        <v xml:space="preserve">          6322 - EQUIPMENT DEPRECIATION EXPENSE</v>
      </c>
      <c r="C58" s="12"/>
      <c r="D58" s="7">
        <v>13924.14</v>
      </c>
      <c r="E58" s="3"/>
      <c r="F58" s="8">
        <f t="shared" si="28"/>
        <v>0.68582261684701107</v>
      </c>
      <c r="G58" s="3"/>
      <c r="H58" s="7">
        <v>38229</v>
      </c>
      <c r="I58" s="3"/>
      <c r="J58" s="8">
        <f t="shared" si="29"/>
        <v>8.8186851211072668</v>
      </c>
      <c r="K58" s="3"/>
      <c r="L58" s="7">
        <f t="shared" si="30"/>
        <v>-24304.86</v>
      </c>
      <c r="M58" s="3"/>
      <c r="N58" s="8">
        <f t="shared" si="31"/>
        <v>-0.63577022679117945</v>
      </c>
      <c r="O58" s="12"/>
      <c r="P58" s="7">
        <v>13924.14</v>
      </c>
      <c r="Q58" s="3"/>
      <c r="R58" s="8">
        <f t="shared" si="32"/>
        <v>0.68582261684701107</v>
      </c>
      <c r="S58" s="3"/>
      <c r="T58" s="7">
        <v>38229</v>
      </c>
      <c r="U58" s="3"/>
      <c r="V58" s="8">
        <f t="shared" si="33"/>
        <v>8.8186851211072668</v>
      </c>
      <c r="W58" s="3"/>
      <c r="X58" s="7">
        <f t="shared" si="34"/>
        <v>-24304.86</v>
      </c>
      <c r="Y58" s="3"/>
      <c r="Z58" s="8">
        <f t="shared" si="35"/>
        <v>-0.63577022679117945</v>
      </c>
    </row>
    <row r="59" spans="1:26" s="24" customFormat="1" hidden="1" outlineLevel="2" x14ac:dyDescent="0.25">
      <c r="A59" s="27"/>
      <c r="B59" s="12" t="str">
        <f>CONCATENATE("          ", "6326", " - ", "VEHICLES DEPRECIATION EXPENSE")</f>
        <v xml:space="preserve">          6326 - VEHICLES DEPRECIATION EXPENSE</v>
      </c>
      <c r="C59" s="12"/>
      <c r="D59" s="7"/>
      <c r="E59" s="3"/>
      <c r="F59" s="8">
        <f t="shared" si="28"/>
        <v>0</v>
      </c>
      <c r="G59" s="3"/>
      <c r="H59" s="7">
        <v>550</v>
      </c>
      <c r="I59" s="3"/>
      <c r="J59" s="8">
        <f t="shared" si="29"/>
        <v>0.12687427912341406</v>
      </c>
      <c r="K59" s="3"/>
      <c r="L59" s="7">
        <f t="shared" si="30"/>
        <v>-550</v>
      </c>
      <c r="M59" s="3"/>
      <c r="N59" s="8">
        <f t="shared" si="31"/>
        <v>-1</v>
      </c>
      <c r="O59" s="12"/>
      <c r="P59" s="7"/>
      <c r="Q59" s="3"/>
      <c r="R59" s="8">
        <f t="shared" si="32"/>
        <v>0</v>
      </c>
      <c r="S59" s="3"/>
      <c r="T59" s="7">
        <v>550</v>
      </c>
      <c r="U59" s="3"/>
      <c r="V59" s="8">
        <f t="shared" si="33"/>
        <v>0.12687427912341406</v>
      </c>
      <c r="W59" s="3"/>
      <c r="X59" s="7">
        <f t="shared" si="34"/>
        <v>-550</v>
      </c>
      <c r="Y59" s="3"/>
      <c r="Z59" s="8">
        <f t="shared" si="35"/>
        <v>-1</v>
      </c>
    </row>
    <row r="60" spans="1:26" s="29" customFormat="1" outlineLevel="1" collapsed="1" x14ac:dyDescent="0.25">
      <c r="A60" s="28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SUM(OSRRefD22_6x_0)</f>
        <v>0</v>
      </c>
      <c r="E60" s="1"/>
      <c r="F60" s="5">
        <f t="shared" ref="F60:F77" si="36">IF(D$12=0,0,D60/D$12)</f>
        <v>0</v>
      </c>
      <c r="G60" s="1"/>
      <c r="H60" s="1">
        <f>SUM(OSRRefH22_6x_0)</f>
        <v>100</v>
      </c>
      <c r="I60" s="1"/>
      <c r="J60" s="5">
        <f t="shared" ref="J60:J77" si="37">IF(H$12=0,0,H60/H$12)</f>
        <v>2.306805074971165E-2</v>
      </c>
      <c r="K60" s="1"/>
      <c r="L60" s="1">
        <f t="shared" ref="L60:L77" si="38">+D60-H60</f>
        <v>-100</v>
      </c>
      <c r="M60" s="1"/>
      <c r="N60" s="5">
        <f t="shared" ref="N60:N77" si="39">IF(H60=0,0,L60/H60)</f>
        <v>-1</v>
      </c>
      <c r="O60" s="14"/>
      <c r="P60" s="1">
        <f>SUM(OSRRefP22_6x_0)</f>
        <v>0</v>
      </c>
      <c r="Q60" s="1"/>
      <c r="R60" s="5">
        <f t="shared" ref="R60:R77" si="40">IF(P$12=0,0,P60/P$12)</f>
        <v>0</v>
      </c>
      <c r="S60" s="1"/>
      <c r="T60" s="1">
        <f>SUM(OSRRefT22_6x_0)</f>
        <v>100</v>
      </c>
      <c r="U60" s="1"/>
      <c r="V60" s="5">
        <f t="shared" ref="V60:V77" si="41">IF(T$12=0,0,T60/T$12)</f>
        <v>2.306805074971165E-2</v>
      </c>
      <c r="W60" s="1"/>
      <c r="X60" s="1">
        <f t="shared" ref="X60:X77" si="42">+P60-T60</f>
        <v>-100</v>
      </c>
      <c r="Y60" s="1"/>
      <c r="Z60" s="5">
        <f t="shared" ref="Z60:Z77" si="43">IF(T60=0,0,X60/T60)</f>
        <v>-1</v>
      </c>
    </row>
    <row r="61" spans="1:26" s="24" customFormat="1" hidden="1" outlineLevel="2" x14ac:dyDescent="0.25">
      <c r="A61" s="27"/>
      <c r="B61" s="12" t="str">
        <f>CONCATENATE("          ", "6277", " - ", "EMPLOYEE APPRECIATION")</f>
        <v xml:space="preserve">          6277 - EMPLOYEE APPRECIATION</v>
      </c>
      <c r="C61" s="12"/>
      <c r="D61" s="7"/>
      <c r="E61" s="3"/>
      <c r="F61" s="8">
        <f t="shared" si="36"/>
        <v>0</v>
      </c>
      <c r="G61" s="3"/>
      <c r="H61" s="7">
        <v>100</v>
      </c>
      <c r="I61" s="3"/>
      <c r="J61" s="8">
        <f t="shared" si="37"/>
        <v>2.306805074971165E-2</v>
      </c>
      <c r="K61" s="3"/>
      <c r="L61" s="7">
        <f t="shared" si="38"/>
        <v>-100</v>
      </c>
      <c r="M61" s="3"/>
      <c r="N61" s="8">
        <f t="shared" si="39"/>
        <v>-1</v>
      </c>
      <c r="O61" s="12"/>
      <c r="P61" s="7"/>
      <c r="Q61" s="3"/>
      <c r="R61" s="8">
        <f t="shared" si="40"/>
        <v>0</v>
      </c>
      <c r="S61" s="3"/>
      <c r="T61" s="7">
        <v>100</v>
      </c>
      <c r="U61" s="3"/>
      <c r="V61" s="8">
        <f t="shared" si="41"/>
        <v>2.306805074971165E-2</v>
      </c>
      <c r="W61" s="3"/>
      <c r="X61" s="7">
        <f t="shared" si="42"/>
        <v>-100</v>
      </c>
      <c r="Y61" s="3"/>
      <c r="Z61" s="8">
        <f t="shared" si="43"/>
        <v>-1</v>
      </c>
    </row>
    <row r="62" spans="1:26" s="29" customFormat="1" outlineLevel="1" collapsed="1" x14ac:dyDescent="0.25">
      <c r="A62" s="28"/>
      <c r="B62" s="14" t="str">
        <f>CONCATENATE("     ","Equipment Rental                                  ")</f>
        <v xml:space="preserve">     Equipment Rental                                  </v>
      </c>
      <c r="C62" s="14"/>
      <c r="D62" s="1">
        <f>SUM(OSRRefD22_7x_0)</f>
        <v>1250.5</v>
      </c>
      <c r="E62" s="1"/>
      <c r="F62" s="5">
        <f t="shared" si="36"/>
        <v>6.1592398695157279E-2</v>
      </c>
      <c r="G62" s="1"/>
      <c r="H62" s="1">
        <f>SUM(OSRRefH22_7x_0)</f>
        <v>1044.333333333333</v>
      </c>
      <c r="I62" s="1"/>
      <c r="J62" s="5">
        <f t="shared" si="37"/>
        <v>0.2409073433294886</v>
      </c>
      <c r="K62" s="1"/>
      <c r="L62" s="1">
        <f t="shared" si="38"/>
        <v>206.16666666666697</v>
      </c>
      <c r="M62" s="1"/>
      <c r="N62" s="5">
        <f t="shared" si="39"/>
        <v>0.19741461857644466</v>
      </c>
      <c r="O62" s="14"/>
      <c r="P62" s="1">
        <f>SUM(OSRRefP22_7x_0)</f>
        <v>1250.5</v>
      </c>
      <c r="Q62" s="1"/>
      <c r="R62" s="5">
        <f t="shared" si="40"/>
        <v>6.1592398695157279E-2</v>
      </c>
      <c r="S62" s="1"/>
      <c r="T62" s="1">
        <f>SUM(OSRRefT22_7x_0)</f>
        <v>1044.333333333333</v>
      </c>
      <c r="U62" s="1"/>
      <c r="V62" s="5">
        <f t="shared" si="41"/>
        <v>0.2409073433294886</v>
      </c>
      <c r="W62" s="1"/>
      <c r="X62" s="1">
        <f t="shared" si="42"/>
        <v>206.16666666666697</v>
      </c>
      <c r="Y62" s="1"/>
      <c r="Z62" s="5">
        <f t="shared" si="43"/>
        <v>0.19741461857644466</v>
      </c>
    </row>
    <row r="63" spans="1:26" s="24" customFormat="1" hidden="1" outlineLevel="2" x14ac:dyDescent="0.25">
      <c r="A63" s="27"/>
      <c r="B63" s="12" t="str">
        <f>CONCATENATE("          ", "6351", " - ", "EQUIPMENT RENTAL")</f>
        <v xml:space="preserve">          6351 - EQUIPMENT RENTAL</v>
      </c>
      <c r="C63" s="12"/>
      <c r="D63" s="7">
        <v>1250.5</v>
      </c>
      <c r="E63" s="3"/>
      <c r="F63" s="8">
        <f t="shared" si="36"/>
        <v>6.1592398695157279E-2</v>
      </c>
      <c r="G63" s="3"/>
      <c r="H63" s="7">
        <v>1044.333333333333</v>
      </c>
      <c r="I63" s="3"/>
      <c r="J63" s="8">
        <f t="shared" si="37"/>
        <v>0.2409073433294886</v>
      </c>
      <c r="K63" s="3"/>
      <c r="L63" s="7">
        <f t="shared" si="38"/>
        <v>206.16666666666697</v>
      </c>
      <c r="M63" s="3"/>
      <c r="N63" s="8">
        <f t="shared" si="39"/>
        <v>0.19741461857644466</v>
      </c>
      <c r="O63" s="12"/>
      <c r="P63" s="7">
        <v>1250.5</v>
      </c>
      <c r="Q63" s="3"/>
      <c r="R63" s="8">
        <f t="shared" si="40"/>
        <v>6.1592398695157279E-2</v>
      </c>
      <c r="S63" s="3"/>
      <c r="T63" s="7">
        <v>1044.333333333333</v>
      </c>
      <c r="U63" s="3"/>
      <c r="V63" s="8">
        <f t="shared" si="41"/>
        <v>0.2409073433294886</v>
      </c>
      <c r="W63" s="3"/>
      <c r="X63" s="7">
        <f t="shared" si="42"/>
        <v>206.16666666666697</v>
      </c>
      <c r="Y63" s="3"/>
      <c r="Z63" s="8">
        <f t="shared" si="43"/>
        <v>0.19741461857644466</v>
      </c>
    </row>
    <row r="64" spans="1:26" s="29" customFormat="1" outlineLevel="1" collapsed="1" x14ac:dyDescent="0.25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SUM(OSRRefD22_8x_0)</f>
        <v>10621.85</v>
      </c>
      <c r="E64" s="1"/>
      <c r="F64" s="5">
        <f t="shared" si="36"/>
        <v>0.52317090770104469</v>
      </c>
      <c r="G64" s="1"/>
      <c r="H64" s="1">
        <f>SUM(OSRRefH22_8x_0)</f>
        <v>9205</v>
      </c>
      <c r="I64" s="1"/>
      <c r="J64" s="5">
        <f t="shared" si="37"/>
        <v>2.1234140715109575</v>
      </c>
      <c r="K64" s="1"/>
      <c r="L64" s="1">
        <f t="shared" si="38"/>
        <v>1416.8500000000004</v>
      </c>
      <c r="M64" s="1"/>
      <c r="N64" s="5">
        <f t="shared" si="39"/>
        <v>0.15392178164041287</v>
      </c>
      <c r="O64" s="14"/>
      <c r="P64" s="1">
        <f>SUM(OSRRefP22_8x_0)</f>
        <v>10621.85</v>
      </c>
      <c r="Q64" s="1"/>
      <c r="R64" s="5">
        <f t="shared" si="40"/>
        <v>0.52317090770104469</v>
      </c>
      <c r="S64" s="1"/>
      <c r="T64" s="1">
        <f>SUM(OSRRefT22_8x_0)</f>
        <v>9205</v>
      </c>
      <c r="U64" s="1"/>
      <c r="V64" s="5">
        <f t="shared" si="41"/>
        <v>2.1234140715109575</v>
      </c>
      <c r="W64" s="1"/>
      <c r="X64" s="1">
        <f t="shared" si="42"/>
        <v>1416.8500000000004</v>
      </c>
      <c r="Y64" s="1"/>
      <c r="Z64" s="5">
        <f t="shared" si="43"/>
        <v>0.15392178164041287</v>
      </c>
    </row>
    <row r="65" spans="1:26" s="24" customFormat="1" hidden="1" outlineLevel="2" x14ac:dyDescent="0.25">
      <c r="A65" s="27"/>
      <c r="B65" s="12" t="str">
        <f>CONCATENATE("          ", "6279", " - ", "GENERAL EXPENSE")</f>
        <v xml:space="preserve">          6279 - GENERAL EXPENSE</v>
      </c>
      <c r="C65" s="12"/>
      <c r="D65" s="7">
        <v>10621.85</v>
      </c>
      <c r="E65" s="3"/>
      <c r="F65" s="8">
        <f t="shared" si="36"/>
        <v>0.52317090770104469</v>
      </c>
      <c r="G65" s="3"/>
      <c r="H65" s="7">
        <v>9205</v>
      </c>
      <c r="I65" s="3"/>
      <c r="J65" s="8">
        <f t="shared" si="37"/>
        <v>2.1234140715109575</v>
      </c>
      <c r="K65" s="3"/>
      <c r="L65" s="7">
        <f t="shared" si="38"/>
        <v>1416.8500000000004</v>
      </c>
      <c r="M65" s="3"/>
      <c r="N65" s="8">
        <f t="shared" si="39"/>
        <v>0.15392178164041287</v>
      </c>
      <c r="O65" s="12"/>
      <c r="P65" s="7">
        <v>10621.85</v>
      </c>
      <c r="Q65" s="3"/>
      <c r="R65" s="8">
        <f t="shared" si="40"/>
        <v>0.52317090770104469</v>
      </c>
      <c r="S65" s="3"/>
      <c r="T65" s="7">
        <v>9205</v>
      </c>
      <c r="U65" s="3"/>
      <c r="V65" s="8">
        <f t="shared" si="41"/>
        <v>2.1234140715109575</v>
      </c>
      <c r="W65" s="3"/>
      <c r="X65" s="7">
        <f t="shared" si="42"/>
        <v>1416.8500000000004</v>
      </c>
      <c r="Y65" s="3"/>
      <c r="Z65" s="8">
        <f t="shared" si="43"/>
        <v>0.15392178164041287</v>
      </c>
    </row>
    <row r="66" spans="1:26" s="29" customFormat="1" outlineLevel="1" collapsed="1" x14ac:dyDescent="0.25">
      <c r="A66" s="28"/>
      <c r="B66" s="14" t="str">
        <f>CONCATENATE("     ","Insurance                                         ")</f>
        <v xml:space="preserve">     Insurance                                         </v>
      </c>
      <c r="C66" s="14"/>
      <c r="D66" s="1">
        <f>SUM(OSRRefD22_9x_0)</f>
        <v>4246.03</v>
      </c>
      <c r="E66" s="1"/>
      <c r="F66" s="5">
        <f t="shared" si="36"/>
        <v>0.20913488415161827</v>
      </c>
      <c r="G66" s="1"/>
      <c r="H66" s="1">
        <f>SUM(OSRRefH22_9x_0)</f>
        <v>4572</v>
      </c>
      <c r="I66" s="1"/>
      <c r="J66" s="5">
        <f t="shared" si="37"/>
        <v>1.0546712802768166</v>
      </c>
      <c r="K66" s="1"/>
      <c r="L66" s="1">
        <f t="shared" si="38"/>
        <v>-325.97000000000025</v>
      </c>
      <c r="M66" s="1"/>
      <c r="N66" s="5">
        <f t="shared" si="39"/>
        <v>-7.1297025371828582E-2</v>
      </c>
      <c r="O66" s="14"/>
      <c r="P66" s="1">
        <f>SUM(OSRRefP22_9x_0)</f>
        <v>4246.03</v>
      </c>
      <c r="Q66" s="1"/>
      <c r="R66" s="5">
        <f t="shared" si="40"/>
        <v>0.20913488415161827</v>
      </c>
      <c r="S66" s="1"/>
      <c r="T66" s="1">
        <f>SUM(OSRRefT22_9x_0)</f>
        <v>4572</v>
      </c>
      <c r="U66" s="1"/>
      <c r="V66" s="5">
        <f t="shared" si="41"/>
        <v>1.0546712802768166</v>
      </c>
      <c r="W66" s="1"/>
      <c r="X66" s="1">
        <f t="shared" si="42"/>
        <v>-325.97000000000025</v>
      </c>
      <c r="Y66" s="1"/>
      <c r="Z66" s="5">
        <f t="shared" si="43"/>
        <v>-7.1297025371828582E-2</v>
      </c>
    </row>
    <row r="67" spans="1:26" s="24" customFormat="1" hidden="1" outlineLevel="2" x14ac:dyDescent="0.25">
      <c r="A67" s="27"/>
      <c r="B67" s="12" t="str">
        <f>CONCATENATE("          ", "6314", " - ", "LIABILITY INSURANCE")</f>
        <v xml:space="preserve">          6314 - LIABILITY INSURANCE</v>
      </c>
      <c r="C67" s="12"/>
      <c r="D67" s="7">
        <v>4246.03</v>
      </c>
      <c r="E67" s="3"/>
      <c r="F67" s="8">
        <f t="shared" si="36"/>
        <v>0.20913488415161827</v>
      </c>
      <c r="G67" s="3"/>
      <c r="H67" s="7">
        <v>4572</v>
      </c>
      <c r="I67" s="3"/>
      <c r="J67" s="8">
        <f t="shared" si="37"/>
        <v>1.0546712802768166</v>
      </c>
      <c r="K67" s="3"/>
      <c r="L67" s="7">
        <f t="shared" si="38"/>
        <v>-325.97000000000025</v>
      </c>
      <c r="M67" s="3"/>
      <c r="N67" s="8">
        <f t="shared" si="39"/>
        <v>-7.1297025371828582E-2</v>
      </c>
      <c r="O67" s="12"/>
      <c r="P67" s="7">
        <v>4246.03</v>
      </c>
      <c r="Q67" s="3"/>
      <c r="R67" s="8">
        <f t="shared" si="40"/>
        <v>0.20913488415161827</v>
      </c>
      <c r="S67" s="3"/>
      <c r="T67" s="7">
        <v>4572</v>
      </c>
      <c r="U67" s="3"/>
      <c r="V67" s="8">
        <f t="shared" si="41"/>
        <v>1.0546712802768166</v>
      </c>
      <c r="W67" s="3"/>
      <c r="X67" s="7">
        <f t="shared" si="42"/>
        <v>-325.97000000000025</v>
      </c>
      <c r="Y67" s="3"/>
      <c r="Z67" s="8">
        <f t="shared" si="43"/>
        <v>-7.1297025371828582E-2</v>
      </c>
    </row>
    <row r="68" spans="1:26" s="29" customFormat="1" outlineLevel="1" collapsed="1" x14ac:dyDescent="0.25">
      <c r="A68" s="28"/>
      <c r="B68" s="14" t="str">
        <f>CONCATENATE("     ","Interest                                          ")</f>
        <v xml:space="preserve">     Interest                                          </v>
      </c>
      <c r="C68" s="14"/>
      <c r="D68" s="1">
        <f>SUM(OSRRefD22_10x_0)</f>
        <v>7510</v>
      </c>
      <c r="E68" s="1"/>
      <c r="F68" s="5">
        <f t="shared" si="36"/>
        <v>0.36989917169182823</v>
      </c>
      <c r="G68" s="1"/>
      <c r="H68" s="1">
        <f>SUM(OSRRefH22_10x_0)</f>
        <v>7510</v>
      </c>
      <c r="I68" s="1"/>
      <c r="J68" s="5">
        <f t="shared" si="37"/>
        <v>1.7324106113033448</v>
      </c>
      <c r="K68" s="1"/>
      <c r="L68" s="1">
        <f t="shared" si="38"/>
        <v>0</v>
      </c>
      <c r="M68" s="1"/>
      <c r="N68" s="5">
        <f t="shared" si="39"/>
        <v>0</v>
      </c>
      <c r="O68" s="14"/>
      <c r="P68" s="1">
        <f>SUM(OSRRefP22_10x_0)</f>
        <v>7510</v>
      </c>
      <c r="Q68" s="1"/>
      <c r="R68" s="5">
        <f t="shared" si="40"/>
        <v>0.36989917169182823</v>
      </c>
      <c r="S68" s="1"/>
      <c r="T68" s="1">
        <f>SUM(OSRRefT22_10x_0)</f>
        <v>7510</v>
      </c>
      <c r="U68" s="1"/>
      <c r="V68" s="5">
        <f t="shared" si="41"/>
        <v>1.7324106113033448</v>
      </c>
      <c r="W68" s="1"/>
      <c r="X68" s="1">
        <f t="shared" si="42"/>
        <v>0</v>
      </c>
      <c r="Y68" s="1"/>
      <c r="Z68" s="5">
        <f t="shared" si="43"/>
        <v>0</v>
      </c>
    </row>
    <row r="69" spans="1:26" s="24" customFormat="1" hidden="1" outlineLevel="2" x14ac:dyDescent="0.25">
      <c r="A69" s="27"/>
      <c r="B69" s="12" t="str">
        <f>CONCATENATE("          ", "6401", " - ", "INTEREST EXPENSE")</f>
        <v xml:space="preserve">          6401 - INTEREST EXPENSE</v>
      </c>
      <c r="C69" s="12"/>
      <c r="D69" s="7">
        <v>7510</v>
      </c>
      <c r="E69" s="3"/>
      <c r="F69" s="8">
        <f t="shared" si="36"/>
        <v>0.36989917169182823</v>
      </c>
      <c r="G69" s="3"/>
      <c r="H69" s="7">
        <v>7510</v>
      </c>
      <c r="I69" s="3"/>
      <c r="J69" s="8">
        <f t="shared" si="37"/>
        <v>1.7324106113033448</v>
      </c>
      <c r="K69" s="3"/>
      <c r="L69" s="7">
        <f t="shared" si="38"/>
        <v>0</v>
      </c>
      <c r="M69" s="3"/>
      <c r="N69" s="8">
        <f t="shared" si="39"/>
        <v>0</v>
      </c>
      <c r="O69" s="12"/>
      <c r="P69" s="7">
        <v>7510</v>
      </c>
      <c r="Q69" s="3"/>
      <c r="R69" s="8">
        <f t="shared" si="40"/>
        <v>0.36989917169182823</v>
      </c>
      <c r="S69" s="3"/>
      <c r="T69" s="7">
        <v>7510</v>
      </c>
      <c r="U69" s="3"/>
      <c r="V69" s="8">
        <f t="shared" si="41"/>
        <v>1.7324106113033448</v>
      </c>
      <c r="W69" s="3"/>
      <c r="X69" s="7">
        <f t="shared" si="42"/>
        <v>0</v>
      </c>
      <c r="Y69" s="3"/>
      <c r="Z69" s="8">
        <f t="shared" si="43"/>
        <v>0</v>
      </c>
    </row>
    <row r="70" spans="1:26" s="29" customFormat="1" outlineLevel="1" collapsed="1" x14ac:dyDescent="0.25">
      <c r="A70" s="28"/>
      <c r="B70" s="14" t="str">
        <f>CONCATENATE("     ","R/H Commissions                                   ")</f>
        <v xml:space="preserve">     R/H Commissions                                   </v>
      </c>
      <c r="C70" s="14"/>
      <c r="D70" s="1">
        <f>SUM(OSRRefD22_11x_0)</f>
        <v>1151.68</v>
      </c>
      <c r="E70" s="1"/>
      <c r="F70" s="5">
        <f t="shared" si="36"/>
        <v>5.6725096944613147E-2</v>
      </c>
      <c r="G70" s="1"/>
      <c r="H70" s="1">
        <f>SUM(OSRRefH22_11x_0)</f>
        <v>0</v>
      </c>
      <c r="I70" s="1"/>
      <c r="J70" s="5">
        <f t="shared" si="37"/>
        <v>0</v>
      </c>
      <c r="K70" s="1"/>
      <c r="L70" s="1">
        <f t="shared" si="38"/>
        <v>1151.68</v>
      </c>
      <c r="M70" s="1"/>
      <c r="N70" s="5">
        <f t="shared" si="39"/>
        <v>0</v>
      </c>
      <c r="O70" s="14"/>
      <c r="P70" s="1">
        <f>SUM(OSRRefP22_11x_0)</f>
        <v>1151.68</v>
      </c>
      <c r="Q70" s="1"/>
      <c r="R70" s="5">
        <f t="shared" si="40"/>
        <v>5.6725096944613147E-2</v>
      </c>
      <c r="S70" s="1"/>
      <c r="T70" s="1">
        <f>SUM(OSRRefT22_11x_0)</f>
        <v>0</v>
      </c>
      <c r="U70" s="1"/>
      <c r="V70" s="5">
        <f t="shared" si="41"/>
        <v>0</v>
      </c>
      <c r="W70" s="1"/>
      <c r="X70" s="1">
        <f t="shared" si="42"/>
        <v>1151.68</v>
      </c>
      <c r="Y70" s="1"/>
      <c r="Z70" s="5">
        <f t="shared" si="43"/>
        <v>0</v>
      </c>
    </row>
    <row r="71" spans="1:26" s="24" customFormat="1" hidden="1" outlineLevel="2" x14ac:dyDescent="0.25">
      <c r="A71" s="27"/>
      <c r="B71" s="12" t="str">
        <f>CONCATENATE("          ", "6387", " - ", "COMMISSION DUE HOUSING")</f>
        <v xml:space="preserve">          6387 - COMMISSION DUE HOUSING</v>
      </c>
      <c r="C71" s="12"/>
      <c r="D71" s="7">
        <v>1151.68</v>
      </c>
      <c r="E71" s="3"/>
      <c r="F71" s="8">
        <f t="shared" si="36"/>
        <v>5.6725096944613147E-2</v>
      </c>
      <c r="G71" s="3"/>
      <c r="H71" s="7"/>
      <c r="I71" s="3"/>
      <c r="J71" s="8">
        <f t="shared" si="37"/>
        <v>0</v>
      </c>
      <c r="K71" s="3"/>
      <c r="L71" s="7">
        <f t="shared" si="38"/>
        <v>1151.68</v>
      </c>
      <c r="M71" s="3"/>
      <c r="N71" s="8">
        <f t="shared" si="39"/>
        <v>0</v>
      </c>
      <c r="O71" s="12"/>
      <c r="P71" s="7">
        <v>1151.68</v>
      </c>
      <c r="Q71" s="3"/>
      <c r="R71" s="8">
        <f t="shared" si="40"/>
        <v>5.6725096944613147E-2</v>
      </c>
      <c r="S71" s="3"/>
      <c r="T71" s="7"/>
      <c r="U71" s="3"/>
      <c r="V71" s="8">
        <f t="shared" si="41"/>
        <v>0</v>
      </c>
      <c r="W71" s="3"/>
      <c r="X71" s="7">
        <f t="shared" si="42"/>
        <v>1151.68</v>
      </c>
      <c r="Y71" s="3"/>
      <c r="Z71" s="8">
        <f t="shared" si="43"/>
        <v>0</v>
      </c>
    </row>
    <row r="72" spans="1:26" s="29" customFormat="1" outlineLevel="1" collapsed="1" x14ac:dyDescent="0.25">
      <c r="A72" s="28"/>
      <c r="B72" s="14" t="str">
        <f>CONCATENATE("     ","Rent                                              ")</f>
        <v xml:space="preserve">     Rent                                              </v>
      </c>
      <c r="C72" s="14"/>
      <c r="D72" s="1">
        <f>SUM(OSRRefD22_12x_0)</f>
        <v>0</v>
      </c>
      <c r="E72" s="1"/>
      <c r="F72" s="5">
        <f t="shared" si="36"/>
        <v>0</v>
      </c>
      <c r="G72" s="1"/>
      <c r="H72" s="1">
        <f>SUM(OSRRefH22_12x_0)</f>
        <v>1943</v>
      </c>
      <c r="I72" s="1"/>
      <c r="J72" s="5">
        <f t="shared" si="37"/>
        <v>0.44821222606689737</v>
      </c>
      <c r="K72" s="1"/>
      <c r="L72" s="1">
        <f t="shared" si="38"/>
        <v>-1943</v>
      </c>
      <c r="M72" s="1"/>
      <c r="N72" s="5">
        <f t="shared" si="39"/>
        <v>-1</v>
      </c>
      <c r="O72" s="14"/>
      <c r="P72" s="1">
        <f>SUM(OSRRefP22_12x_0)</f>
        <v>0</v>
      </c>
      <c r="Q72" s="1"/>
      <c r="R72" s="5">
        <f t="shared" si="40"/>
        <v>0</v>
      </c>
      <c r="S72" s="1"/>
      <c r="T72" s="1">
        <f>SUM(OSRRefT22_12x_0)</f>
        <v>1943</v>
      </c>
      <c r="U72" s="1"/>
      <c r="V72" s="5">
        <f t="shared" si="41"/>
        <v>0.44821222606689737</v>
      </c>
      <c r="W72" s="1"/>
      <c r="X72" s="1">
        <f t="shared" si="42"/>
        <v>-1943</v>
      </c>
      <c r="Y72" s="1"/>
      <c r="Z72" s="5">
        <f t="shared" si="43"/>
        <v>-1</v>
      </c>
    </row>
    <row r="73" spans="1:26" s="24" customFormat="1" hidden="1" outlineLevel="2" x14ac:dyDescent="0.25">
      <c r="A73" s="27"/>
      <c r="B73" s="12" t="str">
        <f>CONCATENATE("          ", "6273", " - ", "RENT")</f>
        <v xml:space="preserve">          6273 - RENT</v>
      </c>
      <c r="C73" s="12"/>
      <c r="D73" s="7"/>
      <c r="E73" s="3"/>
      <c r="F73" s="8">
        <f t="shared" si="36"/>
        <v>0</v>
      </c>
      <c r="G73" s="3"/>
      <c r="H73" s="7">
        <v>1943</v>
      </c>
      <c r="I73" s="3"/>
      <c r="J73" s="8">
        <f t="shared" si="37"/>
        <v>0.44821222606689737</v>
      </c>
      <c r="K73" s="3"/>
      <c r="L73" s="7">
        <f t="shared" si="38"/>
        <v>-1943</v>
      </c>
      <c r="M73" s="3"/>
      <c r="N73" s="8">
        <f t="shared" si="39"/>
        <v>-1</v>
      </c>
      <c r="O73" s="12"/>
      <c r="P73" s="7"/>
      <c r="Q73" s="3"/>
      <c r="R73" s="8">
        <f t="shared" si="40"/>
        <v>0</v>
      </c>
      <c r="S73" s="3"/>
      <c r="T73" s="7">
        <v>1943</v>
      </c>
      <c r="U73" s="3"/>
      <c r="V73" s="8">
        <f t="shared" si="41"/>
        <v>0.44821222606689737</v>
      </c>
      <c r="W73" s="3"/>
      <c r="X73" s="7">
        <f t="shared" si="42"/>
        <v>-1943</v>
      </c>
      <c r="Y73" s="3"/>
      <c r="Z73" s="8">
        <f t="shared" si="43"/>
        <v>-1</v>
      </c>
    </row>
    <row r="74" spans="1:26" s="29" customFormat="1" outlineLevel="1" collapsed="1" x14ac:dyDescent="0.25">
      <c r="A74" s="28"/>
      <c r="B74" s="14" t="str">
        <f>CONCATENATE("     ","Repair and Maintenance                            ")</f>
        <v xml:space="preserve">     Repair and Maintenance                            </v>
      </c>
      <c r="C74" s="14"/>
      <c r="D74" s="1">
        <f>SUM(OSRRefD22_13x_0)</f>
        <v>4112.0599999999995</v>
      </c>
      <c r="E74" s="1"/>
      <c r="F74" s="5">
        <f t="shared" si="36"/>
        <v>0.20253629666406112</v>
      </c>
      <c r="G74" s="1"/>
      <c r="H74" s="1">
        <f>SUM(OSRRefH22_13x_0)</f>
        <v>4428</v>
      </c>
      <c r="I74" s="1"/>
      <c r="J74" s="5">
        <f t="shared" si="37"/>
        <v>1.0214532871972319</v>
      </c>
      <c r="K74" s="1"/>
      <c r="L74" s="1">
        <f t="shared" si="38"/>
        <v>-315.94000000000051</v>
      </c>
      <c r="M74" s="1"/>
      <c r="N74" s="5">
        <f t="shared" si="39"/>
        <v>-7.135049683830183E-2</v>
      </c>
      <c r="O74" s="14"/>
      <c r="P74" s="1">
        <f>SUM(OSRRefP22_13x_0)</f>
        <v>4112.0599999999995</v>
      </c>
      <c r="Q74" s="1"/>
      <c r="R74" s="5">
        <f t="shared" si="40"/>
        <v>0.20253629666406112</v>
      </c>
      <c r="S74" s="1"/>
      <c r="T74" s="1">
        <f>SUM(OSRRefT22_13x_0)</f>
        <v>4428</v>
      </c>
      <c r="U74" s="1"/>
      <c r="V74" s="5">
        <f t="shared" si="41"/>
        <v>1.0214532871972319</v>
      </c>
      <c r="W74" s="1"/>
      <c r="X74" s="1">
        <f t="shared" si="42"/>
        <v>-315.94000000000051</v>
      </c>
      <c r="Y74" s="1"/>
      <c r="Z74" s="5">
        <f t="shared" si="43"/>
        <v>-7.135049683830183E-2</v>
      </c>
    </row>
    <row r="75" spans="1:26" s="24" customFormat="1" hidden="1" outlineLevel="2" x14ac:dyDescent="0.25">
      <c r="A75" s="27"/>
      <c r="B75" s="12" t="str">
        <f>CONCATENATE("          ", "6372", " - ", "COMPUTER HARDWARE MAINTENANCE")</f>
        <v xml:space="preserve">          6372 - COMPUTER HARDWARE MAINTENANCE</v>
      </c>
      <c r="C75" s="12"/>
      <c r="D75" s="7"/>
      <c r="E75" s="3"/>
      <c r="F75" s="8">
        <f t="shared" si="36"/>
        <v>0</v>
      </c>
      <c r="G75" s="3"/>
      <c r="H75" s="7">
        <v>3083</v>
      </c>
      <c r="I75" s="3"/>
      <c r="J75" s="8">
        <f t="shared" si="37"/>
        <v>0.7111880046136102</v>
      </c>
      <c r="K75" s="3"/>
      <c r="L75" s="7">
        <f t="shared" si="38"/>
        <v>-3083</v>
      </c>
      <c r="M75" s="3"/>
      <c r="N75" s="8">
        <f t="shared" si="39"/>
        <v>-1</v>
      </c>
      <c r="O75" s="12"/>
      <c r="P75" s="7"/>
      <c r="Q75" s="3"/>
      <c r="R75" s="8">
        <f t="shared" si="40"/>
        <v>0</v>
      </c>
      <c r="S75" s="3"/>
      <c r="T75" s="7">
        <v>3083</v>
      </c>
      <c r="U75" s="3"/>
      <c r="V75" s="8">
        <f t="shared" si="41"/>
        <v>0.7111880046136102</v>
      </c>
      <c r="W75" s="3"/>
      <c r="X75" s="7">
        <f t="shared" si="42"/>
        <v>-3083</v>
      </c>
      <c r="Y75" s="3"/>
      <c r="Z75" s="8">
        <f t="shared" si="43"/>
        <v>-1</v>
      </c>
    </row>
    <row r="76" spans="1:26" s="24" customFormat="1" hidden="1" outlineLevel="2" x14ac:dyDescent="0.25">
      <c r="A76" s="27"/>
      <c r="B76" s="12" t="str">
        <f>CONCATENATE("          ", "6373", " - ", "MAINTENANCE CONTRACTS")</f>
        <v xml:space="preserve">          6373 - MAINTENANCE CONTRACTS</v>
      </c>
      <c r="C76" s="12"/>
      <c r="D76" s="7">
        <v>2355.2399999999998</v>
      </c>
      <c r="E76" s="3"/>
      <c r="F76" s="8">
        <f t="shared" si="36"/>
        <v>0.11600550268115331</v>
      </c>
      <c r="G76" s="3"/>
      <c r="H76" s="7">
        <v>58</v>
      </c>
      <c r="I76" s="3"/>
      <c r="J76" s="8">
        <f t="shared" si="37"/>
        <v>1.3379469434832756E-2</v>
      </c>
      <c r="K76" s="3"/>
      <c r="L76" s="7">
        <f t="shared" si="38"/>
        <v>2297.2399999999998</v>
      </c>
      <c r="M76" s="3"/>
      <c r="N76" s="8">
        <f t="shared" si="39"/>
        <v>39.607586206896549</v>
      </c>
      <c r="O76" s="12"/>
      <c r="P76" s="7">
        <v>2355.2399999999998</v>
      </c>
      <c r="Q76" s="3"/>
      <c r="R76" s="8">
        <f t="shared" si="40"/>
        <v>0.11600550268115331</v>
      </c>
      <c r="S76" s="3"/>
      <c r="T76" s="7">
        <v>58</v>
      </c>
      <c r="U76" s="3"/>
      <c r="V76" s="8">
        <f t="shared" si="41"/>
        <v>1.3379469434832756E-2</v>
      </c>
      <c r="W76" s="3"/>
      <c r="X76" s="7">
        <f t="shared" si="42"/>
        <v>2297.2399999999998</v>
      </c>
      <c r="Y76" s="3"/>
      <c r="Z76" s="8">
        <f t="shared" si="43"/>
        <v>39.607586206896549</v>
      </c>
    </row>
    <row r="77" spans="1:26" s="24" customFormat="1" hidden="1" outlineLevel="2" x14ac:dyDescent="0.25">
      <c r="A77" s="27"/>
      <c r="B77" s="12" t="str">
        <f>CONCATENATE("          ", "6375", " - ", "OUTSIDE REPAIRS &amp; MAINTENANCE")</f>
        <v xml:space="preserve">          6375 - OUTSIDE REPAIRS &amp; MAINTENANCE</v>
      </c>
      <c r="C77" s="12"/>
      <c r="D77" s="7">
        <v>1756.82</v>
      </c>
      <c r="E77" s="3"/>
      <c r="F77" s="8">
        <f t="shared" si="36"/>
        <v>8.6530793982907805E-2</v>
      </c>
      <c r="G77" s="3"/>
      <c r="H77" s="7">
        <v>1287</v>
      </c>
      <c r="I77" s="3"/>
      <c r="J77" s="8">
        <f t="shared" si="37"/>
        <v>0.29688581314878892</v>
      </c>
      <c r="K77" s="3"/>
      <c r="L77" s="7">
        <f t="shared" si="38"/>
        <v>469.81999999999994</v>
      </c>
      <c r="M77" s="3"/>
      <c r="N77" s="8">
        <f t="shared" si="39"/>
        <v>0.36505050505050501</v>
      </c>
      <c r="O77" s="12"/>
      <c r="P77" s="7">
        <v>1756.82</v>
      </c>
      <c r="Q77" s="3"/>
      <c r="R77" s="8">
        <f t="shared" si="40"/>
        <v>8.6530793982907805E-2</v>
      </c>
      <c r="S77" s="3"/>
      <c r="T77" s="7">
        <v>1287</v>
      </c>
      <c r="U77" s="3"/>
      <c r="V77" s="8">
        <f t="shared" si="41"/>
        <v>0.29688581314878892</v>
      </c>
      <c r="W77" s="3"/>
      <c r="X77" s="7">
        <f t="shared" si="42"/>
        <v>469.81999999999994</v>
      </c>
      <c r="Y77" s="3"/>
      <c r="Z77" s="8">
        <f t="shared" si="43"/>
        <v>0.36505050505050501</v>
      </c>
    </row>
    <row r="78" spans="1:26" s="29" customFormat="1" outlineLevel="1" collapsed="1" x14ac:dyDescent="0.25">
      <c r="A78" s="28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1">
        <f>SUM(OSRRefD22_14x_0)</f>
        <v>0</v>
      </c>
      <c r="E78" s="1"/>
      <c r="F78" s="5">
        <f t="shared" ref="F78:F80" si="44">IF(D$12=0,0,D78/D$12)</f>
        <v>0</v>
      </c>
      <c r="G78" s="1"/>
      <c r="H78" s="1">
        <f>SUM(OSRRefH22_14x_0)</f>
        <v>0</v>
      </c>
      <c r="I78" s="1"/>
      <c r="J78" s="5">
        <f t="shared" ref="J78:J80" si="45">IF(H$12=0,0,H78/H$12)</f>
        <v>0</v>
      </c>
      <c r="K78" s="1"/>
      <c r="L78" s="1">
        <f t="shared" ref="L78:L80" si="46">+D78-H78</f>
        <v>0</v>
      </c>
      <c r="M78" s="1"/>
      <c r="N78" s="5">
        <f t="shared" ref="N78:N80" si="47">IF(H78=0,0,L78/H78)</f>
        <v>0</v>
      </c>
      <c r="O78" s="14"/>
      <c r="P78" s="1">
        <f>SUM(OSRRefP22_14x_0)</f>
        <v>0</v>
      </c>
      <c r="Q78" s="1"/>
      <c r="R78" s="5">
        <f t="shared" ref="R78:R80" si="48">IF(P$12=0,0,P78/P$12)</f>
        <v>0</v>
      </c>
      <c r="S78" s="1"/>
      <c r="T78" s="1">
        <f>SUM(OSRRefT22_14x_0)</f>
        <v>0</v>
      </c>
      <c r="U78" s="1"/>
      <c r="V78" s="5">
        <f t="shared" ref="V78:V80" si="49">IF(T$12=0,0,T78/T$12)</f>
        <v>0</v>
      </c>
      <c r="W78" s="1"/>
      <c r="X78" s="1">
        <f t="shared" ref="X78:X80" si="50">+P78-T78</f>
        <v>0</v>
      </c>
      <c r="Y78" s="1"/>
      <c r="Z78" s="5">
        <f t="shared" ref="Z78:Z80" si="51">IF(T78=0,0,X78/T78)</f>
        <v>0</v>
      </c>
    </row>
    <row r="79" spans="1:26" s="24" customFormat="1" hidden="1" outlineLevel="2" x14ac:dyDescent="0.25">
      <c r="A79" s="27"/>
      <c r="B79" s="12" t="str">
        <f>CONCATENATE("          ", "6254", " - ", "ROYALTY &amp; COMMISSIONS")</f>
        <v xml:space="preserve">          6254 - ROYALTY &amp; COMMISSIONS</v>
      </c>
      <c r="C79" s="12"/>
      <c r="D79" s="7"/>
      <c r="E79" s="3"/>
      <c r="F79" s="8">
        <f t="shared" si="44"/>
        <v>0</v>
      </c>
      <c r="G79" s="3"/>
      <c r="H79" s="7">
        <v>0</v>
      </c>
      <c r="I79" s="3"/>
      <c r="J79" s="8">
        <f t="shared" si="45"/>
        <v>0</v>
      </c>
      <c r="K79" s="3"/>
      <c r="L79" s="7">
        <f t="shared" si="46"/>
        <v>0</v>
      </c>
      <c r="M79" s="3"/>
      <c r="N79" s="8">
        <f t="shared" si="47"/>
        <v>0</v>
      </c>
      <c r="O79" s="12"/>
      <c r="P79" s="7"/>
      <c r="Q79" s="3"/>
      <c r="R79" s="8">
        <f t="shared" si="48"/>
        <v>0</v>
      </c>
      <c r="S79" s="3"/>
      <c r="T79" s="7">
        <v>0</v>
      </c>
      <c r="U79" s="3"/>
      <c r="V79" s="8">
        <f t="shared" si="49"/>
        <v>0</v>
      </c>
      <c r="W79" s="3"/>
      <c r="X79" s="7">
        <f t="shared" si="50"/>
        <v>0</v>
      </c>
      <c r="Y79" s="3"/>
      <c r="Z79" s="8">
        <f t="shared" si="51"/>
        <v>0</v>
      </c>
    </row>
    <row r="80" spans="1:26" s="24" customFormat="1" hidden="1" outlineLevel="2" x14ac:dyDescent="0.25">
      <c r="A80" s="27"/>
      <c r="B80" s="12" t="str">
        <f>CONCATENATE("          ", "6259", " - ", "ROYALTY &amp; COMMISSIONS")</f>
        <v xml:space="preserve">          6259 - ROYALTY &amp; COMMISSIONS</v>
      </c>
      <c r="C80" s="12"/>
      <c r="D80" s="7"/>
      <c r="E80" s="3"/>
      <c r="F80" s="8">
        <f t="shared" si="44"/>
        <v>0</v>
      </c>
      <c r="G80" s="3"/>
      <c r="H80" s="7">
        <v>0</v>
      </c>
      <c r="I80" s="3"/>
      <c r="J80" s="8">
        <f t="shared" si="45"/>
        <v>0</v>
      </c>
      <c r="K80" s="3"/>
      <c r="L80" s="7">
        <f t="shared" si="46"/>
        <v>0</v>
      </c>
      <c r="M80" s="3"/>
      <c r="N80" s="8">
        <f t="shared" si="47"/>
        <v>0</v>
      </c>
      <c r="O80" s="12"/>
      <c r="P80" s="7"/>
      <c r="Q80" s="3"/>
      <c r="R80" s="8">
        <f t="shared" si="48"/>
        <v>0</v>
      </c>
      <c r="S80" s="3"/>
      <c r="T80" s="7">
        <v>0</v>
      </c>
      <c r="U80" s="3"/>
      <c r="V80" s="8">
        <f t="shared" si="49"/>
        <v>0</v>
      </c>
      <c r="W80" s="3"/>
      <c r="X80" s="7">
        <f t="shared" si="50"/>
        <v>0</v>
      </c>
      <c r="Y80" s="3"/>
      <c r="Z80" s="8">
        <f t="shared" si="51"/>
        <v>0</v>
      </c>
    </row>
    <row r="81" spans="1:26" s="29" customFormat="1" outlineLevel="1" collapsed="1" x14ac:dyDescent="0.25">
      <c r="A81" s="28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SUM(OSRRefD22_15x_0)</f>
        <v>12759.87</v>
      </c>
      <c r="E81" s="1"/>
      <c r="F81" s="5">
        <f t="shared" ref="F81:F86" si="52">IF(D$12=0,0,D81/D$12)</f>
        <v>0.62847740930697849</v>
      </c>
      <c r="G81" s="1"/>
      <c r="H81" s="1">
        <f>SUM(OSRRefH22_15x_0)</f>
        <v>24956</v>
      </c>
      <c r="I81" s="1"/>
      <c r="J81" s="5">
        <f t="shared" ref="J81:J86" si="53">IF(H$12=0,0,H81/H$12)</f>
        <v>5.7568627450980392</v>
      </c>
      <c r="K81" s="1"/>
      <c r="L81" s="1">
        <f t="shared" ref="L81:L86" si="54">+D81-H81</f>
        <v>-12196.13</v>
      </c>
      <c r="M81" s="1"/>
      <c r="N81" s="5">
        <f t="shared" ref="N81:N86" si="55">IF(H81=0,0,L81/H81)</f>
        <v>-0.48870532136560341</v>
      </c>
      <c r="O81" s="14"/>
      <c r="P81" s="1">
        <f>SUM(OSRRefP22_15x_0)</f>
        <v>12759.87</v>
      </c>
      <c r="Q81" s="1"/>
      <c r="R81" s="5">
        <f t="shared" ref="R81:R86" si="56">IF(P$12=0,0,P81/P$12)</f>
        <v>0.62847740930697849</v>
      </c>
      <c r="S81" s="1"/>
      <c r="T81" s="1">
        <f>SUM(OSRRefT22_15x_0)</f>
        <v>24956</v>
      </c>
      <c r="U81" s="1"/>
      <c r="V81" s="5">
        <f t="shared" ref="V81:V86" si="57">IF(T$12=0,0,T81/T$12)</f>
        <v>5.7568627450980392</v>
      </c>
      <c r="W81" s="1"/>
      <c r="X81" s="1">
        <f t="shared" ref="X81:X86" si="58">+P81-T81</f>
        <v>-12196.13</v>
      </c>
      <c r="Y81" s="1"/>
      <c r="Z81" s="5">
        <f t="shared" ref="Z81:Z86" si="59">IF(T81=0,0,X81/T81)</f>
        <v>-0.48870532136560341</v>
      </c>
    </row>
    <row r="82" spans="1:26" s="24" customFormat="1" hidden="1" outlineLevel="2" x14ac:dyDescent="0.25">
      <c r="A82" s="27"/>
      <c r="B82" s="12" t="str">
        <f>CONCATENATE("          ", "6282", " - ", "JANITORIAL/EXTERMINATOR EXPENS")</f>
        <v xml:space="preserve">          6282 - JANITORIAL/EXTERMINATOR EXPENS</v>
      </c>
      <c r="C82" s="12"/>
      <c r="D82" s="7">
        <v>1508.3</v>
      </c>
      <c r="E82" s="3"/>
      <c r="F82" s="8">
        <f t="shared" si="52"/>
        <v>7.4290135907161714E-2</v>
      </c>
      <c r="G82" s="3"/>
      <c r="H82" s="7">
        <v>2705</v>
      </c>
      <c r="I82" s="3"/>
      <c r="J82" s="8">
        <f t="shared" si="53"/>
        <v>0.62399077277970016</v>
      </c>
      <c r="K82" s="3"/>
      <c r="L82" s="7">
        <f t="shared" si="54"/>
        <v>-1196.7</v>
      </c>
      <c r="M82" s="3"/>
      <c r="N82" s="8">
        <f t="shared" si="55"/>
        <v>-0.44240295748613678</v>
      </c>
      <c r="O82" s="12"/>
      <c r="P82" s="7">
        <v>1508.3</v>
      </c>
      <c r="Q82" s="3"/>
      <c r="R82" s="8">
        <f t="shared" si="56"/>
        <v>7.4290135907161714E-2</v>
      </c>
      <c r="S82" s="3"/>
      <c r="T82" s="7">
        <v>2705</v>
      </c>
      <c r="U82" s="3"/>
      <c r="V82" s="8">
        <f t="shared" si="57"/>
        <v>0.62399077277970016</v>
      </c>
      <c r="W82" s="3"/>
      <c r="X82" s="7">
        <f t="shared" si="58"/>
        <v>-1196.7</v>
      </c>
      <c r="Y82" s="3"/>
      <c r="Z82" s="8">
        <f t="shared" si="59"/>
        <v>-0.44240295748613678</v>
      </c>
    </row>
    <row r="83" spans="1:26" s="24" customFormat="1" hidden="1" outlineLevel="2" x14ac:dyDescent="0.25">
      <c r="A83" s="27"/>
      <c r="B83" s="12" t="str">
        <f>CONCATENATE("          ", "6283", " - ", "PLANT SERVICE")</f>
        <v xml:space="preserve">          6283 - PLANT SERVICE</v>
      </c>
      <c r="C83" s="12"/>
      <c r="D83" s="7"/>
      <c r="E83" s="3"/>
      <c r="F83" s="8">
        <f t="shared" si="52"/>
        <v>0</v>
      </c>
      <c r="G83" s="3"/>
      <c r="H83" s="7">
        <v>62</v>
      </c>
      <c r="I83" s="3"/>
      <c r="J83" s="8">
        <f t="shared" si="53"/>
        <v>1.4302191464821222E-2</v>
      </c>
      <c r="K83" s="3"/>
      <c r="L83" s="7">
        <f t="shared" si="54"/>
        <v>-62</v>
      </c>
      <c r="M83" s="3"/>
      <c r="N83" s="8">
        <f t="shared" si="55"/>
        <v>-1</v>
      </c>
      <c r="O83" s="12"/>
      <c r="P83" s="7"/>
      <c r="Q83" s="3"/>
      <c r="R83" s="8">
        <f t="shared" si="56"/>
        <v>0</v>
      </c>
      <c r="S83" s="3"/>
      <c r="T83" s="7">
        <v>62</v>
      </c>
      <c r="U83" s="3"/>
      <c r="V83" s="8">
        <f t="shared" si="57"/>
        <v>1.4302191464821222E-2</v>
      </c>
      <c r="W83" s="3"/>
      <c r="X83" s="7">
        <f t="shared" si="58"/>
        <v>-62</v>
      </c>
      <c r="Y83" s="3"/>
      <c r="Z83" s="8">
        <f t="shared" si="59"/>
        <v>-1</v>
      </c>
    </row>
    <row r="84" spans="1:26" s="24" customFormat="1" hidden="1" outlineLevel="2" x14ac:dyDescent="0.25">
      <c r="A84" s="27"/>
      <c r="B84" s="12" t="str">
        <f>CONCATENATE("          ", "6284", " - ", "TRASH REMOVAL EXPENSE")</f>
        <v xml:space="preserve">          6284 - TRASH REMOVAL EXPENSE</v>
      </c>
      <c r="C84" s="12"/>
      <c r="D84" s="7">
        <v>1000</v>
      </c>
      <c r="E84" s="3"/>
      <c r="F84" s="8">
        <f t="shared" si="52"/>
        <v>4.9254217269218137E-2</v>
      </c>
      <c r="G84" s="3"/>
      <c r="H84" s="7">
        <v>2323</v>
      </c>
      <c r="I84" s="3"/>
      <c r="J84" s="8">
        <f t="shared" si="53"/>
        <v>0.53587081891580157</v>
      </c>
      <c r="K84" s="3"/>
      <c r="L84" s="7">
        <f t="shared" si="54"/>
        <v>-1323</v>
      </c>
      <c r="M84" s="3"/>
      <c r="N84" s="8">
        <f t="shared" si="55"/>
        <v>-0.56952216960826518</v>
      </c>
      <c r="O84" s="12"/>
      <c r="P84" s="7">
        <v>1000</v>
      </c>
      <c r="Q84" s="3"/>
      <c r="R84" s="8">
        <f t="shared" si="56"/>
        <v>4.9254217269218137E-2</v>
      </c>
      <c r="S84" s="3"/>
      <c r="T84" s="7">
        <v>2323</v>
      </c>
      <c r="U84" s="3"/>
      <c r="V84" s="8">
        <f t="shared" si="57"/>
        <v>0.53587081891580157</v>
      </c>
      <c r="W84" s="3"/>
      <c r="X84" s="7">
        <f t="shared" si="58"/>
        <v>-1323</v>
      </c>
      <c r="Y84" s="3"/>
      <c r="Z84" s="8">
        <f t="shared" si="59"/>
        <v>-0.56952216960826518</v>
      </c>
    </row>
    <row r="85" spans="1:26" s="24" customFormat="1" hidden="1" outlineLevel="2" x14ac:dyDescent="0.25">
      <c r="A85" s="27"/>
      <c r="B85" s="12" t="str">
        <f>CONCATENATE("          ", "6285", " - ", "JANITORIAL SERVICES")</f>
        <v xml:space="preserve">          6285 - JANITORIAL SERVICES</v>
      </c>
      <c r="C85" s="12"/>
      <c r="D85" s="7">
        <v>8314.1</v>
      </c>
      <c r="E85" s="3"/>
      <c r="F85" s="8">
        <f t="shared" si="52"/>
        <v>0.40950448779800652</v>
      </c>
      <c r="G85" s="3"/>
      <c r="H85" s="7">
        <v>15366</v>
      </c>
      <c r="I85" s="3"/>
      <c r="J85" s="8">
        <f t="shared" si="53"/>
        <v>3.5446366782006922</v>
      </c>
      <c r="K85" s="3"/>
      <c r="L85" s="7">
        <f t="shared" si="54"/>
        <v>-7051.9</v>
      </c>
      <c r="M85" s="3"/>
      <c r="N85" s="8">
        <f t="shared" si="55"/>
        <v>-0.45892880385266172</v>
      </c>
      <c r="O85" s="12"/>
      <c r="P85" s="7">
        <v>8314.1</v>
      </c>
      <c r="Q85" s="3"/>
      <c r="R85" s="8">
        <f t="shared" si="56"/>
        <v>0.40950448779800652</v>
      </c>
      <c r="S85" s="3"/>
      <c r="T85" s="7">
        <v>15366</v>
      </c>
      <c r="U85" s="3"/>
      <c r="V85" s="8">
        <f t="shared" si="57"/>
        <v>3.5446366782006922</v>
      </c>
      <c r="W85" s="3"/>
      <c r="X85" s="7">
        <f t="shared" si="58"/>
        <v>-7051.9</v>
      </c>
      <c r="Y85" s="3"/>
      <c r="Z85" s="8">
        <f t="shared" si="59"/>
        <v>-0.45892880385266172</v>
      </c>
    </row>
    <row r="86" spans="1:26" s="24" customFormat="1" hidden="1" outlineLevel="2" x14ac:dyDescent="0.25">
      <c r="A86" s="27"/>
      <c r="B86" s="12" t="str">
        <f>CONCATENATE("          ", "6286", " - ", "LAUNDRY EXPENSE")</f>
        <v xml:space="preserve">          6286 - LAUNDRY EXPENSE</v>
      </c>
      <c r="C86" s="12"/>
      <c r="D86" s="7">
        <v>1937.47</v>
      </c>
      <c r="E86" s="3"/>
      <c r="F86" s="8">
        <f t="shared" si="52"/>
        <v>9.542856833259207E-2</v>
      </c>
      <c r="G86" s="3"/>
      <c r="H86" s="7">
        <v>4500</v>
      </c>
      <c r="I86" s="3"/>
      <c r="J86" s="8">
        <f t="shared" si="53"/>
        <v>1.0380622837370241</v>
      </c>
      <c r="K86" s="3"/>
      <c r="L86" s="7">
        <f t="shared" si="54"/>
        <v>-2562.5299999999997</v>
      </c>
      <c r="M86" s="3"/>
      <c r="N86" s="8">
        <f t="shared" si="55"/>
        <v>-0.56945111111111102</v>
      </c>
      <c r="O86" s="12"/>
      <c r="P86" s="7">
        <v>1937.47</v>
      </c>
      <c r="Q86" s="3"/>
      <c r="R86" s="8">
        <f t="shared" si="56"/>
        <v>9.542856833259207E-2</v>
      </c>
      <c r="S86" s="3"/>
      <c r="T86" s="7">
        <v>4500</v>
      </c>
      <c r="U86" s="3"/>
      <c r="V86" s="8">
        <f t="shared" si="57"/>
        <v>1.0380622837370241</v>
      </c>
      <c r="W86" s="3"/>
      <c r="X86" s="7">
        <f t="shared" si="58"/>
        <v>-2562.5299999999997</v>
      </c>
      <c r="Y86" s="3"/>
      <c r="Z86" s="8">
        <f t="shared" si="59"/>
        <v>-0.56945111111111102</v>
      </c>
    </row>
    <row r="87" spans="1:26" s="29" customFormat="1" outlineLevel="1" collapsed="1" x14ac:dyDescent="0.25">
      <c r="A87" s="28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SUM(OSRRefD22_16x_0)</f>
        <v>9.32</v>
      </c>
      <c r="E87" s="1"/>
      <c r="F87" s="5">
        <f t="shared" ref="F87:F100" si="60">IF(D$12=0,0,D87/D$12)</f>
        <v>4.5904930494911306E-4</v>
      </c>
      <c r="G87" s="1"/>
      <c r="H87" s="1">
        <f>SUM(OSRRefH22_16x_0)</f>
        <v>197</v>
      </c>
      <c r="I87" s="1"/>
      <c r="J87" s="5">
        <f t="shared" ref="J87:J100" si="61">IF(H$12=0,0,H87/H$12)</f>
        <v>4.5444059976931947E-2</v>
      </c>
      <c r="K87" s="1"/>
      <c r="L87" s="1">
        <f t="shared" ref="L87:L100" si="62">+D87-H87</f>
        <v>-187.68</v>
      </c>
      <c r="M87" s="1"/>
      <c r="N87" s="5">
        <f t="shared" ref="N87:N100" si="63">IF(H87=0,0,L87/H87)</f>
        <v>-0.95269035532994928</v>
      </c>
      <c r="O87" s="14"/>
      <c r="P87" s="1">
        <f>SUM(OSRRefP22_16x_0)</f>
        <v>9.32</v>
      </c>
      <c r="Q87" s="1"/>
      <c r="R87" s="5">
        <f t="shared" ref="R87:R100" si="64">IF(P$12=0,0,P87/P$12)</f>
        <v>4.5904930494911306E-4</v>
      </c>
      <c r="S87" s="1"/>
      <c r="T87" s="1">
        <f>SUM(OSRRefT22_16x_0)</f>
        <v>197</v>
      </c>
      <c r="U87" s="1"/>
      <c r="V87" s="5">
        <f t="shared" ref="V87:V100" si="65">IF(T$12=0,0,T87/T$12)</f>
        <v>4.5444059976931947E-2</v>
      </c>
      <c r="W87" s="1"/>
      <c r="X87" s="1">
        <f t="shared" ref="X87:X100" si="66">+P87-T87</f>
        <v>-187.68</v>
      </c>
      <c r="Y87" s="1"/>
      <c r="Z87" s="5">
        <f t="shared" ref="Z87:Z100" si="67">IF(T87=0,0,X87/T87)</f>
        <v>-0.95269035532994928</v>
      </c>
    </row>
    <row r="88" spans="1:26" s="24" customFormat="1" hidden="1" outlineLevel="2" x14ac:dyDescent="0.25">
      <c r="A88" s="27"/>
      <c r="B88" s="12" t="str">
        <f>CONCATENATE("          ", "6275", " - ", "SUBSCRIPTIONS")</f>
        <v xml:space="preserve">          6275 - SUBSCRIPTIONS</v>
      </c>
      <c r="C88" s="12"/>
      <c r="D88" s="7">
        <v>9.32</v>
      </c>
      <c r="E88" s="3"/>
      <c r="F88" s="8">
        <f t="shared" si="60"/>
        <v>4.5904930494911306E-4</v>
      </c>
      <c r="G88" s="3"/>
      <c r="H88" s="7">
        <v>197</v>
      </c>
      <c r="I88" s="3"/>
      <c r="J88" s="8">
        <f t="shared" si="61"/>
        <v>4.5444059976931947E-2</v>
      </c>
      <c r="K88" s="3"/>
      <c r="L88" s="7">
        <f t="shared" si="62"/>
        <v>-187.68</v>
      </c>
      <c r="M88" s="3"/>
      <c r="N88" s="8">
        <f t="shared" si="63"/>
        <v>-0.95269035532994928</v>
      </c>
      <c r="O88" s="12"/>
      <c r="P88" s="7">
        <v>9.32</v>
      </c>
      <c r="Q88" s="3"/>
      <c r="R88" s="8">
        <f t="shared" si="64"/>
        <v>4.5904930494911306E-4</v>
      </c>
      <c r="S88" s="3"/>
      <c r="T88" s="7">
        <v>197</v>
      </c>
      <c r="U88" s="3"/>
      <c r="V88" s="8">
        <f t="shared" si="65"/>
        <v>4.5444059976931947E-2</v>
      </c>
      <c r="W88" s="3"/>
      <c r="X88" s="7">
        <f t="shared" si="66"/>
        <v>-187.68</v>
      </c>
      <c r="Y88" s="3"/>
      <c r="Z88" s="8">
        <f t="shared" si="67"/>
        <v>-0.95269035532994928</v>
      </c>
    </row>
    <row r="89" spans="1:26" s="29" customFormat="1" outlineLevel="1" collapsed="1" x14ac:dyDescent="0.25">
      <c r="A89" s="28"/>
      <c r="B89" s="14" t="str">
        <f>CONCATENATE("     ","Supplies                                          ")</f>
        <v xml:space="preserve">     Supplies                                          </v>
      </c>
      <c r="C89" s="14"/>
      <c r="D89" s="1">
        <f>SUM(OSRRefD22_17x_0)</f>
        <v>7354.66</v>
      </c>
      <c r="E89" s="1"/>
      <c r="F89" s="5">
        <f t="shared" si="60"/>
        <v>0.36224802158122787</v>
      </c>
      <c r="G89" s="1"/>
      <c r="H89" s="1">
        <f>SUM(OSRRefH22_17x_0)</f>
        <v>17244</v>
      </c>
      <c r="I89" s="1"/>
      <c r="J89" s="5">
        <f t="shared" si="61"/>
        <v>3.9778546712802769</v>
      </c>
      <c r="K89" s="1"/>
      <c r="L89" s="1">
        <f t="shared" si="62"/>
        <v>-9889.34</v>
      </c>
      <c r="M89" s="1"/>
      <c r="N89" s="5">
        <f t="shared" si="63"/>
        <v>-0.57349454882857809</v>
      </c>
      <c r="O89" s="14"/>
      <c r="P89" s="1">
        <f>SUM(OSRRefP22_17x_0)</f>
        <v>7354.66</v>
      </c>
      <c r="Q89" s="1"/>
      <c r="R89" s="5">
        <f t="shared" si="64"/>
        <v>0.36224802158122787</v>
      </c>
      <c r="S89" s="1"/>
      <c r="T89" s="1">
        <f>SUM(OSRRefT22_17x_0)</f>
        <v>17244</v>
      </c>
      <c r="U89" s="1"/>
      <c r="V89" s="5">
        <f t="shared" si="65"/>
        <v>3.9778546712802769</v>
      </c>
      <c r="W89" s="1"/>
      <c r="X89" s="1">
        <f t="shared" si="66"/>
        <v>-9889.34</v>
      </c>
      <c r="Y89" s="1"/>
      <c r="Z89" s="5">
        <f t="shared" si="67"/>
        <v>-0.57349454882857809</v>
      </c>
    </row>
    <row r="90" spans="1:26" s="24" customFormat="1" hidden="1" outlineLevel="2" x14ac:dyDescent="0.25">
      <c r="A90" s="27"/>
      <c r="B90" s="12" t="str">
        <f>CONCATENATE("          ", "6234", " - ", "EXPENDABLE SUPPLIES &amp; EQUIPMEN")</f>
        <v xml:space="preserve">          6234 - EXPENDABLE SUPPLIES &amp; EQUIPMEN</v>
      </c>
      <c r="C90" s="12"/>
      <c r="D90" s="7"/>
      <c r="E90" s="3"/>
      <c r="F90" s="8">
        <f t="shared" si="60"/>
        <v>0</v>
      </c>
      <c r="G90" s="3"/>
      <c r="H90" s="7">
        <v>100</v>
      </c>
      <c r="I90" s="3"/>
      <c r="J90" s="8">
        <f t="shared" si="61"/>
        <v>2.306805074971165E-2</v>
      </c>
      <c r="K90" s="3"/>
      <c r="L90" s="7">
        <f t="shared" si="62"/>
        <v>-100</v>
      </c>
      <c r="M90" s="3"/>
      <c r="N90" s="8">
        <f t="shared" si="63"/>
        <v>-1</v>
      </c>
      <c r="O90" s="12"/>
      <c r="P90" s="7"/>
      <c r="Q90" s="3"/>
      <c r="R90" s="8">
        <f t="shared" si="64"/>
        <v>0</v>
      </c>
      <c r="S90" s="3"/>
      <c r="T90" s="7">
        <v>100</v>
      </c>
      <c r="U90" s="3"/>
      <c r="V90" s="8">
        <f t="shared" si="65"/>
        <v>2.306805074971165E-2</v>
      </c>
      <c r="W90" s="3"/>
      <c r="X90" s="7">
        <f t="shared" si="66"/>
        <v>-100</v>
      </c>
      <c r="Y90" s="3"/>
      <c r="Z90" s="8">
        <f t="shared" si="67"/>
        <v>-1</v>
      </c>
    </row>
    <row r="91" spans="1:26" s="24" customFormat="1" hidden="1" outlineLevel="2" x14ac:dyDescent="0.25">
      <c r="A91" s="27"/>
      <c r="B91" s="12" t="str">
        <f>CONCATENATE("          ", "6235", " - ", "COVID-19 EXPENSES")</f>
        <v xml:space="preserve">          6235 - COVID-19 EXPENSES</v>
      </c>
      <c r="C91" s="12"/>
      <c r="D91" s="7">
        <v>5501.94</v>
      </c>
      <c r="E91" s="3"/>
      <c r="F91" s="8">
        <f t="shared" si="60"/>
        <v>0.27099374816220201</v>
      </c>
      <c r="G91" s="3"/>
      <c r="H91" s="7">
        <v>5200</v>
      </c>
      <c r="I91" s="3"/>
      <c r="J91" s="8">
        <f t="shared" si="61"/>
        <v>1.1995386389850058</v>
      </c>
      <c r="K91" s="3"/>
      <c r="L91" s="7">
        <f t="shared" si="62"/>
        <v>301.9399999999996</v>
      </c>
      <c r="M91" s="3"/>
      <c r="N91" s="8">
        <f t="shared" si="63"/>
        <v>5.806538461538454E-2</v>
      </c>
      <c r="O91" s="12"/>
      <c r="P91" s="7">
        <v>5501.94</v>
      </c>
      <c r="Q91" s="3"/>
      <c r="R91" s="8">
        <f t="shared" si="64"/>
        <v>0.27099374816220201</v>
      </c>
      <c r="S91" s="3"/>
      <c r="T91" s="7">
        <v>5200</v>
      </c>
      <c r="U91" s="3"/>
      <c r="V91" s="8">
        <f t="shared" si="65"/>
        <v>1.1995386389850058</v>
      </c>
      <c r="W91" s="3"/>
      <c r="X91" s="7">
        <f t="shared" si="66"/>
        <v>301.9399999999996</v>
      </c>
      <c r="Y91" s="3"/>
      <c r="Z91" s="8">
        <f t="shared" si="67"/>
        <v>5.806538461538454E-2</v>
      </c>
    </row>
    <row r="92" spans="1:26" s="24" customFormat="1" hidden="1" outlineLevel="2" x14ac:dyDescent="0.25">
      <c r="A92" s="27"/>
      <c r="B92" s="12" t="str">
        <f>CONCATENATE("          ", "6237", " - ", "JANITORIAL SUPPLIES")</f>
        <v xml:space="preserve">          6237 - JANITORIAL SUPPLIES</v>
      </c>
      <c r="C92" s="12"/>
      <c r="D92" s="7">
        <v>1188.04</v>
      </c>
      <c r="E92" s="3"/>
      <c r="F92" s="8">
        <f t="shared" si="60"/>
        <v>5.8515980284521915E-2</v>
      </c>
      <c r="G92" s="3"/>
      <c r="H92" s="7">
        <v>4523</v>
      </c>
      <c r="I92" s="3"/>
      <c r="J92" s="8">
        <f t="shared" si="61"/>
        <v>1.0433679354094578</v>
      </c>
      <c r="K92" s="3"/>
      <c r="L92" s="7">
        <f t="shared" si="62"/>
        <v>-3334.96</v>
      </c>
      <c r="M92" s="3"/>
      <c r="N92" s="8">
        <f t="shared" si="63"/>
        <v>-0.73733362812292724</v>
      </c>
      <c r="O92" s="12"/>
      <c r="P92" s="7">
        <v>1188.04</v>
      </c>
      <c r="Q92" s="3"/>
      <c r="R92" s="8">
        <f t="shared" si="64"/>
        <v>5.8515980284521915E-2</v>
      </c>
      <c r="S92" s="3"/>
      <c r="T92" s="7">
        <v>4523</v>
      </c>
      <c r="U92" s="3"/>
      <c r="V92" s="8">
        <f t="shared" si="65"/>
        <v>1.0433679354094578</v>
      </c>
      <c r="W92" s="3"/>
      <c r="X92" s="7">
        <f t="shared" si="66"/>
        <v>-3334.96</v>
      </c>
      <c r="Y92" s="3"/>
      <c r="Z92" s="8">
        <f t="shared" si="67"/>
        <v>-0.73733362812292724</v>
      </c>
    </row>
    <row r="93" spans="1:26" s="24" customFormat="1" hidden="1" outlineLevel="2" x14ac:dyDescent="0.25">
      <c r="A93" s="27"/>
      <c r="B93" s="12" t="str">
        <f>CONCATENATE("          ", "6239", " - ", "KITCHEN SUPPLIES")</f>
        <v xml:space="preserve">          6239 - KITCHEN SUPPLIES</v>
      </c>
      <c r="C93" s="12"/>
      <c r="D93" s="7">
        <v>50</v>
      </c>
      <c r="E93" s="3"/>
      <c r="F93" s="8">
        <f t="shared" si="60"/>
        <v>2.4627108634609068E-3</v>
      </c>
      <c r="G93" s="3"/>
      <c r="H93" s="7">
        <v>1563</v>
      </c>
      <c r="I93" s="3"/>
      <c r="J93" s="8">
        <f t="shared" si="61"/>
        <v>0.36055363321799305</v>
      </c>
      <c r="K93" s="3"/>
      <c r="L93" s="7">
        <f t="shared" si="62"/>
        <v>-1513</v>
      </c>
      <c r="M93" s="3"/>
      <c r="N93" s="8">
        <f t="shared" si="63"/>
        <v>-0.96801023672424824</v>
      </c>
      <c r="O93" s="12"/>
      <c r="P93" s="7">
        <v>50</v>
      </c>
      <c r="Q93" s="3"/>
      <c r="R93" s="8">
        <f t="shared" si="64"/>
        <v>2.4627108634609068E-3</v>
      </c>
      <c r="S93" s="3"/>
      <c r="T93" s="7">
        <v>1563</v>
      </c>
      <c r="U93" s="3"/>
      <c r="V93" s="8">
        <f t="shared" si="65"/>
        <v>0.36055363321799305</v>
      </c>
      <c r="W93" s="3"/>
      <c r="X93" s="7">
        <f t="shared" si="66"/>
        <v>-1513</v>
      </c>
      <c r="Y93" s="3"/>
      <c r="Z93" s="8">
        <f t="shared" si="67"/>
        <v>-0.96801023672424824</v>
      </c>
    </row>
    <row r="94" spans="1:26" s="24" customFormat="1" hidden="1" outlineLevel="2" x14ac:dyDescent="0.25">
      <c r="A94" s="27"/>
      <c r="B94" s="12" t="str">
        <f>CONCATENATE("          ", "6241", " - ", "OFFICE EXPENSE")</f>
        <v xml:space="preserve">          6241 - OFFICE EXPENSE</v>
      </c>
      <c r="C94" s="12"/>
      <c r="D94" s="7">
        <v>-33.200000000000003</v>
      </c>
      <c r="E94" s="3"/>
      <c r="F94" s="8">
        <f t="shared" si="60"/>
        <v>-1.6352400133380423E-3</v>
      </c>
      <c r="G94" s="3"/>
      <c r="H94" s="7">
        <v>819</v>
      </c>
      <c r="I94" s="3"/>
      <c r="J94" s="8">
        <f t="shared" si="61"/>
        <v>0.18892733564013842</v>
      </c>
      <c r="K94" s="3"/>
      <c r="L94" s="7">
        <f t="shared" si="62"/>
        <v>-852.2</v>
      </c>
      <c r="M94" s="3"/>
      <c r="N94" s="8">
        <f t="shared" si="63"/>
        <v>-1.0405372405372406</v>
      </c>
      <c r="O94" s="12"/>
      <c r="P94" s="7">
        <v>-33.200000000000003</v>
      </c>
      <c r="Q94" s="3"/>
      <c r="R94" s="8">
        <f t="shared" si="64"/>
        <v>-1.6352400133380423E-3</v>
      </c>
      <c r="S94" s="3"/>
      <c r="T94" s="7">
        <v>819</v>
      </c>
      <c r="U94" s="3"/>
      <c r="V94" s="8">
        <f t="shared" si="65"/>
        <v>0.18892733564013842</v>
      </c>
      <c r="W94" s="3"/>
      <c r="X94" s="7">
        <f t="shared" si="66"/>
        <v>-852.2</v>
      </c>
      <c r="Y94" s="3"/>
      <c r="Z94" s="8">
        <f t="shared" si="67"/>
        <v>-1.0405372405372406</v>
      </c>
    </row>
    <row r="95" spans="1:26" s="24" customFormat="1" hidden="1" outlineLevel="2" x14ac:dyDescent="0.25">
      <c r="A95" s="27"/>
      <c r="B95" s="12" t="str">
        <f>CONCATENATE("          ", "6243", " - ", "PAPER SUPPLIES")</f>
        <v xml:space="preserve">          6243 - PAPER SUPPLIES</v>
      </c>
      <c r="C95" s="12"/>
      <c r="D95" s="7">
        <v>647.88</v>
      </c>
      <c r="E95" s="3"/>
      <c r="F95" s="8">
        <f t="shared" si="60"/>
        <v>3.1910822284381045E-2</v>
      </c>
      <c r="G95" s="3"/>
      <c r="H95" s="7">
        <v>859</v>
      </c>
      <c r="I95" s="3"/>
      <c r="J95" s="8">
        <f t="shared" si="61"/>
        <v>0.19815455594002307</v>
      </c>
      <c r="K95" s="3"/>
      <c r="L95" s="7">
        <f t="shared" si="62"/>
        <v>-211.12</v>
      </c>
      <c r="M95" s="3"/>
      <c r="N95" s="8">
        <f t="shared" si="63"/>
        <v>-0.24577415599534344</v>
      </c>
      <c r="O95" s="12"/>
      <c r="P95" s="7">
        <v>647.88</v>
      </c>
      <c r="Q95" s="3"/>
      <c r="R95" s="8">
        <f t="shared" si="64"/>
        <v>3.1910822284381045E-2</v>
      </c>
      <c r="S95" s="3"/>
      <c r="T95" s="7">
        <v>859</v>
      </c>
      <c r="U95" s="3"/>
      <c r="V95" s="8">
        <f t="shared" si="65"/>
        <v>0.19815455594002307</v>
      </c>
      <c r="W95" s="3"/>
      <c r="X95" s="7">
        <f t="shared" si="66"/>
        <v>-211.12</v>
      </c>
      <c r="Y95" s="3"/>
      <c r="Z95" s="8">
        <f t="shared" si="67"/>
        <v>-0.24577415599534344</v>
      </c>
    </row>
    <row r="96" spans="1:26" s="24" customFormat="1" hidden="1" outlineLevel="2" x14ac:dyDescent="0.25">
      <c r="A96" s="27"/>
      <c r="B96" s="12" t="str">
        <f>CONCATENATE("          ", "6244", " - ", "SAFETY SUPPLY EXPENSE")</f>
        <v xml:space="preserve">          6244 - SAFETY SUPPLY EXPENSE</v>
      </c>
      <c r="C96" s="12"/>
      <c r="D96" s="7"/>
      <c r="E96" s="3"/>
      <c r="F96" s="8">
        <f t="shared" si="60"/>
        <v>0</v>
      </c>
      <c r="G96" s="3"/>
      <c r="H96" s="7">
        <v>180</v>
      </c>
      <c r="I96" s="3"/>
      <c r="J96" s="8">
        <f t="shared" si="61"/>
        <v>4.1522491349480967E-2</v>
      </c>
      <c r="K96" s="3"/>
      <c r="L96" s="7">
        <f t="shared" si="62"/>
        <v>-180</v>
      </c>
      <c r="M96" s="3"/>
      <c r="N96" s="8">
        <f t="shared" si="63"/>
        <v>-1</v>
      </c>
      <c r="O96" s="12"/>
      <c r="P96" s="7"/>
      <c r="Q96" s="3"/>
      <c r="R96" s="8">
        <f t="shared" si="64"/>
        <v>0</v>
      </c>
      <c r="S96" s="3"/>
      <c r="T96" s="7">
        <v>180</v>
      </c>
      <c r="U96" s="3"/>
      <c r="V96" s="8">
        <f t="shared" si="65"/>
        <v>4.1522491349480967E-2</v>
      </c>
      <c r="W96" s="3"/>
      <c r="X96" s="7">
        <f t="shared" si="66"/>
        <v>-180</v>
      </c>
      <c r="Y96" s="3"/>
      <c r="Z96" s="8">
        <f t="shared" si="67"/>
        <v>-1</v>
      </c>
    </row>
    <row r="97" spans="1:26" s="24" customFormat="1" hidden="1" outlineLevel="2" x14ac:dyDescent="0.25">
      <c r="A97" s="27"/>
      <c r="B97" s="12" t="str">
        <f>CONCATENATE("          ", "6245", " - ", "PRINTING")</f>
        <v xml:space="preserve">          6245 - PRINTING</v>
      </c>
      <c r="C97" s="12"/>
      <c r="D97" s="7"/>
      <c r="E97" s="3"/>
      <c r="F97" s="8">
        <f t="shared" si="60"/>
        <v>0</v>
      </c>
      <c r="G97" s="3"/>
      <c r="H97" s="7">
        <v>650</v>
      </c>
      <c r="I97" s="3"/>
      <c r="J97" s="8">
        <f t="shared" si="61"/>
        <v>0.14994232987312572</v>
      </c>
      <c r="K97" s="3"/>
      <c r="L97" s="7">
        <f t="shared" si="62"/>
        <v>-650</v>
      </c>
      <c r="M97" s="3"/>
      <c r="N97" s="8">
        <f t="shared" si="63"/>
        <v>-1</v>
      </c>
      <c r="O97" s="12"/>
      <c r="P97" s="7"/>
      <c r="Q97" s="3"/>
      <c r="R97" s="8">
        <f t="shared" si="64"/>
        <v>0</v>
      </c>
      <c r="S97" s="3"/>
      <c r="T97" s="7">
        <v>650</v>
      </c>
      <c r="U97" s="3"/>
      <c r="V97" s="8">
        <f t="shared" si="65"/>
        <v>0.14994232987312572</v>
      </c>
      <c r="W97" s="3"/>
      <c r="X97" s="7">
        <f t="shared" si="66"/>
        <v>-650</v>
      </c>
      <c r="Y97" s="3"/>
      <c r="Z97" s="8">
        <f t="shared" si="67"/>
        <v>-1</v>
      </c>
    </row>
    <row r="98" spans="1:26" s="24" customFormat="1" hidden="1" outlineLevel="2" x14ac:dyDescent="0.25">
      <c r="A98" s="27"/>
      <c r="B98" s="12" t="str">
        <f>CONCATENATE("          ", "6246", " - ", "REPLACEMENTS")</f>
        <v xml:space="preserve">          6246 - REPLACEMENTS</v>
      </c>
      <c r="C98" s="12"/>
      <c r="D98" s="7"/>
      <c r="E98" s="3"/>
      <c r="F98" s="8">
        <f t="shared" si="60"/>
        <v>0</v>
      </c>
      <c r="G98" s="3"/>
      <c r="H98" s="7">
        <v>0</v>
      </c>
      <c r="I98" s="3"/>
      <c r="J98" s="8">
        <f t="shared" si="61"/>
        <v>0</v>
      </c>
      <c r="K98" s="3"/>
      <c r="L98" s="7">
        <f t="shared" si="62"/>
        <v>0</v>
      </c>
      <c r="M98" s="3"/>
      <c r="N98" s="8">
        <f t="shared" si="63"/>
        <v>0</v>
      </c>
      <c r="O98" s="12"/>
      <c r="P98" s="7"/>
      <c r="Q98" s="3"/>
      <c r="R98" s="8">
        <f t="shared" si="64"/>
        <v>0</v>
      </c>
      <c r="S98" s="3"/>
      <c r="T98" s="7">
        <v>0</v>
      </c>
      <c r="U98" s="3"/>
      <c r="V98" s="8">
        <f t="shared" si="65"/>
        <v>0</v>
      </c>
      <c r="W98" s="3"/>
      <c r="X98" s="7">
        <f t="shared" si="66"/>
        <v>0</v>
      </c>
      <c r="Y98" s="3"/>
      <c r="Z98" s="8">
        <f t="shared" si="67"/>
        <v>0</v>
      </c>
    </row>
    <row r="99" spans="1:26" s="24" customFormat="1" hidden="1" outlineLevel="2" x14ac:dyDescent="0.25">
      <c r="A99" s="27"/>
      <c r="B99" s="12" t="str">
        <f>CONCATENATE("          ", "6247", " - ", "STORE SUPPLIES")</f>
        <v xml:space="preserve">          6247 - STORE SUPPLIES</v>
      </c>
      <c r="C99" s="12"/>
      <c r="D99" s="7"/>
      <c r="E99" s="3"/>
      <c r="F99" s="8">
        <f t="shared" si="60"/>
        <v>0</v>
      </c>
      <c r="G99" s="3"/>
      <c r="H99" s="7">
        <v>0</v>
      </c>
      <c r="I99" s="3"/>
      <c r="J99" s="8">
        <f t="shared" si="61"/>
        <v>0</v>
      </c>
      <c r="K99" s="3"/>
      <c r="L99" s="7">
        <f t="shared" si="62"/>
        <v>0</v>
      </c>
      <c r="M99" s="3"/>
      <c r="N99" s="8">
        <f t="shared" si="63"/>
        <v>0</v>
      </c>
      <c r="O99" s="12"/>
      <c r="P99" s="7"/>
      <c r="Q99" s="3"/>
      <c r="R99" s="8">
        <f t="shared" si="64"/>
        <v>0</v>
      </c>
      <c r="S99" s="3"/>
      <c r="T99" s="7">
        <v>0</v>
      </c>
      <c r="U99" s="3"/>
      <c r="V99" s="8">
        <f t="shared" si="65"/>
        <v>0</v>
      </c>
      <c r="W99" s="3"/>
      <c r="X99" s="7">
        <f t="shared" si="66"/>
        <v>0</v>
      </c>
      <c r="Y99" s="3"/>
      <c r="Z99" s="8">
        <f t="shared" si="67"/>
        <v>0</v>
      </c>
    </row>
    <row r="100" spans="1:26" s="24" customFormat="1" hidden="1" outlineLevel="2" x14ac:dyDescent="0.25">
      <c r="A100" s="27"/>
      <c r="B100" s="12" t="str">
        <f>CONCATENATE("          ", "6248", " - ", "UNIFORMS")</f>
        <v xml:space="preserve">          6248 - UNIFORMS</v>
      </c>
      <c r="C100" s="12"/>
      <c r="D100" s="7"/>
      <c r="E100" s="3"/>
      <c r="F100" s="8">
        <f t="shared" si="60"/>
        <v>0</v>
      </c>
      <c r="G100" s="3"/>
      <c r="H100" s="7">
        <v>3350</v>
      </c>
      <c r="I100" s="3"/>
      <c r="J100" s="8">
        <f t="shared" si="61"/>
        <v>0.77277970011534025</v>
      </c>
      <c r="K100" s="3"/>
      <c r="L100" s="7">
        <f t="shared" si="62"/>
        <v>-3350</v>
      </c>
      <c r="M100" s="3"/>
      <c r="N100" s="8">
        <f t="shared" si="63"/>
        <v>-1</v>
      </c>
      <c r="O100" s="12"/>
      <c r="P100" s="7"/>
      <c r="Q100" s="3"/>
      <c r="R100" s="8">
        <f t="shared" si="64"/>
        <v>0</v>
      </c>
      <c r="S100" s="3"/>
      <c r="T100" s="7">
        <v>3350</v>
      </c>
      <c r="U100" s="3"/>
      <c r="V100" s="8">
        <f t="shared" si="65"/>
        <v>0.77277970011534025</v>
      </c>
      <c r="W100" s="3"/>
      <c r="X100" s="7">
        <f t="shared" si="66"/>
        <v>-3350</v>
      </c>
      <c r="Y100" s="3"/>
      <c r="Z100" s="8">
        <f t="shared" si="67"/>
        <v>-1</v>
      </c>
    </row>
    <row r="101" spans="1:26" s="29" customFormat="1" outlineLevel="1" collapsed="1" x14ac:dyDescent="0.25">
      <c r="A101" s="28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SUM(OSRRefD22_18x_0)</f>
        <v>1836.32</v>
      </c>
      <c r="E101" s="1"/>
      <c r="F101" s="5">
        <f t="shared" ref="F101:F103" si="68">IF(D$12=0,0,D101/D$12)</f>
        <v>9.0446504255810647E-2</v>
      </c>
      <c r="G101" s="1"/>
      <c r="H101" s="1">
        <f>SUM(OSRRefH22_18x_0)</f>
        <v>1067</v>
      </c>
      <c r="I101" s="1"/>
      <c r="J101" s="5">
        <f t="shared" ref="J101:J103" si="69">IF(H$12=0,0,H101/H$12)</f>
        <v>0.2461361014994233</v>
      </c>
      <c r="K101" s="1"/>
      <c r="L101" s="1">
        <f t="shared" ref="L101:L103" si="70">+D101-H101</f>
        <v>769.31999999999994</v>
      </c>
      <c r="M101" s="1"/>
      <c r="N101" s="5">
        <f t="shared" ref="N101:N103" si="71">IF(H101=0,0,L101/H101)</f>
        <v>0.72101218369259601</v>
      </c>
      <c r="O101" s="14"/>
      <c r="P101" s="1">
        <f>SUM(OSRRefP22_18x_0)</f>
        <v>1836.32</v>
      </c>
      <c r="Q101" s="1"/>
      <c r="R101" s="5">
        <f t="shared" ref="R101:R103" si="72">IF(P$12=0,0,P101/P$12)</f>
        <v>9.0446504255810647E-2</v>
      </c>
      <c r="S101" s="1"/>
      <c r="T101" s="1">
        <f>SUM(OSRRefT22_18x_0)</f>
        <v>1067</v>
      </c>
      <c r="U101" s="1"/>
      <c r="V101" s="5">
        <f t="shared" ref="V101:V103" si="73">IF(T$12=0,0,T101/T$12)</f>
        <v>0.2461361014994233</v>
      </c>
      <c r="W101" s="1"/>
      <c r="X101" s="1">
        <f t="shared" ref="X101:X103" si="74">+P101-T101</f>
        <v>769.31999999999994</v>
      </c>
      <c r="Y101" s="1"/>
      <c r="Z101" s="5">
        <f t="shared" ref="Z101:Z103" si="75">IF(T101=0,0,X101/T101)</f>
        <v>0.72101218369259601</v>
      </c>
    </row>
    <row r="102" spans="1:26" s="24" customFormat="1" hidden="1" outlineLevel="2" x14ac:dyDescent="0.25">
      <c r="A102" s="27"/>
      <c r="B102" s="12" t="str">
        <f>CONCATENATE("          ", "6303", " - ", "DATA PHONE LINES")</f>
        <v xml:space="preserve">          6303 - DATA PHONE LINES</v>
      </c>
      <c r="C102" s="12"/>
      <c r="D102" s="7"/>
      <c r="E102" s="3"/>
      <c r="F102" s="8">
        <f t="shared" si="68"/>
        <v>0</v>
      </c>
      <c r="G102" s="3"/>
      <c r="H102" s="7">
        <v>592</v>
      </c>
      <c r="I102" s="3"/>
      <c r="J102" s="8">
        <f t="shared" si="69"/>
        <v>0.13656286043829297</v>
      </c>
      <c r="K102" s="3"/>
      <c r="L102" s="7">
        <f t="shared" si="70"/>
        <v>-592</v>
      </c>
      <c r="M102" s="3"/>
      <c r="N102" s="8">
        <f t="shared" si="71"/>
        <v>-1</v>
      </c>
      <c r="O102" s="12"/>
      <c r="P102" s="7"/>
      <c r="Q102" s="3"/>
      <c r="R102" s="8">
        <f t="shared" si="72"/>
        <v>0</v>
      </c>
      <c r="S102" s="3"/>
      <c r="T102" s="7">
        <v>592</v>
      </c>
      <c r="U102" s="3"/>
      <c r="V102" s="8">
        <f t="shared" si="73"/>
        <v>0.13656286043829297</v>
      </c>
      <c r="W102" s="3"/>
      <c r="X102" s="7">
        <f t="shared" si="74"/>
        <v>-592</v>
      </c>
      <c r="Y102" s="3"/>
      <c r="Z102" s="8">
        <f t="shared" si="75"/>
        <v>-1</v>
      </c>
    </row>
    <row r="103" spans="1:26" s="24" customFormat="1" hidden="1" outlineLevel="2" x14ac:dyDescent="0.25">
      <c r="A103" s="27"/>
      <c r="B103" s="12" t="str">
        <f>CONCATENATE("          ", "6309", " - ", "TELEPHONE")</f>
        <v xml:space="preserve">          6309 - TELEPHONE</v>
      </c>
      <c r="C103" s="12"/>
      <c r="D103" s="7">
        <v>1836.32</v>
      </c>
      <c r="E103" s="3"/>
      <c r="F103" s="8">
        <f t="shared" si="68"/>
        <v>9.0446504255810647E-2</v>
      </c>
      <c r="G103" s="3"/>
      <c r="H103" s="7">
        <v>475</v>
      </c>
      <c r="I103" s="3"/>
      <c r="J103" s="8">
        <f t="shared" si="69"/>
        <v>0.10957324106113034</v>
      </c>
      <c r="K103" s="3"/>
      <c r="L103" s="7">
        <f t="shared" si="70"/>
        <v>1361.32</v>
      </c>
      <c r="M103" s="3"/>
      <c r="N103" s="8">
        <f t="shared" si="71"/>
        <v>2.8659368421052629</v>
      </c>
      <c r="O103" s="12"/>
      <c r="P103" s="7">
        <v>1836.32</v>
      </c>
      <c r="Q103" s="3"/>
      <c r="R103" s="8">
        <f t="shared" si="72"/>
        <v>9.0446504255810647E-2</v>
      </c>
      <c r="S103" s="3"/>
      <c r="T103" s="7">
        <v>475</v>
      </c>
      <c r="U103" s="3"/>
      <c r="V103" s="8">
        <f t="shared" si="73"/>
        <v>0.10957324106113034</v>
      </c>
      <c r="W103" s="3"/>
      <c r="X103" s="7">
        <f t="shared" si="74"/>
        <v>1361.32</v>
      </c>
      <c r="Y103" s="3"/>
      <c r="Z103" s="8">
        <f t="shared" si="75"/>
        <v>2.8659368421052629</v>
      </c>
    </row>
    <row r="104" spans="1:26" s="29" customFormat="1" outlineLevel="1" collapsed="1" x14ac:dyDescent="0.25">
      <c r="A104" s="28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SUM(OSRRefD22_19x_0)</f>
        <v>0</v>
      </c>
      <c r="E104" s="1"/>
      <c r="F104" s="5">
        <f t="shared" ref="F104:F108" si="76">IF(D$12=0,0,D104/D$12)</f>
        <v>0</v>
      </c>
      <c r="G104" s="1"/>
      <c r="H104" s="1">
        <f>SUM(OSRRefH22_19x_0)</f>
        <v>400</v>
      </c>
      <c r="I104" s="1"/>
      <c r="J104" s="5">
        <f t="shared" ref="J104:J108" si="77">IF(H$12=0,0,H104/H$12)</f>
        <v>9.22722029988466E-2</v>
      </c>
      <c r="K104" s="1"/>
      <c r="L104" s="1">
        <f t="shared" ref="L104:L108" si="78">+D104-H104</f>
        <v>-400</v>
      </c>
      <c r="M104" s="1"/>
      <c r="N104" s="5">
        <f t="shared" ref="N104:N108" si="79">IF(H104=0,0,L104/H104)</f>
        <v>-1</v>
      </c>
      <c r="O104" s="14"/>
      <c r="P104" s="1">
        <f>SUM(OSRRefP22_19x_0)</f>
        <v>0</v>
      </c>
      <c r="Q104" s="1"/>
      <c r="R104" s="5">
        <f t="shared" ref="R104:R108" si="80">IF(P$12=0,0,P104/P$12)</f>
        <v>0</v>
      </c>
      <c r="S104" s="1"/>
      <c r="T104" s="1">
        <f>SUM(OSRRefT22_19x_0)</f>
        <v>400</v>
      </c>
      <c r="U104" s="1"/>
      <c r="V104" s="5">
        <f t="shared" ref="V104:V108" si="81">IF(T$12=0,0,T104/T$12)</f>
        <v>9.22722029988466E-2</v>
      </c>
      <c r="W104" s="1"/>
      <c r="X104" s="1">
        <f t="shared" ref="X104:X108" si="82">+P104-T104</f>
        <v>-400</v>
      </c>
      <c r="Y104" s="1"/>
      <c r="Z104" s="5">
        <f t="shared" ref="Z104:Z108" si="83">IF(T104=0,0,X104/T104)</f>
        <v>-1</v>
      </c>
    </row>
    <row r="105" spans="1:26" s="24" customFormat="1" hidden="1" outlineLevel="2" x14ac:dyDescent="0.25">
      <c r="A105" s="27"/>
      <c r="B105" s="12" t="str">
        <f>CONCATENATE("          ", "6376", " - ", "TRAINING")</f>
        <v xml:space="preserve">          6376 - TRAINING</v>
      </c>
      <c r="C105" s="12"/>
      <c r="D105" s="7"/>
      <c r="E105" s="3"/>
      <c r="F105" s="8">
        <f t="shared" si="76"/>
        <v>0</v>
      </c>
      <c r="G105" s="3"/>
      <c r="H105" s="7">
        <v>400</v>
      </c>
      <c r="I105" s="3"/>
      <c r="J105" s="8">
        <f t="shared" si="77"/>
        <v>9.22722029988466E-2</v>
      </c>
      <c r="K105" s="3"/>
      <c r="L105" s="7">
        <f t="shared" si="78"/>
        <v>-400</v>
      </c>
      <c r="M105" s="3"/>
      <c r="N105" s="8">
        <f t="shared" si="79"/>
        <v>-1</v>
      </c>
      <c r="O105" s="12"/>
      <c r="P105" s="7"/>
      <c r="Q105" s="3"/>
      <c r="R105" s="8">
        <f t="shared" si="80"/>
        <v>0</v>
      </c>
      <c r="S105" s="3"/>
      <c r="T105" s="7">
        <v>400</v>
      </c>
      <c r="U105" s="3"/>
      <c r="V105" s="8">
        <f t="shared" si="81"/>
        <v>9.22722029988466E-2</v>
      </c>
      <c r="W105" s="3"/>
      <c r="X105" s="7">
        <f t="shared" si="82"/>
        <v>-400</v>
      </c>
      <c r="Y105" s="3"/>
      <c r="Z105" s="8">
        <f t="shared" si="83"/>
        <v>-1</v>
      </c>
    </row>
    <row r="106" spans="1:26" s="29" customFormat="1" outlineLevel="1" collapsed="1" x14ac:dyDescent="0.25">
      <c r="A106" s="28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SUM(OSRRefD22_20x_0)</f>
        <v>179.69</v>
      </c>
      <c r="E106" s="1"/>
      <c r="F106" s="5">
        <f t="shared" si="76"/>
        <v>8.8504903011058077E-3</v>
      </c>
      <c r="G106" s="1"/>
      <c r="H106" s="1">
        <f>SUM(OSRRefH22_20x_0)</f>
        <v>300</v>
      </c>
      <c r="I106" s="1"/>
      <c r="J106" s="5">
        <f t="shared" si="77"/>
        <v>6.9204152249134954E-2</v>
      </c>
      <c r="K106" s="1"/>
      <c r="L106" s="1">
        <f t="shared" si="78"/>
        <v>-120.31</v>
      </c>
      <c r="M106" s="1"/>
      <c r="N106" s="5">
        <f t="shared" si="79"/>
        <v>-0.40103333333333335</v>
      </c>
      <c r="O106" s="14"/>
      <c r="P106" s="1">
        <f>SUM(OSRRefP22_20x_0)</f>
        <v>179.69</v>
      </c>
      <c r="Q106" s="1"/>
      <c r="R106" s="5">
        <f t="shared" si="80"/>
        <v>8.8504903011058077E-3</v>
      </c>
      <c r="S106" s="1"/>
      <c r="T106" s="1">
        <f>SUM(OSRRefT22_20x_0)</f>
        <v>300</v>
      </c>
      <c r="U106" s="1"/>
      <c r="V106" s="5">
        <f t="shared" si="81"/>
        <v>6.9204152249134954E-2</v>
      </c>
      <c r="W106" s="1"/>
      <c r="X106" s="1">
        <f t="shared" si="82"/>
        <v>-120.31</v>
      </c>
      <c r="Y106" s="1"/>
      <c r="Z106" s="5">
        <f t="shared" si="83"/>
        <v>-0.40103333333333335</v>
      </c>
    </row>
    <row r="107" spans="1:26" s="24" customFormat="1" hidden="1" outlineLevel="2" x14ac:dyDescent="0.25">
      <c r="A107" s="27"/>
      <c r="B107" s="12" t="str">
        <f>CONCATENATE("          ", "6292", " - ", "TRAVEL/CONFERENCE")</f>
        <v xml:space="preserve">          6292 - TRAVEL/CONFERENCE</v>
      </c>
      <c r="C107" s="12"/>
      <c r="D107" s="7"/>
      <c r="E107" s="3"/>
      <c r="F107" s="8">
        <f t="shared" si="76"/>
        <v>0</v>
      </c>
      <c r="G107" s="3"/>
      <c r="H107" s="7">
        <v>300</v>
      </c>
      <c r="I107" s="3"/>
      <c r="J107" s="8">
        <f t="shared" si="77"/>
        <v>6.9204152249134954E-2</v>
      </c>
      <c r="K107" s="3"/>
      <c r="L107" s="7">
        <f t="shared" si="78"/>
        <v>-300</v>
      </c>
      <c r="M107" s="3"/>
      <c r="N107" s="8">
        <f t="shared" si="79"/>
        <v>-1</v>
      </c>
      <c r="O107" s="12"/>
      <c r="P107" s="7"/>
      <c r="Q107" s="3"/>
      <c r="R107" s="8">
        <f t="shared" si="80"/>
        <v>0</v>
      </c>
      <c r="S107" s="3"/>
      <c r="T107" s="7">
        <v>300</v>
      </c>
      <c r="U107" s="3"/>
      <c r="V107" s="8">
        <f t="shared" si="81"/>
        <v>6.9204152249134954E-2</v>
      </c>
      <c r="W107" s="3"/>
      <c r="X107" s="7">
        <f t="shared" si="82"/>
        <v>-300</v>
      </c>
      <c r="Y107" s="3"/>
      <c r="Z107" s="8">
        <f t="shared" si="83"/>
        <v>-1</v>
      </c>
    </row>
    <row r="108" spans="1:26" s="24" customFormat="1" hidden="1" outlineLevel="2" x14ac:dyDescent="0.25">
      <c r="A108" s="27"/>
      <c r="B108" s="12" t="str">
        <f>CONCATENATE("          ", "6298", " - ", "VEHICLE MILEAGE")</f>
        <v xml:space="preserve">          6298 - VEHICLE MILEAGE</v>
      </c>
      <c r="C108" s="12"/>
      <c r="D108" s="7">
        <v>179.69</v>
      </c>
      <c r="E108" s="3"/>
      <c r="F108" s="8">
        <f t="shared" si="76"/>
        <v>8.8504903011058077E-3</v>
      </c>
      <c r="G108" s="3"/>
      <c r="H108" s="7"/>
      <c r="I108" s="3"/>
      <c r="J108" s="8">
        <f t="shared" si="77"/>
        <v>0</v>
      </c>
      <c r="K108" s="3"/>
      <c r="L108" s="7">
        <f t="shared" si="78"/>
        <v>179.69</v>
      </c>
      <c r="M108" s="3"/>
      <c r="N108" s="8">
        <f t="shared" si="79"/>
        <v>0</v>
      </c>
      <c r="O108" s="12"/>
      <c r="P108" s="7">
        <v>179.69</v>
      </c>
      <c r="Q108" s="3"/>
      <c r="R108" s="8">
        <f t="shared" si="80"/>
        <v>8.8504903011058077E-3</v>
      </c>
      <c r="S108" s="3"/>
      <c r="T108" s="7"/>
      <c r="U108" s="3"/>
      <c r="V108" s="8">
        <f t="shared" si="81"/>
        <v>0</v>
      </c>
      <c r="W108" s="3"/>
      <c r="X108" s="7">
        <f t="shared" si="82"/>
        <v>179.69</v>
      </c>
      <c r="Y108" s="3"/>
      <c r="Z108" s="8">
        <f t="shared" si="83"/>
        <v>0</v>
      </c>
    </row>
    <row r="109" spans="1:26" s="29" customFormat="1" outlineLevel="1" collapsed="1" x14ac:dyDescent="0.25">
      <c r="A109" s="28"/>
      <c r="B109" s="14" t="str">
        <f>CONCATENATE("     ","Utilities                                         ")</f>
        <v xml:space="preserve">     Utilities                                         </v>
      </c>
      <c r="C109" s="14"/>
      <c r="D109" s="1">
        <f>SUM(OSRRefD22_21x_0)</f>
        <v>2300</v>
      </c>
      <c r="E109" s="1"/>
      <c r="F109" s="5">
        <f t="shared" ref="F109:F110" si="84">IF(D$12=0,0,D109/D$12)</f>
        <v>0.11328469971920171</v>
      </c>
      <c r="G109" s="1"/>
      <c r="H109" s="1">
        <f>SUM(OSRRefH22_21x_0)</f>
        <v>3300</v>
      </c>
      <c r="I109" s="1"/>
      <c r="J109" s="5">
        <f t="shared" ref="J109:J110" si="85">IF(H$12=0,0,H109/H$12)</f>
        <v>0.76124567474048443</v>
      </c>
      <c r="K109" s="1"/>
      <c r="L109" s="1">
        <f t="shared" ref="L109:L110" si="86">+D109-H109</f>
        <v>-1000</v>
      </c>
      <c r="M109" s="1"/>
      <c r="N109" s="5">
        <f t="shared" ref="N109:N110" si="87">IF(H109=0,0,L109/H109)</f>
        <v>-0.30303030303030304</v>
      </c>
      <c r="O109" s="14"/>
      <c r="P109" s="1">
        <f>SUM(OSRRefP22_21x_0)</f>
        <v>2300</v>
      </c>
      <c r="Q109" s="1"/>
      <c r="R109" s="5">
        <f t="shared" ref="R109:R110" si="88">IF(P$12=0,0,P109/P$12)</f>
        <v>0.11328469971920171</v>
      </c>
      <c r="S109" s="1"/>
      <c r="T109" s="1">
        <f>SUM(OSRRefT22_21x_0)</f>
        <v>3300</v>
      </c>
      <c r="U109" s="1"/>
      <c r="V109" s="5">
        <f t="shared" ref="V109:V110" si="89">IF(T$12=0,0,T109/T$12)</f>
        <v>0.76124567474048443</v>
      </c>
      <c r="W109" s="1"/>
      <c r="X109" s="1">
        <f t="shared" ref="X109:X110" si="90">+P109-T109</f>
        <v>-1000</v>
      </c>
      <c r="Y109" s="1"/>
      <c r="Z109" s="5">
        <f t="shared" ref="Z109:Z110" si="91">IF(T109=0,0,X109/T109)</f>
        <v>-0.30303030303030304</v>
      </c>
    </row>
    <row r="110" spans="1:26" s="24" customFormat="1" hidden="1" outlineLevel="2" x14ac:dyDescent="0.25">
      <c r="A110" s="27"/>
      <c r="B110" s="12" t="str">
        <f>CONCATENATE("          ", "6274", " - ", "UTILITIES")</f>
        <v xml:space="preserve">          6274 - UTILITIES</v>
      </c>
      <c r="C110" s="12"/>
      <c r="D110" s="7">
        <v>2300</v>
      </c>
      <c r="E110" s="3"/>
      <c r="F110" s="8">
        <f t="shared" si="84"/>
        <v>0.11328469971920171</v>
      </c>
      <c r="G110" s="3"/>
      <c r="H110" s="7">
        <v>3300</v>
      </c>
      <c r="I110" s="3"/>
      <c r="J110" s="8">
        <f t="shared" si="85"/>
        <v>0.76124567474048443</v>
      </c>
      <c r="K110" s="3"/>
      <c r="L110" s="7">
        <f t="shared" si="86"/>
        <v>-1000</v>
      </c>
      <c r="M110" s="3"/>
      <c r="N110" s="8">
        <f t="shared" si="87"/>
        <v>-0.30303030303030304</v>
      </c>
      <c r="O110" s="12"/>
      <c r="P110" s="7">
        <v>2300</v>
      </c>
      <c r="Q110" s="3"/>
      <c r="R110" s="8">
        <f t="shared" si="88"/>
        <v>0.11328469971920171</v>
      </c>
      <c r="S110" s="3"/>
      <c r="T110" s="7">
        <v>3300</v>
      </c>
      <c r="U110" s="3"/>
      <c r="V110" s="8">
        <f t="shared" si="89"/>
        <v>0.76124567474048443</v>
      </c>
      <c r="W110" s="3"/>
      <c r="X110" s="7">
        <f t="shared" si="90"/>
        <v>-1000</v>
      </c>
      <c r="Y110" s="3"/>
      <c r="Z110" s="8">
        <f t="shared" si="91"/>
        <v>-0.30303030303030304</v>
      </c>
    </row>
    <row r="111" spans="1:26" s="54" customFormat="1" x14ac:dyDescent="0.25">
      <c r="A111" s="36"/>
      <c r="B111" s="36"/>
      <c r="C111" s="36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6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2" customFormat="1" collapsed="1" x14ac:dyDescent="0.25">
      <c r="A112" s="10"/>
      <c r="B112" s="26" t="s">
        <v>0</v>
      </c>
      <c r="C112" s="10"/>
      <c r="D112" s="4">
        <f>SUM(OSRRefD25x_0)</f>
        <v>2076.54</v>
      </c>
      <c r="E112" s="4"/>
      <c r="F112" s="11">
        <f t="shared" ref="F112:F115" si="92">IF(D$12=0,0,D112/D$12)</f>
        <v>0.10227835232822223</v>
      </c>
      <c r="G112" s="4"/>
      <c r="H112" s="4">
        <f>SUM(OSRRefH25x_0)</f>
        <v>0</v>
      </c>
      <c r="I112" s="4"/>
      <c r="J112" s="11">
        <f t="shared" ref="J112:J115" si="93">IF(H$12=0,0,H112/H$12)</f>
        <v>0</v>
      </c>
      <c r="K112" s="4"/>
      <c r="L112" s="4">
        <f t="shared" ref="L112:L115" si="94">+D112-H112</f>
        <v>2076.54</v>
      </c>
      <c r="M112" s="4"/>
      <c r="N112" s="11">
        <f t="shared" ref="N112:N115" si="95">IF(H112=0,0,L112/H112)</f>
        <v>0</v>
      </c>
      <c r="O112" s="10"/>
      <c r="P112" s="4">
        <f>SUM(OSRRefP25x_0)</f>
        <v>2076.54</v>
      </c>
      <c r="Q112" s="4"/>
      <c r="R112" s="11">
        <f t="shared" ref="R112:R115" si="96">IF(P$12=0,0,P112/P$12)</f>
        <v>0.10227835232822223</v>
      </c>
      <c r="S112" s="4"/>
      <c r="T112" s="4">
        <f>SUM(OSRRefT25x_0)</f>
        <v>0</v>
      </c>
      <c r="U112" s="4"/>
      <c r="V112" s="11">
        <f t="shared" ref="V112:V115" si="97">IF(T$12=0,0,T112/T$12)</f>
        <v>0</v>
      </c>
      <c r="W112" s="4"/>
      <c r="X112" s="4">
        <f t="shared" ref="X112:X115" si="98">+P112-T112</f>
        <v>2076.54</v>
      </c>
      <c r="Y112" s="4"/>
      <c r="Z112" s="11">
        <f t="shared" ref="Z112:Z115" si="99">IF(T112=0,0,X112/T112)</f>
        <v>0</v>
      </c>
    </row>
    <row r="113" spans="1:26" s="24" customFormat="1" hidden="1" outlineLevel="1" x14ac:dyDescent="0.25">
      <c r="A113" s="51"/>
      <c r="B113" s="12" t="str">
        <f>CONCATENATE("          ", "9150", " - ", "MISC. INCOME")</f>
        <v xml:space="preserve">          9150 - MISC. INCOME</v>
      </c>
      <c r="C113" s="12"/>
      <c r="D113" s="3">
        <f>--512.41</f>
        <v>512.41</v>
      </c>
      <c r="E113" s="3"/>
      <c r="F113" s="23">
        <f t="shared" si="92"/>
        <v>2.5238353470920065E-2</v>
      </c>
      <c r="G113" s="3"/>
      <c r="H113" s="3">
        <v>0</v>
      </c>
      <c r="I113" s="3"/>
      <c r="J113" s="23">
        <f t="shared" si="93"/>
        <v>0</v>
      </c>
      <c r="K113" s="3"/>
      <c r="L113" s="3">
        <f t="shared" si="94"/>
        <v>512.41</v>
      </c>
      <c r="M113" s="3"/>
      <c r="N113" s="23">
        <f t="shared" si="95"/>
        <v>0</v>
      </c>
      <c r="O113" s="12"/>
      <c r="P113" s="3">
        <f>--512.41</f>
        <v>512.41</v>
      </c>
      <c r="Q113" s="3"/>
      <c r="R113" s="23">
        <f t="shared" si="96"/>
        <v>2.5238353470920065E-2</v>
      </c>
      <c r="S113" s="3"/>
      <c r="T113" s="3">
        <v>0</v>
      </c>
      <c r="U113" s="3"/>
      <c r="V113" s="23">
        <f t="shared" si="97"/>
        <v>0</v>
      </c>
      <c r="W113" s="3"/>
      <c r="X113" s="3">
        <f t="shared" si="98"/>
        <v>512.41</v>
      </c>
      <c r="Y113" s="3"/>
      <c r="Z113" s="23">
        <f t="shared" si="99"/>
        <v>0</v>
      </c>
    </row>
    <row r="114" spans="1:26" s="24" customFormat="1" hidden="1" outlineLevel="1" x14ac:dyDescent="0.25">
      <c r="A114" s="51"/>
      <c r="B114" s="12" t="str">
        <f>CONCATENATE("          ", "9160", " - ", "MISC. INCOME")</f>
        <v xml:space="preserve">          9160 - MISC. INCOME</v>
      </c>
      <c r="C114" s="12"/>
      <c r="D114" s="3">
        <f>--1363.63</f>
        <v>1363.63</v>
      </c>
      <c r="E114" s="3"/>
      <c r="F114" s="23">
        <f t="shared" si="92"/>
        <v>6.716452829482393E-2</v>
      </c>
      <c r="G114" s="3"/>
      <c r="H114" s="3"/>
      <c r="I114" s="3"/>
      <c r="J114" s="23">
        <f t="shared" si="93"/>
        <v>0</v>
      </c>
      <c r="K114" s="3"/>
      <c r="L114" s="3">
        <f t="shared" si="94"/>
        <v>1363.63</v>
      </c>
      <c r="M114" s="3"/>
      <c r="N114" s="23">
        <f t="shared" si="95"/>
        <v>0</v>
      </c>
      <c r="O114" s="12"/>
      <c r="P114" s="3">
        <f>--1363.63</f>
        <v>1363.63</v>
      </c>
      <c r="Q114" s="3"/>
      <c r="R114" s="23">
        <f t="shared" si="96"/>
        <v>6.716452829482393E-2</v>
      </c>
      <c r="S114" s="3"/>
      <c r="T114" s="3"/>
      <c r="U114" s="3"/>
      <c r="V114" s="23">
        <f t="shared" si="97"/>
        <v>0</v>
      </c>
      <c r="W114" s="3"/>
      <c r="X114" s="3">
        <f t="shared" si="98"/>
        <v>1363.63</v>
      </c>
      <c r="Y114" s="3"/>
      <c r="Z114" s="23">
        <f t="shared" si="99"/>
        <v>0</v>
      </c>
    </row>
    <row r="115" spans="1:26" s="24" customFormat="1" hidden="1" outlineLevel="1" x14ac:dyDescent="0.25">
      <c r="A115" s="51"/>
      <c r="B115" s="12" t="str">
        <f>CONCATENATE("          ", "9165", " - ", "OTHER INCOME")</f>
        <v xml:space="preserve">          9165 - OTHER INCOME</v>
      </c>
      <c r="C115" s="12"/>
      <c r="D115" s="3">
        <f>--200.5</f>
        <v>200.5</v>
      </c>
      <c r="E115" s="3"/>
      <c r="F115" s="23">
        <f t="shared" si="92"/>
        <v>9.8754705624782366E-3</v>
      </c>
      <c r="G115" s="3"/>
      <c r="H115" s="3"/>
      <c r="I115" s="3"/>
      <c r="J115" s="23">
        <f t="shared" si="93"/>
        <v>0</v>
      </c>
      <c r="K115" s="3"/>
      <c r="L115" s="3">
        <f t="shared" si="94"/>
        <v>200.5</v>
      </c>
      <c r="M115" s="3"/>
      <c r="N115" s="23">
        <f t="shared" si="95"/>
        <v>0</v>
      </c>
      <c r="O115" s="12"/>
      <c r="P115" s="3">
        <f>--200.5</f>
        <v>200.5</v>
      </c>
      <c r="Q115" s="3"/>
      <c r="R115" s="23">
        <f t="shared" si="96"/>
        <v>9.8754705624782366E-3</v>
      </c>
      <c r="S115" s="3"/>
      <c r="T115" s="3"/>
      <c r="U115" s="3"/>
      <c r="V115" s="23">
        <f t="shared" si="97"/>
        <v>0</v>
      </c>
      <c r="W115" s="3"/>
      <c r="X115" s="3">
        <f t="shared" si="98"/>
        <v>200.5</v>
      </c>
      <c r="Y115" s="3"/>
      <c r="Z115" s="23">
        <f t="shared" si="99"/>
        <v>0</v>
      </c>
    </row>
    <row r="116" spans="1:26" x14ac:dyDescent="0.25">
      <c r="A116" s="9"/>
      <c r="B116" s="10"/>
      <c r="C116" s="10"/>
      <c r="D116" s="2"/>
      <c r="E116" s="2"/>
      <c r="F116" s="6"/>
      <c r="G116" s="2"/>
      <c r="H116" s="2"/>
      <c r="I116" s="2"/>
      <c r="J116" s="6"/>
      <c r="K116" s="2"/>
      <c r="L116" s="2"/>
      <c r="M116" s="2"/>
      <c r="N116" s="6"/>
      <c r="O116" s="10"/>
      <c r="P116" s="2"/>
      <c r="Q116" s="2"/>
      <c r="R116" s="6"/>
      <c r="S116" s="2"/>
      <c r="T116" s="2"/>
      <c r="U116" s="2"/>
      <c r="V116" s="6"/>
      <c r="W116" s="2"/>
      <c r="X116" s="2"/>
      <c r="Y116" s="2"/>
      <c r="Z116" s="6"/>
    </row>
    <row r="117" spans="1:26" s="22" customFormat="1" x14ac:dyDescent="0.25">
      <c r="A117" s="10"/>
      <c r="B117" s="25" t="s">
        <v>3</v>
      </c>
      <c r="C117" s="25"/>
      <c r="D117" s="21">
        <f>+D25-D27+D112</f>
        <v>-302405.39999999997</v>
      </c>
      <c r="E117" s="13"/>
      <c r="F117" s="20">
        <f>IF(D$12=0,0,D117/D$12)</f>
        <v>-14.894741274984817</v>
      </c>
      <c r="G117" s="13"/>
      <c r="H117" s="21">
        <f>+H25-H27+H112</f>
        <v>-402310.53597129864</v>
      </c>
      <c r="I117" s="13"/>
      <c r="J117" s="20">
        <f>IF(H$12=0,0,H117/H$12)</f>
        <v>-92.805198609296113</v>
      </c>
      <c r="K117" s="15"/>
      <c r="L117" s="21">
        <f>+D117-H117</f>
        <v>99905.135971298674</v>
      </c>
      <c r="M117" s="15"/>
      <c r="N117" s="20">
        <f>IF(H117=0,0,L117/H117)</f>
        <v>-0.24832841061469502</v>
      </c>
      <c r="O117" s="26"/>
      <c r="P117" s="21">
        <f>+P25-P27+P112</f>
        <v>-302405.39999999997</v>
      </c>
      <c r="Q117" s="13"/>
      <c r="R117" s="20">
        <f>IF(P$12=0,0,P117/P$12)</f>
        <v>-14.894741274984817</v>
      </c>
      <c r="S117" s="13"/>
      <c r="T117" s="21">
        <f>+T25-T27+T112</f>
        <v>-402310.53597129864</v>
      </c>
      <c r="U117" s="13"/>
      <c r="V117" s="20">
        <f>IF(T$12=0,0,T117/T$12)</f>
        <v>-92.805198609296113</v>
      </c>
      <c r="W117" s="15"/>
      <c r="X117" s="21">
        <f>+P117-T117</f>
        <v>99905.135971298674</v>
      </c>
      <c r="Y117" s="15"/>
      <c r="Z117" s="20">
        <f>IF(T117=0,0,X117/T117)</f>
        <v>-0.24832841061469502</v>
      </c>
    </row>
    <row r="118" spans="1:26" x14ac:dyDescent="0.25">
      <c r="A118" s="9"/>
      <c r="B118" s="10"/>
      <c r="C118" s="9"/>
      <c r="D118" s="2"/>
      <c r="E118" s="2"/>
      <c r="F118" s="6"/>
      <c r="G118" s="2"/>
      <c r="H118" s="2"/>
      <c r="I118" s="2"/>
      <c r="J118" s="6"/>
      <c r="K118" s="2"/>
      <c r="L118" s="2"/>
      <c r="M118" s="2"/>
      <c r="N118" s="6"/>
      <c r="P118" s="2"/>
      <c r="Q118" s="2"/>
      <c r="R118" s="6"/>
      <c r="S118" s="2"/>
      <c r="T118" s="2"/>
      <c r="U118" s="2"/>
      <c r="V118" s="6"/>
      <c r="W118" s="2"/>
      <c r="X118" s="2"/>
      <c r="Y118" s="2"/>
      <c r="Z118" s="6"/>
    </row>
    <row r="119" spans="1:26" s="22" customFormat="1" x14ac:dyDescent="0.25">
      <c r="A119" s="52"/>
      <c r="B119" s="10" t="s">
        <v>14</v>
      </c>
      <c r="C119" s="10"/>
      <c r="D119" s="4">
        <v>9764.58</v>
      </c>
      <c r="E119" s="4"/>
      <c r="F119" s="11">
        <f>IF(D$12=0,0,D119/D$12)</f>
        <v>0.48094674486266203</v>
      </c>
      <c r="G119" s="4"/>
      <c r="H119" s="4">
        <v>2106</v>
      </c>
      <c r="I119" s="4"/>
      <c r="J119" s="11">
        <f>IF(H$12=0,0,H119/H$12)</f>
        <v>0.48581314878892734</v>
      </c>
      <c r="K119" s="4"/>
      <c r="L119" s="4">
        <f>+D119-H119</f>
        <v>7658.58</v>
      </c>
      <c r="M119" s="4"/>
      <c r="N119" s="11">
        <f>IF(H119=0,0,L119/H119)</f>
        <v>3.6365527065527066</v>
      </c>
      <c r="O119" s="10"/>
      <c r="P119" s="4">
        <v>9764.58</v>
      </c>
      <c r="Q119" s="4"/>
      <c r="R119" s="11">
        <f>IF(P$12=0,0,P119/P$12)</f>
        <v>0.48094674486266203</v>
      </c>
      <c r="S119" s="4"/>
      <c r="T119" s="4">
        <v>2106</v>
      </c>
      <c r="U119" s="4"/>
      <c r="V119" s="11">
        <f>IF(T$12=0,0,T119/T$12)</f>
        <v>0.48581314878892734</v>
      </c>
      <c r="W119" s="4"/>
      <c r="X119" s="4">
        <f>+P119-T119</f>
        <v>7658.58</v>
      </c>
      <c r="Y119" s="4"/>
      <c r="Z119" s="11">
        <f>IF(T119=0,0,X119/T119)</f>
        <v>3.6365527065527066</v>
      </c>
    </row>
    <row r="120" spans="1:26" x14ac:dyDescent="0.25">
      <c r="A120" s="9"/>
      <c r="B120" s="10"/>
      <c r="C120" s="10"/>
      <c r="D120" s="2"/>
      <c r="E120" s="2"/>
      <c r="F120" s="6"/>
      <c r="G120" s="2"/>
      <c r="H120" s="2"/>
      <c r="I120" s="2"/>
      <c r="J120" s="6"/>
      <c r="K120" s="2"/>
      <c r="L120" s="2"/>
      <c r="M120" s="2"/>
      <c r="N120" s="6"/>
      <c r="O120" s="10"/>
      <c r="P120" s="2"/>
      <c r="Q120" s="2"/>
      <c r="R120" s="6"/>
      <c r="S120" s="2"/>
      <c r="T120" s="2"/>
      <c r="U120" s="2"/>
      <c r="V120" s="6"/>
      <c r="W120" s="2"/>
      <c r="X120" s="2"/>
      <c r="Y120" s="2"/>
      <c r="Z120" s="6"/>
    </row>
    <row r="121" spans="1:26" s="22" customFormat="1" ht="15.75" thickBot="1" x14ac:dyDescent="0.3">
      <c r="A121" s="10"/>
      <c r="B121" s="25" t="s">
        <v>4</v>
      </c>
      <c r="C121" s="25"/>
      <c r="D121" s="34">
        <f>+D117-D119</f>
        <v>-312169.98</v>
      </c>
      <c r="E121" s="13"/>
      <c r="F121" s="30">
        <f>IF(D$12=0,0,D121/D$12)</f>
        <v>-15.37568801984748</v>
      </c>
      <c r="G121" s="13"/>
      <c r="H121" s="34">
        <f>+H117-H119</f>
        <v>-404416.53597129864</v>
      </c>
      <c r="I121" s="13"/>
      <c r="J121" s="30">
        <f>IF(H$12=0,0,H121/H$12)</f>
        <v>-93.291011758085034</v>
      </c>
      <c r="K121" s="15"/>
      <c r="L121" s="34">
        <f>D121-H121</f>
        <v>92246.555971298658</v>
      </c>
      <c r="M121" s="15"/>
      <c r="N121" s="30">
        <f>IF(H121=0,0,L121/H121)</f>
        <v>-0.22809788365786648</v>
      </c>
      <c r="O121" s="26"/>
      <c r="P121" s="34">
        <f>+P117-P119</f>
        <v>-312169.98</v>
      </c>
      <c r="Q121" s="13"/>
      <c r="R121" s="30">
        <f>IF(P$12=0,0,P121/P$12)</f>
        <v>-15.37568801984748</v>
      </c>
      <c r="S121" s="13"/>
      <c r="T121" s="34">
        <f>+T117-T119</f>
        <v>-404416.53597129864</v>
      </c>
      <c r="U121" s="13"/>
      <c r="V121" s="30">
        <f>IF(T$12=0,0,T121/T$12)</f>
        <v>-93.291011758085034</v>
      </c>
      <c r="W121" s="15"/>
      <c r="X121" s="34">
        <f>P121-T121</f>
        <v>92246.555971298658</v>
      </c>
      <c r="Y121" s="15"/>
      <c r="Z121" s="30">
        <f>IF(T121=0,0,X121/T121)</f>
        <v>-0.22809788365786648</v>
      </c>
    </row>
    <row r="122" spans="1:26" ht="15.75" thickTop="1" x14ac:dyDescent="0.25">
      <c r="A122" s="9"/>
      <c r="B122" s="9"/>
      <c r="C122" s="9"/>
      <c r="D122" s="2"/>
      <c r="E122" s="2"/>
      <c r="F122" s="6"/>
      <c r="G122" s="2"/>
      <c r="H122" s="2"/>
      <c r="I122" s="2"/>
      <c r="J122" s="6"/>
      <c r="K122" s="2"/>
      <c r="L122" s="2"/>
      <c r="M122" s="2"/>
      <c r="N122" s="6"/>
      <c r="P122" s="2"/>
      <c r="Q122" s="2"/>
      <c r="R122" s="6"/>
      <c r="S122" s="2"/>
      <c r="T122" s="2"/>
      <c r="U122" s="2"/>
      <c r="V122" s="6"/>
      <c r="W122" s="2"/>
      <c r="X122" s="2"/>
      <c r="Y122" s="2"/>
      <c r="Z122" s="6"/>
    </row>
    <row r="123" spans="1:26" x14ac:dyDescent="0.25">
      <c r="A123" s="9"/>
      <c r="B123" s="9"/>
      <c r="C123" s="9"/>
      <c r="D123" s="2"/>
      <c r="E123" s="2"/>
      <c r="F123" s="6"/>
      <c r="G123" s="2"/>
      <c r="H123" s="2"/>
      <c r="I123" s="2"/>
      <c r="J123" s="6"/>
      <c r="K123" s="2"/>
      <c r="L123" s="2"/>
      <c r="M123" s="2"/>
      <c r="N123" s="6"/>
      <c r="P123" s="2"/>
      <c r="Q123" s="2"/>
      <c r="R123" s="6"/>
      <c r="S123" s="2"/>
      <c r="T123" s="2"/>
      <c r="U123" s="2"/>
      <c r="V123" s="6"/>
      <c r="W123" s="2"/>
      <c r="X123" s="2"/>
      <c r="Y123" s="2"/>
      <c r="Z123" s="6"/>
    </row>
    <row r="124" spans="1:26" s="22" customFormat="1" ht="15.75" thickBot="1" x14ac:dyDescent="0.3">
      <c r="A124" s="10"/>
      <c r="B124" s="25" t="s">
        <v>5</v>
      </c>
      <c r="C124" s="25"/>
      <c r="D124" s="32">
        <f>SUM(D121:D123)</f>
        <v>-312169.98</v>
      </c>
      <c r="E124" s="13"/>
      <c r="F124" s="33">
        <f>IF(D$12=0,0,D124/D$12)</f>
        <v>-15.37568801984748</v>
      </c>
      <c r="G124" s="13"/>
      <c r="H124" s="32">
        <f>SUM(H121:H123)</f>
        <v>-404416.53597129864</v>
      </c>
      <c r="I124" s="13"/>
      <c r="J124" s="33">
        <f>IF(H$12=0,0,H124/H$12)</f>
        <v>-93.291011758085034</v>
      </c>
      <c r="K124" s="15"/>
      <c r="L124" s="32">
        <f>+D124-H124</f>
        <v>92246.555971298658</v>
      </c>
      <c r="M124" s="15"/>
      <c r="N124" s="33">
        <f>IF(H124=0,0,L124/H124)</f>
        <v>-0.22809788365786648</v>
      </c>
      <c r="O124" s="26"/>
      <c r="P124" s="32">
        <f>SUM(P121:P123)</f>
        <v>-312169.98</v>
      </c>
      <c r="Q124" s="13"/>
      <c r="R124" s="33">
        <f>IF(P$12=0,0,P124/P$12)</f>
        <v>-15.37568801984748</v>
      </c>
      <c r="S124" s="13"/>
      <c r="T124" s="32">
        <f>SUM(T121:T123)</f>
        <v>-404416.53597129864</v>
      </c>
      <c r="U124" s="13"/>
      <c r="V124" s="33">
        <f>IF(T$12=0,0,T124/T$12)</f>
        <v>-93.291011758085034</v>
      </c>
      <c r="W124" s="15"/>
      <c r="X124" s="32">
        <f>+P124-T124</f>
        <v>92246.555971298658</v>
      </c>
      <c r="Y124" s="15"/>
      <c r="Z124" s="33">
        <f>IF(T124=0,0,X124/T124)</f>
        <v>-0.22809788365786648</v>
      </c>
    </row>
    <row r="125" spans="1:26" ht="15.75" thickTop="1" x14ac:dyDescent="0.25">
      <c r="A125" s="9"/>
      <c r="C125" s="9"/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58">
        <v>44104.685552974537</v>
      </c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56" t="s">
        <v>314</v>
      </c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62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4:24" x14ac:dyDescent="0.25"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313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974.91</v>
      </c>
      <c r="E12" s="4"/>
      <c r="F12" s="11"/>
      <c r="G12" s="4"/>
      <c r="H12" s="4">
        <f>SUM(OSRRefH13x_0)</f>
        <v>4385</v>
      </c>
      <c r="I12" s="4"/>
      <c r="J12" s="11"/>
      <c r="K12" s="4"/>
      <c r="L12" s="4">
        <f t="shared" ref="L12:L15" si="0">+D12-H12</f>
        <v>-3410.09</v>
      </c>
      <c r="M12" s="4"/>
      <c r="N12" s="11">
        <f t="shared" ref="N12:N15" si="1">IF(H12=0,0,L12/H12)</f>
        <v>-0.77767160775370581</v>
      </c>
      <c r="O12" s="10"/>
      <c r="P12" s="4">
        <f>SUM(OSRRefP13x_0)</f>
        <v>974.91</v>
      </c>
      <c r="Q12" s="4"/>
      <c r="R12" s="11"/>
      <c r="S12" s="4"/>
      <c r="T12" s="4">
        <f>SUM(OSRRefT13x_0)</f>
        <v>4385</v>
      </c>
      <c r="U12" s="4"/>
      <c r="V12" s="11"/>
      <c r="W12" s="4"/>
      <c r="X12" s="4">
        <f t="shared" ref="X12:X15" si="2">+P12-T12</f>
        <v>-3410.09</v>
      </c>
      <c r="Y12" s="4"/>
      <c r="Z12" s="11">
        <f t="shared" ref="Z12:Z15" si="3">IF(T12=0,0,X12/T12)</f>
        <v>-0.77767160775370581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0</f>
        <v>0</v>
      </c>
      <c r="E13" s="3"/>
      <c r="F13" s="23"/>
      <c r="G13" s="3"/>
      <c r="H13" s="3">
        <v>1348</v>
      </c>
      <c r="I13" s="3"/>
      <c r="J13" s="23"/>
      <c r="K13" s="3"/>
      <c r="L13" s="3">
        <f t="shared" si="0"/>
        <v>-1348</v>
      </c>
      <c r="M13" s="3"/>
      <c r="N13" s="23">
        <f t="shared" si="1"/>
        <v>-1</v>
      </c>
      <c r="O13" s="12"/>
      <c r="P13" s="3">
        <f>0</f>
        <v>0</v>
      </c>
      <c r="Q13" s="3"/>
      <c r="R13" s="23"/>
      <c r="S13" s="3"/>
      <c r="T13" s="3">
        <v>1348</v>
      </c>
      <c r="U13" s="3"/>
      <c r="V13" s="23"/>
      <c r="W13" s="3"/>
      <c r="X13" s="3">
        <f t="shared" si="2"/>
        <v>-1348</v>
      </c>
      <c r="Y13" s="3"/>
      <c r="Z13" s="23">
        <f t="shared" si="3"/>
        <v>-1</v>
      </c>
    </row>
    <row r="14" spans="1:26" s="24" customFormat="1" hidden="1" outlineLevel="1" x14ac:dyDescent="0.25">
      <c r="A14" s="51"/>
      <c r="B14" s="12" t="str">
        <f>CONCATENATE("          ", "4058", " - ", "TAXABLE SALES-FOOD")</f>
        <v xml:space="preserve">          4058 - TAXABLE SALES-FOOD</v>
      </c>
      <c r="C14" s="12"/>
      <c r="D14" s="3">
        <f>--974.91</f>
        <v>974.91</v>
      </c>
      <c r="E14" s="3"/>
      <c r="F14" s="23"/>
      <c r="G14" s="3"/>
      <c r="H14" s="3"/>
      <c r="I14" s="3"/>
      <c r="J14" s="23"/>
      <c r="K14" s="3"/>
      <c r="L14" s="3">
        <f t="shared" si="0"/>
        <v>974.91</v>
      </c>
      <c r="M14" s="3"/>
      <c r="N14" s="23">
        <f t="shared" si="1"/>
        <v>0</v>
      </c>
      <c r="O14" s="12"/>
      <c r="P14" s="3">
        <f>--974.91</f>
        <v>974.91</v>
      </c>
      <c r="Q14" s="3"/>
      <c r="R14" s="23"/>
      <c r="S14" s="3"/>
      <c r="T14" s="3"/>
      <c r="U14" s="3"/>
      <c r="V14" s="23"/>
      <c r="W14" s="3"/>
      <c r="X14" s="3">
        <f t="shared" si="2"/>
        <v>974.91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"4100", " - ", "NON-TAXABLE SALES")</f>
        <v xml:space="preserve">          4100 - NON-TAXABLE SALES</v>
      </c>
      <c r="C15" s="12"/>
      <c r="D15" s="3">
        <f>0</f>
        <v>0</v>
      </c>
      <c r="E15" s="3"/>
      <c r="F15" s="23"/>
      <c r="G15" s="3"/>
      <c r="H15" s="3">
        <v>3037</v>
      </c>
      <c r="I15" s="3"/>
      <c r="J15" s="23"/>
      <c r="K15" s="3"/>
      <c r="L15" s="3">
        <f t="shared" si="0"/>
        <v>-3037</v>
      </c>
      <c r="M15" s="3"/>
      <c r="N15" s="23">
        <f t="shared" si="1"/>
        <v>-1</v>
      </c>
      <c r="O15" s="12"/>
      <c r="P15" s="3">
        <f>0</f>
        <v>0</v>
      </c>
      <c r="Q15" s="3"/>
      <c r="R15" s="23"/>
      <c r="S15" s="3"/>
      <c r="T15" s="3">
        <v>3037</v>
      </c>
      <c r="U15" s="3"/>
      <c r="V15" s="23"/>
      <c r="W15" s="3"/>
      <c r="X15" s="3">
        <f t="shared" si="2"/>
        <v>-3037</v>
      </c>
      <c r="Y15" s="3"/>
      <c r="Z15" s="23">
        <f t="shared" si="3"/>
        <v>-1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collapsed="1" x14ac:dyDescent="0.25">
      <c r="A17" s="10"/>
      <c r="B17" s="26" t="s">
        <v>8</v>
      </c>
      <c r="C17" s="10"/>
      <c r="D17" s="4">
        <f>SUM(OSRRefD16x_0)</f>
        <v>-226.87</v>
      </c>
      <c r="E17" s="4"/>
      <c r="F17" s="11">
        <f t="shared" ref="F17:F19" si="4">IF(D$12=0,0,D17/D$12)</f>
        <v>-0.23270866028659057</v>
      </c>
      <c r="G17" s="4"/>
      <c r="H17" s="4">
        <f>SUM(OSRRefH16x_0)</f>
        <v>1065</v>
      </c>
      <c r="I17" s="4"/>
      <c r="J17" s="11">
        <f t="shared" ref="J17:J19" si="5">IF(H$12=0,0,H17/H$12)</f>
        <v>0.24287343215507412</v>
      </c>
      <c r="K17" s="4"/>
      <c r="L17" s="4">
        <f t="shared" ref="L17:L19" si="6">+D17-H17</f>
        <v>-1291.8699999999999</v>
      </c>
      <c r="M17" s="4"/>
      <c r="N17" s="11">
        <f t="shared" ref="N17:N19" si="7">IF(H17=0,0,L17/H17)</f>
        <v>-1.2130234741784036</v>
      </c>
      <c r="O17" s="10"/>
      <c r="P17" s="4">
        <f>SUM(OSRRefP16x_0)</f>
        <v>-226.87</v>
      </c>
      <c r="Q17" s="4"/>
      <c r="R17" s="11">
        <f t="shared" ref="R17:R19" si="8">IF(P$12=0,0,P17/P$12)</f>
        <v>-0.23270866028659057</v>
      </c>
      <c r="S17" s="4"/>
      <c r="T17" s="4">
        <f>SUM(OSRRefT16x_0)</f>
        <v>1065</v>
      </c>
      <c r="U17" s="4"/>
      <c r="V17" s="11">
        <f t="shared" ref="V17:V19" si="9">IF(T$12=0,0,T17/T$12)</f>
        <v>0.24287343215507412</v>
      </c>
      <c r="W17" s="4"/>
      <c r="X17" s="4">
        <f t="shared" ref="X17:X19" si="10">+P17-T17</f>
        <v>-1291.8699999999999</v>
      </c>
      <c r="Y17" s="4"/>
      <c r="Z17" s="11">
        <f t="shared" ref="Z17:Z19" si="11">IF(T17=0,0,X17/T17)</f>
        <v>-1.2130234741784036</v>
      </c>
    </row>
    <row r="18" spans="1:26" s="24" customFormat="1" hidden="1" outlineLevel="1" x14ac:dyDescent="0.25">
      <c r="A18" s="51"/>
      <c r="B18" s="12" t="str">
        <f>CONCATENATE("          ", "5000", " - ", "PURCHASES @ COST")</f>
        <v xml:space="preserve">          5000 - PURCHASES @ COST</v>
      </c>
      <c r="C18" s="12"/>
      <c r="D18" s="3"/>
      <c r="E18" s="3"/>
      <c r="F18" s="23">
        <f t="shared" si="4"/>
        <v>0</v>
      </c>
      <c r="G18" s="3"/>
      <c r="H18" s="3">
        <v>1065</v>
      </c>
      <c r="I18" s="3"/>
      <c r="J18" s="23">
        <f t="shared" si="5"/>
        <v>0.24287343215507412</v>
      </c>
      <c r="K18" s="3"/>
      <c r="L18" s="3">
        <f t="shared" si="6"/>
        <v>-1065</v>
      </c>
      <c r="M18" s="3"/>
      <c r="N18" s="23">
        <f t="shared" si="7"/>
        <v>-1</v>
      </c>
      <c r="O18" s="12"/>
      <c r="P18" s="3"/>
      <c r="Q18" s="3"/>
      <c r="R18" s="23">
        <f t="shared" si="8"/>
        <v>0</v>
      </c>
      <c r="S18" s="3"/>
      <c r="T18" s="3">
        <v>1065</v>
      </c>
      <c r="U18" s="3"/>
      <c r="V18" s="23">
        <f t="shared" si="9"/>
        <v>0.24287343215507412</v>
      </c>
      <c r="W18" s="3"/>
      <c r="X18" s="3">
        <f t="shared" si="10"/>
        <v>-1065</v>
      </c>
      <c r="Y18" s="3"/>
      <c r="Z18" s="23">
        <f t="shared" si="11"/>
        <v>-1</v>
      </c>
    </row>
    <row r="19" spans="1:26" s="24" customFormat="1" hidden="1" outlineLevel="1" x14ac:dyDescent="0.25">
      <c r="A19" s="51"/>
      <c r="B19" s="12" t="str">
        <f>CONCATENATE("          ", "5053", " - ", "PURCHASES @ COST-FOOD")</f>
        <v xml:space="preserve">          5053 - PURCHASES @ COST-FOOD</v>
      </c>
      <c r="C19" s="12"/>
      <c r="D19" s="3">
        <v>-226.87</v>
      </c>
      <c r="E19" s="3"/>
      <c r="F19" s="23">
        <f t="shared" si="4"/>
        <v>-0.23270866028659057</v>
      </c>
      <c r="G19" s="3"/>
      <c r="H19" s="3"/>
      <c r="I19" s="3"/>
      <c r="J19" s="23">
        <f t="shared" si="5"/>
        <v>0</v>
      </c>
      <c r="K19" s="3"/>
      <c r="L19" s="3">
        <f t="shared" si="6"/>
        <v>-226.87</v>
      </c>
      <c r="M19" s="3"/>
      <c r="N19" s="23">
        <f t="shared" si="7"/>
        <v>0</v>
      </c>
      <c r="O19" s="12"/>
      <c r="P19" s="3">
        <v>-226.87</v>
      </c>
      <c r="Q19" s="3"/>
      <c r="R19" s="23">
        <f t="shared" si="8"/>
        <v>-0.23270866028659057</v>
      </c>
      <c r="S19" s="3"/>
      <c r="T19" s="3"/>
      <c r="U19" s="3"/>
      <c r="V19" s="23">
        <f t="shared" si="9"/>
        <v>0</v>
      </c>
      <c r="W19" s="3"/>
      <c r="X19" s="3">
        <f t="shared" si="10"/>
        <v>-226.87</v>
      </c>
      <c r="Y19" s="3"/>
      <c r="Z19" s="23">
        <f t="shared" si="11"/>
        <v>0</v>
      </c>
    </row>
    <row r="20" spans="1:26" x14ac:dyDescent="0.25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2" customFormat="1" x14ac:dyDescent="0.25">
      <c r="A21" s="10"/>
      <c r="B21" s="25" t="s">
        <v>6</v>
      </c>
      <c r="C21" s="25"/>
      <c r="D21" s="21">
        <f>D12-D17</f>
        <v>1201.78</v>
      </c>
      <c r="E21" s="13"/>
      <c r="F21" s="20">
        <f>IF(D$12=0,0,D21/D$12)</f>
        <v>1.2327086602865907</v>
      </c>
      <c r="G21" s="13"/>
      <c r="H21" s="21">
        <f>H12-H17</f>
        <v>3320</v>
      </c>
      <c r="I21" s="13"/>
      <c r="J21" s="20">
        <f>IF(H$12=0,0,H21/H$12)</f>
        <v>0.75712656784492594</v>
      </c>
      <c r="K21" s="15"/>
      <c r="L21" s="21">
        <f>+D21-H21</f>
        <v>-2118.2200000000003</v>
      </c>
      <c r="M21" s="15"/>
      <c r="N21" s="20">
        <f>IF(H21=0,0,L21/H21)</f>
        <v>-0.63801807228915675</v>
      </c>
      <c r="O21" s="26"/>
      <c r="P21" s="21">
        <f>P12-P17</f>
        <v>1201.78</v>
      </c>
      <c r="Q21" s="13"/>
      <c r="R21" s="20">
        <f>IF(P$12=0,0,P21/P$12)</f>
        <v>1.2327086602865907</v>
      </c>
      <c r="S21" s="13"/>
      <c r="T21" s="21">
        <f>T12-T17</f>
        <v>3320</v>
      </c>
      <c r="U21" s="13"/>
      <c r="V21" s="20">
        <f>IF(T$12=0,0,T21/T$12)</f>
        <v>0.75712656784492594</v>
      </c>
      <c r="W21" s="15"/>
      <c r="X21" s="21">
        <f>+P21-T21</f>
        <v>-2118.2200000000003</v>
      </c>
      <c r="Y21" s="15"/>
      <c r="Z21" s="20">
        <f>IF(T21=0,0,X21/T21)</f>
        <v>-0.63801807228915675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2" customFormat="1" x14ac:dyDescent="0.25">
      <c r="A23" s="10"/>
      <c r="B23" s="26" t="s">
        <v>9</v>
      </c>
      <c r="C23" s="10"/>
      <c r="D23" s="19">
        <f>SUM(OSRRefD22x_0)</f>
        <v>162400.23000000001</v>
      </c>
      <c r="E23" s="19"/>
      <c r="F23" s="31">
        <f t="shared" ref="F23:F33" si="12">IF(D$12=0,0,D23/D$12)</f>
        <v>166.57971505062008</v>
      </c>
      <c r="G23" s="19"/>
      <c r="H23" s="19">
        <f>SUM(OSRRefH22x_0)</f>
        <v>148953.81358239101</v>
      </c>
      <c r="I23" s="19"/>
      <c r="J23" s="31">
        <f t="shared" ref="J23:J33" si="13">IF(H$12=0,0,H23/H$12)</f>
        <v>33.968942664171266</v>
      </c>
      <c r="K23" s="4"/>
      <c r="L23" s="19">
        <f t="shared" ref="L23:L33" si="14">+D23-H23</f>
        <v>13446.416417608998</v>
      </c>
      <c r="M23" s="4"/>
      <c r="N23" s="31">
        <f t="shared" ref="N23:N33" si="15">IF(H23=0,0,L23/H23)</f>
        <v>9.0272387757104083E-2</v>
      </c>
      <c r="O23" s="10"/>
      <c r="P23" s="19">
        <f>SUM(OSRRefP22x_0)</f>
        <v>162400.23000000001</v>
      </c>
      <c r="Q23" s="19"/>
      <c r="R23" s="31">
        <f t="shared" ref="R23:R33" si="16">IF(P$12=0,0,P23/P$12)</f>
        <v>166.57971505062008</v>
      </c>
      <c r="S23" s="19"/>
      <c r="T23" s="19">
        <f>SUM(OSRRefT22x_0)</f>
        <v>148953.81358239101</v>
      </c>
      <c r="U23" s="19"/>
      <c r="V23" s="31">
        <f t="shared" ref="V23:V33" si="17">IF(T$12=0,0,T23/T$12)</f>
        <v>33.968942664171266</v>
      </c>
      <c r="W23" s="4"/>
      <c r="X23" s="19">
        <f t="shared" ref="X23:X33" si="18">+P23-T23</f>
        <v>13446.416417608998</v>
      </c>
      <c r="Y23" s="4"/>
      <c r="Z23" s="31">
        <f t="shared" ref="Z23:Z33" si="19">IF(T23=0,0,X23/T23)</f>
        <v>9.0272387757104083E-2</v>
      </c>
    </row>
    <row r="24" spans="1:26" s="29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34968.670000000006</v>
      </c>
      <c r="E24" s="1"/>
      <c r="F24" s="5">
        <f t="shared" si="12"/>
        <v>35.868613513042234</v>
      </c>
      <c r="G24" s="1"/>
      <c r="H24" s="1">
        <f>SUM(OSRRefH22_0x_0)</f>
        <v>22471.658133673074</v>
      </c>
      <c r="I24" s="1"/>
      <c r="J24" s="5">
        <f t="shared" si="13"/>
        <v>5.1246654808832552</v>
      </c>
      <c r="K24" s="1"/>
      <c r="L24" s="1">
        <f t="shared" si="14"/>
        <v>12497.011866326931</v>
      </c>
      <c r="M24" s="1"/>
      <c r="N24" s="5">
        <f t="shared" si="15"/>
        <v>0.55612326389037359</v>
      </c>
      <c r="O24" s="14"/>
      <c r="P24" s="1">
        <f>SUM(OSRRefP22_0x_0)</f>
        <v>34968.670000000006</v>
      </c>
      <c r="Q24" s="1"/>
      <c r="R24" s="5">
        <f t="shared" si="16"/>
        <v>35.868613513042234</v>
      </c>
      <c r="S24" s="1"/>
      <c r="T24" s="1">
        <f>SUM(OSRRefT22_0x_0)</f>
        <v>22471.658133673074</v>
      </c>
      <c r="U24" s="1"/>
      <c r="V24" s="5">
        <f t="shared" si="17"/>
        <v>5.1246654808832552</v>
      </c>
      <c r="W24" s="1"/>
      <c r="X24" s="1">
        <f t="shared" si="18"/>
        <v>12497.011866326931</v>
      </c>
      <c r="Y24" s="1"/>
      <c r="Z24" s="5">
        <f t="shared" si="19"/>
        <v>0.55612326389037359</v>
      </c>
    </row>
    <row r="25" spans="1:26" s="24" customFormat="1" hidden="1" outlineLevel="2" x14ac:dyDescent="0.25">
      <c r="A25" s="27"/>
      <c r="B25" s="12" t="str">
        <f>CONCATENATE("          ", "6111", " - ", "F.I.C.A.")</f>
        <v xml:space="preserve">          6111 - F.I.C.A.</v>
      </c>
      <c r="C25" s="12"/>
      <c r="D25" s="7">
        <v>3475.83</v>
      </c>
      <c r="E25" s="3"/>
      <c r="F25" s="8">
        <f t="shared" si="12"/>
        <v>3.5652829491953102</v>
      </c>
      <c r="G25" s="3"/>
      <c r="H25" s="7">
        <v>2861.2090077115399</v>
      </c>
      <c r="I25" s="3"/>
      <c r="J25" s="8">
        <f t="shared" si="13"/>
        <v>0.65249920358301938</v>
      </c>
      <c r="K25" s="3"/>
      <c r="L25" s="7">
        <f t="shared" si="14"/>
        <v>614.62099228846</v>
      </c>
      <c r="M25" s="3"/>
      <c r="N25" s="8">
        <f t="shared" si="15"/>
        <v>0.21481163753921209</v>
      </c>
      <c r="O25" s="12"/>
      <c r="P25" s="7">
        <v>3475.83</v>
      </c>
      <c r="Q25" s="3"/>
      <c r="R25" s="8">
        <f t="shared" si="16"/>
        <v>3.5652829491953102</v>
      </c>
      <c r="S25" s="3"/>
      <c r="T25" s="7">
        <v>2861.2090077115399</v>
      </c>
      <c r="U25" s="3"/>
      <c r="V25" s="8">
        <f t="shared" si="17"/>
        <v>0.65249920358301938</v>
      </c>
      <c r="W25" s="3"/>
      <c r="X25" s="7">
        <f t="shared" si="18"/>
        <v>614.62099228846</v>
      </c>
      <c r="Y25" s="3"/>
      <c r="Z25" s="8">
        <f t="shared" si="19"/>
        <v>0.21481163753921209</v>
      </c>
    </row>
    <row r="26" spans="1:26" s="24" customFormat="1" hidden="1" outlineLevel="2" x14ac:dyDescent="0.25">
      <c r="A26" s="27"/>
      <c r="B26" s="12" t="str">
        <f>CONCATENATE("          ", "6112", " - ", "COMPENSATION INSURANCE")</f>
        <v xml:space="preserve">          6112 - COMPENSATION INSURANCE</v>
      </c>
      <c r="C26" s="12"/>
      <c r="D26" s="7">
        <v>738.68</v>
      </c>
      <c r="E26" s="3"/>
      <c r="F26" s="8">
        <f t="shared" si="12"/>
        <v>0.75769045347775688</v>
      </c>
      <c r="G26" s="3"/>
      <c r="H26" s="7">
        <v>832.93862942307692</v>
      </c>
      <c r="I26" s="3"/>
      <c r="J26" s="8">
        <f t="shared" si="13"/>
        <v>0.18995179690378036</v>
      </c>
      <c r="K26" s="3"/>
      <c r="L26" s="7">
        <f t="shared" si="14"/>
        <v>-94.258629423076968</v>
      </c>
      <c r="M26" s="3"/>
      <c r="N26" s="8">
        <f t="shared" si="15"/>
        <v>-0.11316395481425068</v>
      </c>
      <c r="O26" s="12"/>
      <c r="P26" s="7">
        <v>738.68</v>
      </c>
      <c r="Q26" s="3"/>
      <c r="R26" s="8">
        <f t="shared" si="16"/>
        <v>0.75769045347775688</v>
      </c>
      <c r="S26" s="3"/>
      <c r="T26" s="7">
        <v>832.93862942307692</v>
      </c>
      <c r="U26" s="3"/>
      <c r="V26" s="8">
        <f t="shared" si="17"/>
        <v>0.18995179690378036</v>
      </c>
      <c r="W26" s="3"/>
      <c r="X26" s="7">
        <f t="shared" si="18"/>
        <v>-94.258629423076968</v>
      </c>
      <c r="Y26" s="3"/>
      <c r="Z26" s="8">
        <f t="shared" si="19"/>
        <v>-0.11316395481425068</v>
      </c>
    </row>
    <row r="27" spans="1:26" s="24" customFormat="1" hidden="1" outlineLevel="2" x14ac:dyDescent="0.25">
      <c r="A27" s="27"/>
      <c r="B27" s="12" t="str">
        <f>CONCATENATE("          ", "6113", " - ", "GROUP INSURANCE")</f>
        <v xml:space="preserve">          6113 - GROUP INSURANCE</v>
      </c>
      <c r="C27" s="12"/>
      <c r="D27" s="7">
        <v>18239.09</v>
      </c>
      <c r="E27" s="3"/>
      <c r="F27" s="8">
        <f t="shared" si="12"/>
        <v>18.708485911520039</v>
      </c>
      <c r="G27" s="3"/>
      <c r="H27" s="7">
        <v>11997.692307692299</v>
      </c>
      <c r="I27" s="3"/>
      <c r="J27" s="8">
        <f t="shared" si="13"/>
        <v>2.7360757828260662</v>
      </c>
      <c r="K27" s="3"/>
      <c r="L27" s="7">
        <f t="shared" si="14"/>
        <v>6241.3976923077007</v>
      </c>
      <c r="M27" s="3"/>
      <c r="N27" s="8">
        <f t="shared" si="15"/>
        <v>0.52021651599666707</v>
      </c>
      <c r="O27" s="12"/>
      <c r="P27" s="7">
        <v>18239.09</v>
      </c>
      <c r="Q27" s="3"/>
      <c r="R27" s="8">
        <f t="shared" si="16"/>
        <v>18.708485911520039</v>
      </c>
      <c r="S27" s="3"/>
      <c r="T27" s="7">
        <v>11997.692307692299</v>
      </c>
      <c r="U27" s="3"/>
      <c r="V27" s="8">
        <f t="shared" si="17"/>
        <v>2.7360757828260662</v>
      </c>
      <c r="W27" s="3"/>
      <c r="X27" s="7">
        <f t="shared" si="18"/>
        <v>6241.3976923077007</v>
      </c>
      <c r="Y27" s="3"/>
      <c r="Z27" s="8">
        <f t="shared" si="19"/>
        <v>0.52021651599666707</v>
      </c>
    </row>
    <row r="28" spans="1:26" s="24" customFormat="1" hidden="1" outlineLevel="2" x14ac:dyDescent="0.25">
      <c r="A28" s="27"/>
      <c r="B28" s="12" t="str">
        <f>CONCATENATE("          ", "6114", " - ", "STATE UNEMPLOYMENT INSURANCE")</f>
        <v xml:space="preserve">          6114 - STATE UNEMPLOYMENT INSURANCE</v>
      </c>
      <c r="C28" s="12"/>
      <c r="D28" s="7">
        <v>105.81</v>
      </c>
      <c r="E28" s="3"/>
      <c r="F28" s="8">
        <f t="shared" si="12"/>
        <v>0.10853309536264887</v>
      </c>
      <c r="G28" s="3"/>
      <c r="H28" s="7">
        <v>101.667185</v>
      </c>
      <c r="I28" s="3"/>
      <c r="J28" s="8">
        <f t="shared" si="13"/>
        <v>2.3185218928164195E-2</v>
      </c>
      <c r="K28" s="3"/>
      <c r="L28" s="7">
        <f t="shared" si="14"/>
        <v>4.1428149999999988</v>
      </c>
      <c r="M28" s="3"/>
      <c r="N28" s="8">
        <f t="shared" si="15"/>
        <v>4.0748792247960824E-2</v>
      </c>
      <c r="O28" s="12"/>
      <c r="P28" s="7">
        <v>105.81</v>
      </c>
      <c r="Q28" s="3"/>
      <c r="R28" s="8">
        <f t="shared" si="16"/>
        <v>0.10853309536264887</v>
      </c>
      <c r="S28" s="3"/>
      <c r="T28" s="7">
        <v>101.667185</v>
      </c>
      <c r="U28" s="3"/>
      <c r="V28" s="8">
        <f t="shared" si="17"/>
        <v>2.3185218928164195E-2</v>
      </c>
      <c r="W28" s="3"/>
      <c r="X28" s="7">
        <f t="shared" si="18"/>
        <v>4.1428149999999988</v>
      </c>
      <c r="Y28" s="3"/>
      <c r="Z28" s="8">
        <f t="shared" si="19"/>
        <v>4.0748792247960824E-2</v>
      </c>
    </row>
    <row r="29" spans="1:26" s="24" customFormat="1" hidden="1" outlineLevel="2" x14ac:dyDescent="0.25">
      <c r="A29" s="27"/>
      <c r="B29" s="12" t="str">
        <f>CONCATENATE("          ", "6115", " - ", "P.E.R.S.")</f>
        <v xml:space="preserve">          6115 - P.E.R.S.</v>
      </c>
      <c r="C29" s="12"/>
      <c r="D29" s="7">
        <v>6511.13</v>
      </c>
      <c r="E29" s="3"/>
      <c r="F29" s="8">
        <f t="shared" si="12"/>
        <v>6.6786985465325008</v>
      </c>
      <c r="G29" s="3"/>
      <c r="H29" s="7">
        <v>2778.20965769231</v>
      </c>
      <c r="I29" s="3"/>
      <c r="J29" s="8">
        <f t="shared" si="13"/>
        <v>0.63357118761512199</v>
      </c>
      <c r="K29" s="3"/>
      <c r="L29" s="7">
        <f t="shared" si="14"/>
        <v>3732.9203423076901</v>
      </c>
      <c r="M29" s="3"/>
      <c r="N29" s="8">
        <f t="shared" si="15"/>
        <v>1.3436424180486077</v>
      </c>
      <c r="O29" s="12"/>
      <c r="P29" s="7">
        <v>6511.13</v>
      </c>
      <c r="Q29" s="3"/>
      <c r="R29" s="8">
        <f t="shared" si="16"/>
        <v>6.6786985465325008</v>
      </c>
      <c r="S29" s="3"/>
      <c r="T29" s="7">
        <v>2778.20965769231</v>
      </c>
      <c r="U29" s="3"/>
      <c r="V29" s="8">
        <f t="shared" si="17"/>
        <v>0.63357118761512199</v>
      </c>
      <c r="W29" s="3"/>
      <c r="X29" s="7">
        <f t="shared" si="18"/>
        <v>3732.9203423076901</v>
      </c>
      <c r="Y29" s="3"/>
      <c r="Z29" s="8">
        <f t="shared" si="19"/>
        <v>1.3436424180486077</v>
      </c>
    </row>
    <row r="30" spans="1:26" s="24" customFormat="1" hidden="1" outlineLevel="2" x14ac:dyDescent="0.25">
      <c r="A30" s="27"/>
      <c r="B30" s="12" t="str">
        <f>CONCATENATE("          ", "6116", " - ", "EDUCATIONAL BENEFITS")</f>
        <v xml:space="preserve">          6116 - EDUCATIONAL BENEFITS</v>
      </c>
      <c r="C30" s="12"/>
      <c r="D30" s="7"/>
      <c r="E30" s="3"/>
      <c r="F30" s="8">
        <f t="shared" si="12"/>
        <v>0</v>
      </c>
      <c r="G30" s="3"/>
      <c r="H30" s="7">
        <v>0</v>
      </c>
      <c r="I30" s="3"/>
      <c r="J30" s="8">
        <f t="shared" si="13"/>
        <v>0</v>
      </c>
      <c r="K30" s="3"/>
      <c r="L30" s="7">
        <f t="shared" si="14"/>
        <v>0</v>
      </c>
      <c r="M30" s="3"/>
      <c r="N30" s="8">
        <f t="shared" si="15"/>
        <v>0</v>
      </c>
      <c r="O30" s="12"/>
      <c r="P30" s="7"/>
      <c r="Q30" s="3"/>
      <c r="R30" s="8">
        <f t="shared" si="16"/>
        <v>0</v>
      </c>
      <c r="S30" s="3"/>
      <c r="T30" s="7">
        <v>0</v>
      </c>
      <c r="U30" s="3"/>
      <c r="V30" s="8">
        <f t="shared" si="17"/>
        <v>0</v>
      </c>
      <c r="W30" s="3"/>
      <c r="X30" s="7">
        <f t="shared" si="18"/>
        <v>0</v>
      </c>
      <c r="Y30" s="3"/>
      <c r="Z30" s="8">
        <f t="shared" si="19"/>
        <v>0</v>
      </c>
    </row>
    <row r="31" spans="1:26" s="24" customFormat="1" hidden="1" outlineLevel="2" x14ac:dyDescent="0.25">
      <c r="A31" s="27"/>
      <c r="B31" s="12" t="str">
        <f>CONCATENATE("          ", "6118", " - ", "VACATION")</f>
        <v xml:space="preserve">          6118 - VACATION</v>
      </c>
      <c r="C31" s="12"/>
      <c r="D31" s="7">
        <v>3359.21</v>
      </c>
      <c r="E31" s="3"/>
      <c r="F31" s="8">
        <f t="shared" si="12"/>
        <v>3.4456616508190501</v>
      </c>
      <c r="G31" s="3"/>
      <c r="H31" s="7">
        <v>2373.9150961538498</v>
      </c>
      <c r="I31" s="3"/>
      <c r="J31" s="8">
        <f t="shared" si="13"/>
        <v>0.54137174370669328</v>
      </c>
      <c r="K31" s="3"/>
      <c r="L31" s="7">
        <f t="shared" si="14"/>
        <v>985.29490384615019</v>
      </c>
      <c r="M31" s="3"/>
      <c r="N31" s="8">
        <f t="shared" si="15"/>
        <v>0.4150506079355985</v>
      </c>
      <c r="O31" s="12"/>
      <c r="P31" s="7">
        <v>3359.21</v>
      </c>
      <c r="Q31" s="3"/>
      <c r="R31" s="8">
        <f t="shared" si="16"/>
        <v>3.4456616508190501</v>
      </c>
      <c r="S31" s="3"/>
      <c r="T31" s="7">
        <v>2373.9150961538498</v>
      </c>
      <c r="U31" s="3"/>
      <c r="V31" s="8">
        <f t="shared" si="17"/>
        <v>0.54137174370669328</v>
      </c>
      <c r="W31" s="3"/>
      <c r="X31" s="7">
        <f t="shared" si="18"/>
        <v>985.29490384615019</v>
      </c>
      <c r="Y31" s="3"/>
      <c r="Z31" s="8">
        <f t="shared" si="19"/>
        <v>0.4150506079355985</v>
      </c>
    </row>
    <row r="32" spans="1:26" s="24" customFormat="1" hidden="1" outlineLevel="2" x14ac:dyDescent="0.25">
      <c r="A32" s="27"/>
      <c r="B32" s="12" t="str">
        <f>CONCATENATE("          ", "6119", " - ", "SICK LEAVE")</f>
        <v xml:space="preserve">          6119 - SICK LEAVE</v>
      </c>
      <c r="C32" s="12"/>
      <c r="D32" s="7">
        <v>2229.19</v>
      </c>
      <c r="E32" s="3"/>
      <c r="F32" s="8">
        <f t="shared" si="12"/>
        <v>2.2865597850057955</v>
      </c>
      <c r="G32" s="3"/>
      <c r="H32" s="7">
        <v>1001.02625</v>
      </c>
      <c r="I32" s="3"/>
      <c r="J32" s="8">
        <f t="shared" si="13"/>
        <v>0.22828420752565565</v>
      </c>
      <c r="K32" s="3"/>
      <c r="L32" s="7">
        <f t="shared" si="14"/>
        <v>1228.1637500000002</v>
      </c>
      <c r="M32" s="3"/>
      <c r="N32" s="8">
        <f t="shared" si="15"/>
        <v>1.2269046391141094</v>
      </c>
      <c r="O32" s="12"/>
      <c r="P32" s="7">
        <v>2229.19</v>
      </c>
      <c r="Q32" s="3"/>
      <c r="R32" s="8">
        <f t="shared" si="16"/>
        <v>2.2865597850057955</v>
      </c>
      <c r="S32" s="3"/>
      <c r="T32" s="7">
        <v>1001.02625</v>
      </c>
      <c r="U32" s="3"/>
      <c r="V32" s="8">
        <f t="shared" si="17"/>
        <v>0.22828420752565565</v>
      </c>
      <c r="W32" s="3"/>
      <c r="X32" s="7">
        <f t="shared" si="18"/>
        <v>1228.1637500000002</v>
      </c>
      <c r="Y32" s="3"/>
      <c r="Z32" s="8">
        <f t="shared" si="19"/>
        <v>1.2269046391141094</v>
      </c>
    </row>
    <row r="33" spans="1:26" s="24" customFormat="1" hidden="1" outlineLevel="2" x14ac:dyDescent="0.25">
      <c r="A33" s="27"/>
      <c r="B33" s="12" t="str">
        <f>CONCATENATE("          ", "6156", " - ", "EMPLOYEE MEALS")</f>
        <v xml:space="preserve">          6156 - EMPLOYEE MEALS</v>
      </c>
      <c r="C33" s="12"/>
      <c r="D33" s="7">
        <v>309.73</v>
      </c>
      <c r="E33" s="3"/>
      <c r="F33" s="8">
        <f t="shared" si="12"/>
        <v>0.3177011211291299</v>
      </c>
      <c r="G33" s="3"/>
      <c r="H33" s="7">
        <v>525</v>
      </c>
      <c r="I33" s="3"/>
      <c r="J33" s="8">
        <f t="shared" si="13"/>
        <v>0.11972633979475485</v>
      </c>
      <c r="K33" s="3"/>
      <c r="L33" s="7">
        <f t="shared" si="14"/>
        <v>-215.26999999999998</v>
      </c>
      <c r="M33" s="3"/>
      <c r="N33" s="8">
        <f t="shared" si="15"/>
        <v>-0.4100380952380952</v>
      </c>
      <c r="O33" s="12"/>
      <c r="P33" s="7">
        <v>309.73</v>
      </c>
      <c r="Q33" s="3"/>
      <c r="R33" s="8">
        <f t="shared" si="16"/>
        <v>0.3177011211291299</v>
      </c>
      <c r="S33" s="3"/>
      <c r="T33" s="7">
        <v>525</v>
      </c>
      <c r="U33" s="3"/>
      <c r="V33" s="8">
        <f t="shared" si="17"/>
        <v>0.11972633979475485</v>
      </c>
      <c r="W33" s="3"/>
      <c r="X33" s="7">
        <f t="shared" si="18"/>
        <v>-215.26999999999998</v>
      </c>
      <c r="Y33" s="3"/>
      <c r="Z33" s="8">
        <f t="shared" si="19"/>
        <v>-0.4100380952380952</v>
      </c>
    </row>
    <row r="34" spans="1:26" s="29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47905.05</v>
      </c>
      <c r="E34" s="1"/>
      <c r="F34" s="5">
        <f t="shared" ref="F34:F44" si="20">IF(D$12=0,0,D34/D$12)</f>
        <v>49.137920423423708</v>
      </c>
      <c r="G34" s="1"/>
      <c r="H34" s="1">
        <f>SUM(OSRRefH22_1x_0)</f>
        <v>35727.822115384595</v>
      </c>
      <c r="I34" s="1"/>
      <c r="J34" s="5">
        <f t="shared" ref="J34:J44" si="21">IF(H$12=0,0,H34/H$12)</f>
        <v>8.1477359442154142</v>
      </c>
      <c r="K34" s="1"/>
      <c r="L34" s="1">
        <f t="shared" ref="L34:L44" si="22">+D34-H34</f>
        <v>12177.227884615408</v>
      </c>
      <c r="M34" s="1"/>
      <c r="N34" s="5">
        <f t="shared" ref="N34:N44" si="23">IF(H34=0,0,L34/H34)</f>
        <v>0.34083319843254106</v>
      </c>
      <c r="O34" s="14"/>
      <c r="P34" s="1">
        <f>SUM(OSRRefP22_1x_0)</f>
        <v>47905.05</v>
      </c>
      <c r="Q34" s="1"/>
      <c r="R34" s="5">
        <f t="shared" ref="R34:R44" si="24">IF(P$12=0,0,P34/P$12)</f>
        <v>49.137920423423708</v>
      </c>
      <c r="S34" s="1"/>
      <c r="T34" s="1">
        <f>SUM(OSRRefT22_1x_0)</f>
        <v>35727.822115384595</v>
      </c>
      <c r="U34" s="1"/>
      <c r="V34" s="5">
        <f t="shared" ref="V34:V44" si="25">IF(T$12=0,0,T34/T$12)</f>
        <v>8.1477359442154142</v>
      </c>
      <c r="W34" s="1"/>
      <c r="X34" s="1">
        <f t="shared" ref="X34:X44" si="26">+P34-T34</f>
        <v>12177.227884615408</v>
      </c>
      <c r="Y34" s="1"/>
      <c r="Z34" s="5">
        <f t="shared" ref="Z34:Z44" si="27">IF(T34=0,0,X34/T34)</f>
        <v>0.34083319843254106</v>
      </c>
    </row>
    <row r="35" spans="1:26" s="24" customFormat="1" hidden="1" outlineLevel="2" x14ac:dyDescent="0.25">
      <c r="A35" s="27"/>
      <c r="B35" s="12" t="str">
        <f>CONCATENATE("          ", "6001", " - ", "ADMINISTRATIVE SALARIES")</f>
        <v xml:space="preserve">          6001 - ADMINISTRATIVE SALARIES</v>
      </c>
      <c r="C35" s="12"/>
      <c r="D35" s="7">
        <v>11207.33</v>
      </c>
      <c r="E35" s="3"/>
      <c r="F35" s="8">
        <f t="shared" si="20"/>
        <v>11.495758582843544</v>
      </c>
      <c r="G35" s="3"/>
      <c r="H35" s="7">
        <v>19062.509615384599</v>
      </c>
      <c r="I35" s="3"/>
      <c r="J35" s="8">
        <f t="shared" si="21"/>
        <v>4.3472085781948913</v>
      </c>
      <c r="K35" s="3"/>
      <c r="L35" s="7">
        <f t="shared" si="22"/>
        <v>-7855.1796153845989</v>
      </c>
      <c r="M35" s="3"/>
      <c r="N35" s="8">
        <f t="shared" si="23"/>
        <v>-0.412074788360762</v>
      </c>
      <c r="O35" s="12"/>
      <c r="P35" s="7">
        <v>11207.33</v>
      </c>
      <c r="Q35" s="3"/>
      <c r="R35" s="8">
        <f t="shared" si="24"/>
        <v>11.495758582843544</v>
      </c>
      <c r="S35" s="3"/>
      <c r="T35" s="7">
        <v>19062.509615384599</v>
      </c>
      <c r="U35" s="3"/>
      <c r="V35" s="8">
        <f t="shared" si="25"/>
        <v>4.3472085781948913</v>
      </c>
      <c r="W35" s="3"/>
      <c r="X35" s="7">
        <f t="shared" si="26"/>
        <v>-7855.1796153845989</v>
      </c>
      <c r="Y35" s="3"/>
      <c r="Z35" s="8">
        <f t="shared" si="27"/>
        <v>-0.412074788360762</v>
      </c>
    </row>
    <row r="36" spans="1:26" s="24" customFormat="1" hidden="1" outlineLevel="2" x14ac:dyDescent="0.25">
      <c r="A36" s="27"/>
      <c r="B36" s="12" t="str">
        <f>CONCATENATE("          ", "6002", " - ", "STAFF SALARIES")</f>
        <v xml:space="preserve">          6002 - STAFF SALARIES</v>
      </c>
      <c r="C36" s="12"/>
      <c r="D36" s="7">
        <v>32575.99</v>
      </c>
      <c r="E36" s="3"/>
      <c r="F36" s="8">
        <f t="shared" si="20"/>
        <v>33.41435619698229</v>
      </c>
      <c r="G36" s="3"/>
      <c r="H36" s="7">
        <v>10359.6525</v>
      </c>
      <c r="I36" s="3"/>
      <c r="J36" s="8">
        <f t="shared" si="21"/>
        <v>2.3625205245153933</v>
      </c>
      <c r="K36" s="3"/>
      <c r="L36" s="7">
        <f t="shared" si="22"/>
        <v>22216.337500000001</v>
      </c>
      <c r="M36" s="3"/>
      <c r="N36" s="8">
        <f t="shared" si="23"/>
        <v>2.144506053653827</v>
      </c>
      <c r="O36" s="12"/>
      <c r="P36" s="7">
        <v>32575.99</v>
      </c>
      <c r="Q36" s="3"/>
      <c r="R36" s="8">
        <f t="shared" si="24"/>
        <v>33.41435619698229</v>
      </c>
      <c r="S36" s="3"/>
      <c r="T36" s="7">
        <v>10359.6525</v>
      </c>
      <c r="U36" s="3"/>
      <c r="V36" s="8">
        <f t="shared" si="25"/>
        <v>2.3625205245153933</v>
      </c>
      <c r="W36" s="3"/>
      <c r="X36" s="7">
        <f t="shared" si="26"/>
        <v>22216.337500000001</v>
      </c>
      <c r="Y36" s="3"/>
      <c r="Z36" s="8">
        <f t="shared" si="27"/>
        <v>2.144506053653827</v>
      </c>
    </row>
    <row r="37" spans="1:26" s="24" customFormat="1" hidden="1" outlineLevel="2" x14ac:dyDescent="0.25">
      <c r="A37" s="27"/>
      <c r="B37" s="12" t="str">
        <f>CONCATENATE("          ", "6003", " - ", "STAFF HOURLY-9 MONTH")</f>
        <v xml:space="preserve">          6003 - STAFF HOURLY-9 MONTH</v>
      </c>
      <c r="C37" s="12"/>
      <c r="D37" s="7"/>
      <c r="E37" s="3"/>
      <c r="F37" s="8">
        <f t="shared" si="20"/>
        <v>0</v>
      </c>
      <c r="G37" s="3"/>
      <c r="H37" s="7">
        <v>0</v>
      </c>
      <c r="I37" s="3"/>
      <c r="J37" s="8">
        <f t="shared" si="21"/>
        <v>0</v>
      </c>
      <c r="K37" s="3"/>
      <c r="L37" s="7">
        <f t="shared" si="22"/>
        <v>0</v>
      </c>
      <c r="M37" s="3"/>
      <c r="N37" s="8">
        <f t="shared" si="23"/>
        <v>0</v>
      </c>
      <c r="O37" s="12"/>
      <c r="P37" s="7"/>
      <c r="Q37" s="3"/>
      <c r="R37" s="8">
        <f t="shared" si="24"/>
        <v>0</v>
      </c>
      <c r="S37" s="3"/>
      <c r="T37" s="7">
        <v>0</v>
      </c>
      <c r="U37" s="3"/>
      <c r="V37" s="8">
        <f t="shared" si="25"/>
        <v>0</v>
      </c>
      <c r="W37" s="3"/>
      <c r="X37" s="7">
        <f t="shared" si="26"/>
        <v>0</v>
      </c>
      <c r="Y37" s="3"/>
      <c r="Z37" s="8">
        <f t="shared" si="27"/>
        <v>0</v>
      </c>
    </row>
    <row r="38" spans="1:26" s="24" customFormat="1" hidden="1" outlineLevel="2" x14ac:dyDescent="0.25">
      <c r="A38" s="27"/>
      <c r="B38" s="12" t="str">
        <f>CONCATENATE("          ", "6004", " - ", "STAFF HOURLY")</f>
        <v xml:space="preserve">          6004 - STAFF HOURLY</v>
      </c>
      <c r="C38" s="12"/>
      <c r="D38" s="7">
        <v>2771.73</v>
      </c>
      <c r="E38" s="3"/>
      <c r="F38" s="8">
        <f t="shared" si="20"/>
        <v>2.8430624365326032</v>
      </c>
      <c r="G38" s="3"/>
      <c r="H38" s="7">
        <v>3708</v>
      </c>
      <c r="I38" s="3"/>
      <c r="J38" s="8">
        <f t="shared" si="21"/>
        <v>0.84561003420752567</v>
      </c>
      <c r="K38" s="3"/>
      <c r="L38" s="7">
        <f t="shared" si="22"/>
        <v>-936.27</v>
      </c>
      <c r="M38" s="3"/>
      <c r="N38" s="8">
        <f t="shared" si="23"/>
        <v>-0.2525</v>
      </c>
      <c r="O38" s="12"/>
      <c r="P38" s="7">
        <v>2771.73</v>
      </c>
      <c r="Q38" s="3"/>
      <c r="R38" s="8">
        <f t="shared" si="24"/>
        <v>2.8430624365326032</v>
      </c>
      <c r="S38" s="3"/>
      <c r="T38" s="7">
        <v>3708</v>
      </c>
      <c r="U38" s="3"/>
      <c r="V38" s="8">
        <f t="shared" si="25"/>
        <v>0.84561003420752567</v>
      </c>
      <c r="W38" s="3"/>
      <c r="X38" s="7">
        <f t="shared" si="26"/>
        <v>-936.27</v>
      </c>
      <c r="Y38" s="3"/>
      <c r="Z38" s="8">
        <f t="shared" si="27"/>
        <v>-0.2525</v>
      </c>
    </row>
    <row r="39" spans="1:26" s="24" customFormat="1" hidden="1" outlineLevel="2" x14ac:dyDescent="0.25">
      <c r="A39" s="27"/>
      <c r="B39" s="12" t="str">
        <f>CONCATENATE("          ", "6005", " - ", "TEMPORARY WAGES-HOURLY")</f>
        <v xml:space="preserve">          6005 - TEMPORARY WAGES-HOURLY</v>
      </c>
      <c r="C39" s="12"/>
      <c r="D39" s="7"/>
      <c r="E39" s="3"/>
      <c r="F39" s="8">
        <f t="shared" si="20"/>
        <v>0</v>
      </c>
      <c r="G39" s="3"/>
      <c r="H39" s="7">
        <v>1664.52</v>
      </c>
      <c r="I39" s="3"/>
      <c r="J39" s="8">
        <f t="shared" si="21"/>
        <v>0.37959407069555301</v>
      </c>
      <c r="K39" s="3"/>
      <c r="L39" s="7">
        <f t="shared" si="22"/>
        <v>-1664.52</v>
      </c>
      <c r="M39" s="3"/>
      <c r="N39" s="8">
        <f t="shared" si="23"/>
        <v>-1</v>
      </c>
      <c r="O39" s="12"/>
      <c r="P39" s="7"/>
      <c r="Q39" s="3"/>
      <c r="R39" s="8">
        <f t="shared" si="24"/>
        <v>0</v>
      </c>
      <c r="S39" s="3"/>
      <c r="T39" s="7">
        <v>1664.52</v>
      </c>
      <c r="U39" s="3"/>
      <c r="V39" s="8">
        <f t="shared" si="25"/>
        <v>0.37959407069555301</v>
      </c>
      <c r="W39" s="3"/>
      <c r="X39" s="7">
        <f t="shared" si="26"/>
        <v>-1664.52</v>
      </c>
      <c r="Y39" s="3"/>
      <c r="Z39" s="8">
        <f t="shared" si="27"/>
        <v>-1</v>
      </c>
    </row>
    <row r="40" spans="1:26" s="24" customFormat="1" hidden="1" outlineLevel="2" x14ac:dyDescent="0.25">
      <c r="A40" s="27"/>
      <c r="B40" s="12" t="str">
        <f>CONCATENATE("          ", "6006", " - ", "TEMPORARY PART TIME")</f>
        <v xml:space="preserve">          6006 - TEMPORARY PART TIME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4" customFormat="1" hidden="1" outlineLevel="2" x14ac:dyDescent="0.25">
      <c r="A41" s="27"/>
      <c r="B41" s="12" t="str">
        <f>CONCATENATE("          ", "6007", " - ", "STUDENT HOURLY")</f>
        <v xml:space="preserve">          6007 - STUDENT HOURLY</v>
      </c>
      <c r="C41" s="12"/>
      <c r="D41" s="7">
        <v>1350</v>
      </c>
      <c r="E41" s="3"/>
      <c r="F41" s="8">
        <f t="shared" si="20"/>
        <v>1.3847432070652677</v>
      </c>
      <c r="G41" s="3"/>
      <c r="H41" s="7">
        <v>933.14</v>
      </c>
      <c r="I41" s="3"/>
      <c r="J41" s="8">
        <f t="shared" si="21"/>
        <v>0.21280273660205246</v>
      </c>
      <c r="K41" s="3"/>
      <c r="L41" s="7">
        <f t="shared" si="22"/>
        <v>416.86</v>
      </c>
      <c r="M41" s="3"/>
      <c r="N41" s="8">
        <f t="shared" si="23"/>
        <v>0.44672825085196222</v>
      </c>
      <c r="O41" s="12"/>
      <c r="P41" s="7">
        <v>1350</v>
      </c>
      <c r="Q41" s="3"/>
      <c r="R41" s="8">
        <f t="shared" si="24"/>
        <v>1.3847432070652677</v>
      </c>
      <c r="S41" s="3"/>
      <c r="T41" s="7">
        <v>933.14</v>
      </c>
      <c r="U41" s="3"/>
      <c r="V41" s="8">
        <f t="shared" si="25"/>
        <v>0.21280273660205246</v>
      </c>
      <c r="W41" s="3"/>
      <c r="X41" s="7">
        <f t="shared" si="26"/>
        <v>416.86</v>
      </c>
      <c r="Y41" s="3"/>
      <c r="Z41" s="8">
        <f t="shared" si="27"/>
        <v>0.44672825085196222</v>
      </c>
    </row>
    <row r="42" spans="1:26" s="24" customFormat="1" hidden="1" outlineLevel="2" x14ac:dyDescent="0.25">
      <c r="A42" s="27"/>
      <c r="B42" s="12" t="str">
        <f>CONCATENATE("          ", "6008", " - ", "STUDENT HOURLY-FICA EXEMPT")</f>
        <v xml:space="preserve">          6008 - STUDENT HOURLY-FICA EXEMPT</v>
      </c>
      <c r="C42" s="12"/>
      <c r="D42" s="7"/>
      <c r="E42" s="3"/>
      <c r="F42" s="8">
        <f t="shared" si="20"/>
        <v>0</v>
      </c>
      <c r="G42" s="3"/>
      <c r="H42" s="7">
        <v>0</v>
      </c>
      <c r="I42" s="3"/>
      <c r="J42" s="8">
        <f t="shared" si="21"/>
        <v>0</v>
      </c>
      <c r="K42" s="3"/>
      <c r="L42" s="7">
        <f t="shared" si="22"/>
        <v>0</v>
      </c>
      <c r="M42" s="3"/>
      <c r="N42" s="8">
        <f t="shared" si="23"/>
        <v>0</v>
      </c>
      <c r="O42" s="12"/>
      <c r="P42" s="7"/>
      <c r="Q42" s="3"/>
      <c r="R42" s="8">
        <f t="shared" si="24"/>
        <v>0</v>
      </c>
      <c r="S42" s="3"/>
      <c r="T42" s="7">
        <v>0</v>
      </c>
      <c r="U42" s="3"/>
      <c r="V42" s="8">
        <f t="shared" si="25"/>
        <v>0</v>
      </c>
      <c r="W42" s="3"/>
      <c r="X42" s="7">
        <f t="shared" si="26"/>
        <v>0</v>
      </c>
      <c r="Y42" s="3"/>
      <c r="Z42" s="8">
        <f t="shared" si="27"/>
        <v>0</v>
      </c>
    </row>
    <row r="43" spans="1:26" s="24" customFormat="1" hidden="1" outlineLevel="2" x14ac:dyDescent="0.25">
      <c r="A43" s="27"/>
      <c r="B43" s="12" t="str">
        <f>CONCATENATE("          ", "6009", " - ", "TEMPORARY-SEASONAL")</f>
        <v xml:space="preserve">          6009 - TEMPORARY-SEASONAL</v>
      </c>
      <c r="C43" s="12"/>
      <c r="D43" s="7"/>
      <c r="E43" s="3"/>
      <c r="F43" s="8">
        <f t="shared" si="20"/>
        <v>0</v>
      </c>
      <c r="G43" s="3"/>
      <c r="H43" s="7">
        <v>0</v>
      </c>
      <c r="I43" s="3"/>
      <c r="J43" s="8">
        <f t="shared" si="21"/>
        <v>0</v>
      </c>
      <c r="K43" s="3"/>
      <c r="L43" s="7">
        <f t="shared" si="22"/>
        <v>0</v>
      </c>
      <c r="M43" s="3"/>
      <c r="N43" s="8">
        <f t="shared" si="23"/>
        <v>0</v>
      </c>
      <c r="O43" s="12"/>
      <c r="P43" s="7"/>
      <c r="Q43" s="3"/>
      <c r="R43" s="8">
        <f t="shared" si="24"/>
        <v>0</v>
      </c>
      <c r="S43" s="3"/>
      <c r="T43" s="7">
        <v>0</v>
      </c>
      <c r="U43" s="3"/>
      <c r="V43" s="8">
        <f t="shared" si="25"/>
        <v>0</v>
      </c>
      <c r="W43" s="3"/>
      <c r="X43" s="7">
        <f t="shared" si="26"/>
        <v>0</v>
      </c>
      <c r="Y43" s="3"/>
      <c r="Z43" s="8">
        <f t="shared" si="27"/>
        <v>0</v>
      </c>
    </row>
    <row r="44" spans="1:26" s="24" customFormat="1" hidden="1" outlineLevel="2" x14ac:dyDescent="0.25">
      <c r="A44" s="27"/>
      <c r="B44" s="12" t="str">
        <f>CONCATENATE("          ", "6010", " - ", "GRATUITY")</f>
        <v xml:space="preserve">          6010 - GRATUITY</v>
      </c>
      <c r="C44" s="12"/>
      <c r="D44" s="7"/>
      <c r="E44" s="3"/>
      <c r="F44" s="8">
        <f t="shared" si="20"/>
        <v>0</v>
      </c>
      <c r="G44" s="3"/>
      <c r="H44" s="7">
        <v>0</v>
      </c>
      <c r="I44" s="3"/>
      <c r="J44" s="8">
        <f t="shared" si="21"/>
        <v>0</v>
      </c>
      <c r="K44" s="3"/>
      <c r="L44" s="7">
        <f t="shared" si="22"/>
        <v>0</v>
      </c>
      <c r="M44" s="3"/>
      <c r="N44" s="8">
        <f t="shared" si="23"/>
        <v>0</v>
      </c>
      <c r="O44" s="12"/>
      <c r="P44" s="7"/>
      <c r="Q44" s="3"/>
      <c r="R44" s="8">
        <f t="shared" si="24"/>
        <v>0</v>
      </c>
      <c r="S44" s="3"/>
      <c r="T44" s="7">
        <v>0</v>
      </c>
      <c r="U44" s="3"/>
      <c r="V44" s="8">
        <f t="shared" si="25"/>
        <v>0</v>
      </c>
      <c r="W44" s="3"/>
      <c r="X44" s="7">
        <f t="shared" si="26"/>
        <v>0</v>
      </c>
      <c r="Y44" s="3"/>
      <c r="Z44" s="8">
        <f t="shared" si="27"/>
        <v>0</v>
      </c>
    </row>
    <row r="45" spans="1:26" s="29" customFormat="1" outlineLevel="1" collapsed="1" x14ac:dyDescent="0.25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45.97</v>
      </c>
      <c r="E45" s="1"/>
      <c r="F45" s="5">
        <f t="shared" ref="F45:F54" si="28">IF(D$12=0,0,D45/D$12)</f>
        <v>4.7153070539844702E-2</v>
      </c>
      <c r="G45" s="1"/>
      <c r="H45" s="1">
        <f>SUM(OSRRefH22_2x_0)</f>
        <v>1640</v>
      </c>
      <c r="I45" s="1"/>
      <c r="J45" s="5">
        <f t="shared" ref="J45:J54" si="29">IF(H$12=0,0,H45/H$12)</f>
        <v>0.37400228050171036</v>
      </c>
      <c r="K45" s="1"/>
      <c r="L45" s="1">
        <f t="shared" ref="L45:L54" si="30">+D45-H45</f>
        <v>-1594.03</v>
      </c>
      <c r="M45" s="1"/>
      <c r="N45" s="5">
        <f t="shared" ref="N45:N54" si="31">IF(H45=0,0,L45/H45)</f>
        <v>-0.97196951219512195</v>
      </c>
      <c r="O45" s="14"/>
      <c r="P45" s="1">
        <f>SUM(OSRRefP22_2x_0)</f>
        <v>45.97</v>
      </c>
      <c r="Q45" s="1"/>
      <c r="R45" s="5">
        <f t="shared" ref="R45:R54" si="32">IF(P$12=0,0,P45/P$12)</f>
        <v>4.7153070539844702E-2</v>
      </c>
      <c r="S45" s="1"/>
      <c r="T45" s="1">
        <f>SUM(OSRRefT22_2x_0)</f>
        <v>1640</v>
      </c>
      <c r="U45" s="1"/>
      <c r="V45" s="5">
        <f t="shared" ref="V45:V54" si="33">IF(T$12=0,0,T45/T$12)</f>
        <v>0.37400228050171036</v>
      </c>
      <c r="W45" s="1"/>
      <c r="X45" s="1">
        <f t="shared" ref="X45:X54" si="34">+P45-T45</f>
        <v>-1594.03</v>
      </c>
      <c r="Y45" s="1"/>
      <c r="Z45" s="5">
        <f t="shared" ref="Z45:Z54" si="35">IF(T45=0,0,X45/T45)</f>
        <v>-0.97196951219512195</v>
      </c>
    </row>
    <row r="46" spans="1:26" s="24" customFormat="1" hidden="1" outlineLevel="2" x14ac:dyDescent="0.25">
      <c r="A46" s="27"/>
      <c r="B46" s="12" t="str">
        <f>CONCATENATE("          ", "6362", " - ", "ADVERTISING EXPENSE")</f>
        <v xml:space="preserve">          6362 - ADVERTISING EXPENSE</v>
      </c>
      <c r="C46" s="12"/>
      <c r="D46" s="7">
        <v>45.97</v>
      </c>
      <c r="E46" s="3"/>
      <c r="F46" s="8">
        <f t="shared" si="28"/>
        <v>4.7153070539844702E-2</v>
      </c>
      <c r="G46" s="3"/>
      <c r="H46" s="7">
        <v>1640</v>
      </c>
      <c r="I46" s="3"/>
      <c r="J46" s="8">
        <f t="shared" si="29"/>
        <v>0.37400228050171036</v>
      </c>
      <c r="K46" s="3"/>
      <c r="L46" s="7">
        <f t="shared" si="30"/>
        <v>-1594.03</v>
      </c>
      <c r="M46" s="3"/>
      <c r="N46" s="8">
        <f t="shared" si="31"/>
        <v>-0.97196951219512195</v>
      </c>
      <c r="O46" s="12"/>
      <c r="P46" s="7">
        <v>45.97</v>
      </c>
      <c r="Q46" s="3"/>
      <c r="R46" s="8">
        <f t="shared" si="32"/>
        <v>4.7153070539844702E-2</v>
      </c>
      <c r="S46" s="3"/>
      <c r="T46" s="7">
        <v>1640</v>
      </c>
      <c r="U46" s="3"/>
      <c r="V46" s="8">
        <f t="shared" si="33"/>
        <v>0.37400228050171036</v>
      </c>
      <c r="W46" s="3"/>
      <c r="X46" s="7">
        <f t="shared" si="34"/>
        <v>-1594.03</v>
      </c>
      <c r="Y46" s="3"/>
      <c r="Z46" s="8">
        <f t="shared" si="35"/>
        <v>-0.97196951219512195</v>
      </c>
    </row>
    <row r="47" spans="1:26" s="29" customFormat="1" outlineLevel="1" collapsed="1" x14ac:dyDescent="0.25">
      <c r="A47" s="28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0</v>
      </c>
      <c r="E47" s="1"/>
      <c r="F47" s="5">
        <f t="shared" si="28"/>
        <v>0</v>
      </c>
      <c r="G47" s="1"/>
      <c r="H47" s="1">
        <f>SUM(OSRRefH22_3x_0)</f>
        <v>10</v>
      </c>
      <c r="I47" s="1"/>
      <c r="J47" s="5">
        <f t="shared" si="29"/>
        <v>2.2805017103762829E-3</v>
      </c>
      <c r="K47" s="1"/>
      <c r="L47" s="1">
        <f t="shared" si="30"/>
        <v>-10</v>
      </c>
      <c r="M47" s="1"/>
      <c r="N47" s="5">
        <f t="shared" si="31"/>
        <v>-1</v>
      </c>
      <c r="O47" s="14"/>
      <c r="P47" s="1">
        <f>SUM(OSRRefP22_3x_0)</f>
        <v>0</v>
      </c>
      <c r="Q47" s="1"/>
      <c r="R47" s="5">
        <f t="shared" si="32"/>
        <v>0</v>
      </c>
      <c r="S47" s="1"/>
      <c r="T47" s="1">
        <f>SUM(OSRRefT22_3x_0)</f>
        <v>10</v>
      </c>
      <c r="U47" s="1"/>
      <c r="V47" s="5">
        <f t="shared" si="33"/>
        <v>2.2805017103762829E-3</v>
      </c>
      <c r="W47" s="1"/>
      <c r="X47" s="1">
        <f t="shared" si="34"/>
        <v>-10</v>
      </c>
      <c r="Y47" s="1"/>
      <c r="Z47" s="5">
        <f t="shared" si="35"/>
        <v>-1</v>
      </c>
    </row>
    <row r="48" spans="1:26" s="24" customFormat="1" hidden="1" outlineLevel="2" x14ac:dyDescent="0.25">
      <c r="A48" s="27"/>
      <c r="B48" s="12" t="str">
        <f>CONCATENATE("          ", "6272", " - ", "CASH (OVER/SHORT)")</f>
        <v xml:space="preserve">          6272 - CASH (OVER/SHORT)</v>
      </c>
      <c r="C48" s="12"/>
      <c r="D48" s="7"/>
      <c r="E48" s="3"/>
      <c r="F48" s="8">
        <f t="shared" si="28"/>
        <v>0</v>
      </c>
      <c r="G48" s="3"/>
      <c r="H48" s="7">
        <v>10</v>
      </c>
      <c r="I48" s="3"/>
      <c r="J48" s="8">
        <f t="shared" si="29"/>
        <v>2.2805017103762829E-3</v>
      </c>
      <c r="K48" s="3"/>
      <c r="L48" s="7">
        <f t="shared" si="30"/>
        <v>-10</v>
      </c>
      <c r="M48" s="3"/>
      <c r="N48" s="8">
        <f t="shared" si="31"/>
        <v>-1</v>
      </c>
      <c r="O48" s="12"/>
      <c r="P48" s="7"/>
      <c r="Q48" s="3"/>
      <c r="R48" s="8">
        <f t="shared" si="32"/>
        <v>0</v>
      </c>
      <c r="S48" s="3"/>
      <c r="T48" s="7">
        <v>10</v>
      </c>
      <c r="U48" s="3"/>
      <c r="V48" s="8">
        <f t="shared" si="33"/>
        <v>2.2805017103762829E-3</v>
      </c>
      <c r="W48" s="3"/>
      <c r="X48" s="7">
        <f t="shared" si="34"/>
        <v>-10</v>
      </c>
      <c r="Y48" s="3"/>
      <c r="Z48" s="8">
        <f t="shared" si="35"/>
        <v>-1</v>
      </c>
    </row>
    <row r="49" spans="1:26" s="29" customFormat="1" outlineLevel="1" collapsed="1" x14ac:dyDescent="0.25">
      <c r="A49" s="28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342.82</v>
      </c>
      <c r="E49" s="1"/>
      <c r="F49" s="5">
        <f t="shared" si="28"/>
        <v>0.35164271573786299</v>
      </c>
      <c r="G49" s="1"/>
      <c r="H49" s="1">
        <f>SUM(OSRRefH22_4x_0)</f>
        <v>1261</v>
      </c>
      <c r="I49" s="1"/>
      <c r="J49" s="5">
        <f t="shared" si="29"/>
        <v>0.28757126567844926</v>
      </c>
      <c r="K49" s="1"/>
      <c r="L49" s="1">
        <f t="shared" si="30"/>
        <v>-918.18000000000006</v>
      </c>
      <c r="M49" s="1"/>
      <c r="N49" s="5">
        <f t="shared" si="31"/>
        <v>-0.72813639968279154</v>
      </c>
      <c r="O49" s="14"/>
      <c r="P49" s="1">
        <f>SUM(OSRRefP22_4x_0)</f>
        <v>342.82</v>
      </c>
      <c r="Q49" s="1"/>
      <c r="R49" s="5">
        <f t="shared" si="32"/>
        <v>0.35164271573786299</v>
      </c>
      <c r="S49" s="1"/>
      <c r="T49" s="1">
        <f>SUM(OSRRefT22_4x_0)</f>
        <v>1261</v>
      </c>
      <c r="U49" s="1"/>
      <c r="V49" s="5">
        <f t="shared" si="33"/>
        <v>0.28757126567844926</v>
      </c>
      <c r="W49" s="1"/>
      <c r="X49" s="1">
        <f t="shared" si="34"/>
        <v>-918.18000000000006</v>
      </c>
      <c r="Y49" s="1"/>
      <c r="Z49" s="5">
        <f t="shared" si="35"/>
        <v>-0.72813639968279154</v>
      </c>
    </row>
    <row r="50" spans="1:26" s="24" customFormat="1" hidden="1" outlineLevel="2" x14ac:dyDescent="0.25">
      <c r="A50" s="27"/>
      <c r="B50" s="12" t="str">
        <f>CONCATENATE("          ", "6381", " - ", "BANK/CREDIT CARD FEES")</f>
        <v xml:space="preserve">          6381 - BANK/CREDIT CARD FEES</v>
      </c>
      <c r="C50" s="12"/>
      <c r="D50" s="7">
        <v>342.82</v>
      </c>
      <c r="E50" s="3"/>
      <c r="F50" s="8">
        <f t="shared" si="28"/>
        <v>0.35164271573786299</v>
      </c>
      <c r="G50" s="3"/>
      <c r="H50" s="7">
        <v>1261</v>
      </c>
      <c r="I50" s="3"/>
      <c r="J50" s="8">
        <f t="shared" si="29"/>
        <v>0.28757126567844926</v>
      </c>
      <c r="K50" s="3"/>
      <c r="L50" s="7">
        <f t="shared" si="30"/>
        <v>-918.18000000000006</v>
      </c>
      <c r="M50" s="3"/>
      <c r="N50" s="8">
        <f t="shared" si="31"/>
        <v>-0.72813639968279154</v>
      </c>
      <c r="O50" s="12"/>
      <c r="P50" s="7">
        <v>342.82</v>
      </c>
      <c r="Q50" s="3"/>
      <c r="R50" s="8">
        <f t="shared" si="32"/>
        <v>0.35164271573786299</v>
      </c>
      <c r="S50" s="3"/>
      <c r="T50" s="7">
        <v>1261</v>
      </c>
      <c r="U50" s="3"/>
      <c r="V50" s="8">
        <f t="shared" si="33"/>
        <v>0.28757126567844926</v>
      </c>
      <c r="W50" s="3"/>
      <c r="X50" s="7">
        <f t="shared" si="34"/>
        <v>-918.18000000000006</v>
      </c>
      <c r="Y50" s="3"/>
      <c r="Z50" s="8">
        <f t="shared" si="35"/>
        <v>-0.72813639968279154</v>
      </c>
    </row>
    <row r="51" spans="1:26" s="29" customFormat="1" outlineLevel="1" collapsed="1" x14ac:dyDescent="0.25">
      <c r="A51" s="28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46546.740000000005</v>
      </c>
      <c r="E51" s="1"/>
      <c r="F51" s="5">
        <f t="shared" si="28"/>
        <v>47.744653352617171</v>
      </c>
      <c r="G51" s="1"/>
      <c r="H51" s="1">
        <f>SUM(OSRRefH22_5x_0)</f>
        <v>47241</v>
      </c>
      <c r="I51" s="1"/>
      <c r="J51" s="5">
        <f t="shared" si="29"/>
        <v>10.773318129988597</v>
      </c>
      <c r="K51" s="1"/>
      <c r="L51" s="1">
        <f t="shared" si="30"/>
        <v>-694.25999999999476</v>
      </c>
      <c r="M51" s="1"/>
      <c r="N51" s="5">
        <f t="shared" si="31"/>
        <v>-1.4696132596684971E-2</v>
      </c>
      <c r="O51" s="14"/>
      <c r="P51" s="1">
        <f>SUM(OSRRefP22_5x_0)</f>
        <v>46546.740000000005</v>
      </c>
      <c r="Q51" s="1"/>
      <c r="R51" s="5">
        <f t="shared" si="32"/>
        <v>47.744653352617171</v>
      </c>
      <c r="S51" s="1"/>
      <c r="T51" s="1">
        <f>SUM(OSRRefT22_5x_0)</f>
        <v>47241</v>
      </c>
      <c r="U51" s="1"/>
      <c r="V51" s="5">
        <f t="shared" si="33"/>
        <v>10.773318129988597</v>
      </c>
      <c r="W51" s="1"/>
      <c r="X51" s="1">
        <f t="shared" si="34"/>
        <v>-694.25999999999476</v>
      </c>
      <c r="Y51" s="1"/>
      <c r="Z51" s="5">
        <f t="shared" si="35"/>
        <v>-1.4696132596684971E-2</v>
      </c>
    </row>
    <row r="52" spans="1:26" s="24" customFormat="1" hidden="1" outlineLevel="2" x14ac:dyDescent="0.25">
      <c r="A52" s="27"/>
      <c r="B52" s="12" t="str">
        <f>CONCATENATE("          ", "6321", " - ", "BUILDING DEPRECIATION")</f>
        <v xml:space="preserve">          6321 - BUILDING DEPRECIATION</v>
      </c>
      <c r="C52" s="12"/>
      <c r="D52" s="7">
        <v>28925.4</v>
      </c>
      <c r="E52" s="3"/>
      <c r="F52" s="8">
        <f t="shared" si="28"/>
        <v>29.669815675293105</v>
      </c>
      <c r="G52" s="3"/>
      <c r="H52" s="7"/>
      <c r="I52" s="3"/>
      <c r="J52" s="8">
        <f t="shared" si="29"/>
        <v>0</v>
      </c>
      <c r="K52" s="3"/>
      <c r="L52" s="7">
        <f t="shared" si="30"/>
        <v>28925.4</v>
      </c>
      <c r="M52" s="3"/>
      <c r="N52" s="8">
        <f t="shared" si="31"/>
        <v>0</v>
      </c>
      <c r="O52" s="12"/>
      <c r="P52" s="7">
        <v>28925.4</v>
      </c>
      <c r="Q52" s="3"/>
      <c r="R52" s="8">
        <f t="shared" si="32"/>
        <v>29.669815675293105</v>
      </c>
      <c r="S52" s="3"/>
      <c r="T52" s="7"/>
      <c r="U52" s="3"/>
      <c r="V52" s="8">
        <f t="shared" si="33"/>
        <v>0</v>
      </c>
      <c r="W52" s="3"/>
      <c r="X52" s="7">
        <f t="shared" si="34"/>
        <v>28925.4</v>
      </c>
      <c r="Y52" s="3"/>
      <c r="Z52" s="8">
        <f t="shared" si="35"/>
        <v>0</v>
      </c>
    </row>
    <row r="53" spans="1:26" s="24" customFormat="1" hidden="1" outlineLevel="2" x14ac:dyDescent="0.25">
      <c r="A53" s="27"/>
      <c r="B53" s="12" t="str">
        <f>CONCATENATE("          ", "6322", " - ", "EQUIPMENT DEPRECIATION EXPENSE")</f>
        <v xml:space="preserve">          6322 - EQUIPMENT DEPRECIATION EXPENSE</v>
      </c>
      <c r="C53" s="12"/>
      <c r="D53" s="7">
        <v>17621.34</v>
      </c>
      <c r="E53" s="3"/>
      <c r="F53" s="8">
        <f t="shared" si="28"/>
        <v>18.074837677324062</v>
      </c>
      <c r="G53" s="3"/>
      <c r="H53" s="7">
        <v>46691</v>
      </c>
      <c r="I53" s="3"/>
      <c r="J53" s="8">
        <f t="shared" si="29"/>
        <v>10.647890535917902</v>
      </c>
      <c r="K53" s="3"/>
      <c r="L53" s="7">
        <f t="shared" si="30"/>
        <v>-29069.66</v>
      </c>
      <c r="M53" s="3"/>
      <c r="N53" s="8">
        <f t="shared" si="31"/>
        <v>-0.62259664603456766</v>
      </c>
      <c r="O53" s="12"/>
      <c r="P53" s="7">
        <v>17621.34</v>
      </c>
      <c r="Q53" s="3"/>
      <c r="R53" s="8">
        <f t="shared" si="32"/>
        <v>18.074837677324062</v>
      </c>
      <c r="S53" s="3"/>
      <c r="T53" s="7">
        <v>46691</v>
      </c>
      <c r="U53" s="3"/>
      <c r="V53" s="8">
        <f t="shared" si="33"/>
        <v>10.647890535917902</v>
      </c>
      <c r="W53" s="3"/>
      <c r="X53" s="7">
        <f t="shared" si="34"/>
        <v>-29069.66</v>
      </c>
      <c r="Y53" s="3"/>
      <c r="Z53" s="8">
        <f t="shared" si="35"/>
        <v>-0.62259664603456766</v>
      </c>
    </row>
    <row r="54" spans="1:26" s="24" customFormat="1" hidden="1" outlineLevel="2" x14ac:dyDescent="0.25">
      <c r="A54" s="27"/>
      <c r="B54" s="12" t="str">
        <f>CONCATENATE("          ", "6326", " - ", "VEHICLES DEPRECIATION EXPENSE")</f>
        <v xml:space="preserve">          6326 - VEHICLES DEPRECIATION EXPENSE</v>
      </c>
      <c r="C54" s="12"/>
      <c r="D54" s="7"/>
      <c r="E54" s="3"/>
      <c r="F54" s="8">
        <f t="shared" si="28"/>
        <v>0</v>
      </c>
      <c r="G54" s="3"/>
      <c r="H54" s="7">
        <v>550</v>
      </c>
      <c r="I54" s="3"/>
      <c r="J54" s="8">
        <f t="shared" si="29"/>
        <v>0.12542759407069556</v>
      </c>
      <c r="K54" s="3"/>
      <c r="L54" s="7">
        <f t="shared" si="30"/>
        <v>-550</v>
      </c>
      <c r="M54" s="3"/>
      <c r="N54" s="8">
        <f t="shared" si="31"/>
        <v>-1</v>
      </c>
      <c r="O54" s="12"/>
      <c r="P54" s="7"/>
      <c r="Q54" s="3"/>
      <c r="R54" s="8">
        <f t="shared" si="32"/>
        <v>0</v>
      </c>
      <c r="S54" s="3"/>
      <c r="T54" s="7">
        <v>550</v>
      </c>
      <c r="U54" s="3"/>
      <c r="V54" s="8">
        <f t="shared" si="33"/>
        <v>0.12542759407069556</v>
      </c>
      <c r="W54" s="3"/>
      <c r="X54" s="7">
        <f t="shared" si="34"/>
        <v>-550</v>
      </c>
      <c r="Y54" s="3"/>
      <c r="Z54" s="8">
        <f t="shared" si="35"/>
        <v>-1</v>
      </c>
    </row>
    <row r="55" spans="1:26" s="29" customFormat="1" outlineLevel="1" collapsed="1" x14ac:dyDescent="0.25">
      <c r="A55" s="28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SUM(OSRRefD22_6x_0)</f>
        <v>0</v>
      </c>
      <c r="E55" s="1"/>
      <c r="F55" s="5">
        <f t="shared" ref="F55:F69" si="36">IF(D$12=0,0,D55/D$12)</f>
        <v>0</v>
      </c>
      <c r="G55" s="1"/>
      <c r="H55" s="1">
        <f>SUM(OSRRefH22_6x_0)</f>
        <v>0</v>
      </c>
      <c r="I55" s="1"/>
      <c r="J55" s="5">
        <f t="shared" ref="J55:J69" si="37">IF(H$12=0,0,H55/H$12)</f>
        <v>0</v>
      </c>
      <c r="K55" s="1"/>
      <c r="L55" s="1">
        <f t="shared" ref="L55:L69" si="38">+D55-H55</f>
        <v>0</v>
      </c>
      <c r="M55" s="1"/>
      <c r="N55" s="5">
        <f t="shared" ref="N55:N69" si="39">IF(H55=0,0,L55/H55)</f>
        <v>0</v>
      </c>
      <c r="O55" s="14"/>
      <c r="P55" s="1">
        <f>SUM(OSRRefP22_6x_0)</f>
        <v>0</v>
      </c>
      <c r="Q55" s="1"/>
      <c r="R55" s="5">
        <f t="shared" ref="R55:R69" si="40">IF(P$12=0,0,P55/P$12)</f>
        <v>0</v>
      </c>
      <c r="S55" s="1"/>
      <c r="T55" s="1">
        <f>SUM(OSRRefT22_6x_0)</f>
        <v>0</v>
      </c>
      <c r="U55" s="1"/>
      <c r="V55" s="5">
        <f t="shared" ref="V55:V69" si="41">IF(T$12=0,0,T55/T$12)</f>
        <v>0</v>
      </c>
      <c r="W55" s="1"/>
      <c r="X55" s="1">
        <f t="shared" ref="X55:X69" si="42">+P55-T55</f>
        <v>0</v>
      </c>
      <c r="Y55" s="1"/>
      <c r="Z55" s="5">
        <f t="shared" ref="Z55:Z69" si="43">IF(T55=0,0,X55/T55)</f>
        <v>0</v>
      </c>
    </row>
    <row r="56" spans="1:26" s="24" customFormat="1" hidden="1" outlineLevel="2" x14ac:dyDescent="0.25">
      <c r="A56" s="27"/>
      <c r="B56" s="12" t="str">
        <f>CONCATENATE("          ", "6277", " - ", "EMPLOYEE APPRECIATION")</f>
        <v xml:space="preserve">          6277 - EMPLOYEE APPRECIATION</v>
      </c>
      <c r="C56" s="12"/>
      <c r="D56" s="7"/>
      <c r="E56" s="3"/>
      <c r="F56" s="8">
        <f t="shared" si="36"/>
        <v>0</v>
      </c>
      <c r="G56" s="3"/>
      <c r="H56" s="7">
        <v>0</v>
      </c>
      <c r="I56" s="3"/>
      <c r="J56" s="8">
        <f t="shared" si="37"/>
        <v>0</v>
      </c>
      <c r="K56" s="3"/>
      <c r="L56" s="7">
        <f t="shared" si="38"/>
        <v>0</v>
      </c>
      <c r="M56" s="3"/>
      <c r="N56" s="8">
        <f t="shared" si="39"/>
        <v>0</v>
      </c>
      <c r="O56" s="12"/>
      <c r="P56" s="7"/>
      <c r="Q56" s="3"/>
      <c r="R56" s="8">
        <f t="shared" si="40"/>
        <v>0</v>
      </c>
      <c r="S56" s="3"/>
      <c r="T56" s="7">
        <v>0</v>
      </c>
      <c r="U56" s="3"/>
      <c r="V56" s="8">
        <f t="shared" si="41"/>
        <v>0</v>
      </c>
      <c r="W56" s="3"/>
      <c r="X56" s="7">
        <f t="shared" si="42"/>
        <v>0</v>
      </c>
      <c r="Y56" s="3"/>
      <c r="Z56" s="8">
        <f t="shared" si="43"/>
        <v>0</v>
      </c>
    </row>
    <row r="57" spans="1:26" s="29" customFormat="1" outlineLevel="1" collapsed="1" x14ac:dyDescent="0.25">
      <c r="A57" s="28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SUM(OSRRefD22_7x_0)</f>
        <v>868.95</v>
      </c>
      <c r="E57" s="1"/>
      <c r="F57" s="5">
        <f t="shared" si="36"/>
        <v>0.89131304428101066</v>
      </c>
      <c r="G57" s="1"/>
      <c r="H57" s="1">
        <f>SUM(OSRRefH22_7x_0)</f>
        <v>354.33333333333297</v>
      </c>
      <c r="I57" s="1"/>
      <c r="J57" s="5">
        <f t="shared" si="37"/>
        <v>8.0805777270999538E-2</v>
      </c>
      <c r="K57" s="1"/>
      <c r="L57" s="1">
        <f t="shared" si="38"/>
        <v>514.61666666666702</v>
      </c>
      <c r="M57" s="1"/>
      <c r="N57" s="5">
        <f t="shared" si="39"/>
        <v>1.4523518344308586</v>
      </c>
      <c r="O57" s="14"/>
      <c r="P57" s="1">
        <f>SUM(OSRRefP22_7x_0)</f>
        <v>868.95</v>
      </c>
      <c r="Q57" s="1"/>
      <c r="R57" s="5">
        <f t="shared" si="40"/>
        <v>0.89131304428101066</v>
      </c>
      <c r="S57" s="1"/>
      <c r="T57" s="1">
        <f>SUM(OSRRefT22_7x_0)</f>
        <v>354.33333333333297</v>
      </c>
      <c r="U57" s="1"/>
      <c r="V57" s="5">
        <f t="shared" si="41"/>
        <v>8.0805777270999538E-2</v>
      </c>
      <c r="W57" s="1"/>
      <c r="X57" s="1">
        <f t="shared" si="42"/>
        <v>514.61666666666702</v>
      </c>
      <c r="Y57" s="1"/>
      <c r="Z57" s="5">
        <f t="shared" si="43"/>
        <v>1.4523518344308586</v>
      </c>
    </row>
    <row r="58" spans="1:26" s="24" customFormat="1" hidden="1" outlineLevel="2" x14ac:dyDescent="0.25">
      <c r="A58" s="27"/>
      <c r="B58" s="12" t="str">
        <f>CONCATENATE("          ", "6351", " - ", "EQUIPMENT RENTAL")</f>
        <v xml:space="preserve">          6351 - EQUIPMENT RENTAL</v>
      </c>
      <c r="C58" s="12"/>
      <c r="D58" s="7">
        <v>868.95</v>
      </c>
      <c r="E58" s="3"/>
      <c r="F58" s="8">
        <f t="shared" si="36"/>
        <v>0.89131304428101066</v>
      </c>
      <c r="G58" s="3"/>
      <c r="H58" s="7">
        <v>354.33333333333297</v>
      </c>
      <c r="I58" s="3"/>
      <c r="J58" s="8">
        <f t="shared" si="37"/>
        <v>8.0805777270999538E-2</v>
      </c>
      <c r="K58" s="3"/>
      <c r="L58" s="7">
        <f t="shared" si="38"/>
        <v>514.61666666666702</v>
      </c>
      <c r="M58" s="3"/>
      <c r="N58" s="8">
        <f t="shared" si="39"/>
        <v>1.4523518344308586</v>
      </c>
      <c r="O58" s="12"/>
      <c r="P58" s="7">
        <v>868.95</v>
      </c>
      <c r="Q58" s="3"/>
      <c r="R58" s="8">
        <f t="shared" si="40"/>
        <v>0.89131304428101066</v>
      </c>
      <c r="S58" s="3"/>
      <c r="T58" s="7">
        <v>354.33333333333297</v>
      </c>
      <c r="U58" s="3"/>
      <c r="V58" s="8">
        <f t="shared" si="41"/>
        <v>8.0805777270999538E-2</v>
      </c>
      <c r="W58" s="3"/>
      <c r="X58" s="7">
        <f t="shared" si="42"/>
        <v>514.61666666666702</v>
      </c>
      <c r="Y58" s="3"/>
      <c r="Z58" s="8">
        <f t="shared" si="43"/>
        <v>1.4523518344308586</v>
      </c>
    </row>
    <row r="59" spans="1:26" s="29" customFormat="1" outlineLevel="1" collapsed="1" x14ac:dyDescent="0.25">
      <c r="A59" s="28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SUM(OSRRefD22_8x_0)</f>
        <v>5832.3</v>
      </c>
      <c r="E59" s="1"/>
      <c r="F59" s="5">
        <f t="shared" si="36"/>
        <v>5.982398375234637</v>
      </c>
      <c r="G59" s="1"/>
      <c r="H59" s="1">
        <f>SUM(OSRRefH22_8x_0)</f>
        <v>7505</v>
      </c>
      <c r="I59" s="1"/>
      <c r="J59" s="5">
        <f t="shared" si="37"/>
        <v>1.7115165336374003</v>
      </c>
      <c r="K59" s="1"/>
      <c r="L59" s="1">
        <f t="shared" si="38"/>
        <v>-1672.6999999999998</v>
      </c>
      <c r="M59" s="1"/>
      <c r="N59" s="5">
        <f t="shared" si="39"/>
        <v>-0.22287808127914721</v>
      </c>
      <c r="O59" s="14"/>
      <c r="P59" s="1">
        <f>SUM(OSRRefP22_8x_0)</f>
        <v>5832.3</v>
      </c>
      <c r="Q59" s="1"/>
      <c r="R59" s="5">
        <f t="shared" si="40"/>
        <v>5.982398375234637</v>
      </c>
      <c r="S59" s="1"/>
      <c r="T59" s="1">
        <f>SUM(OSRRefT22_8x_0)</f>
        <v>7505</v>
      </c>
      <c r="U59" s="1"/>
      <c r="V59" s="5">
        <f t="shared" si="41"/>
        <v>1.7115165336374003</v>
      </c>
      <c r="W59" s="1"/>
      <c r="X59" s="1">
        <f t="shared" si="42"/>
        <v>-1672.6999999999998</v>
      </c>
      <c r="Y59" s="1"/>
      <c r="Z59" s="5">
        <f t="shared" si="43"/>
        <v>-0.22287808127914721</v>
      </c>
    </row>
    <row r="60" spans="1:26" s="24" customFormat="1" hidden="1" outlineLevel="2" x14ac:dyDescent="0.25">
      <c r="A60" s="27"/>
      <c r="B60" s="12" t="str">
        <f>CONCATENATE("          ", "6279", " - ", "GENERAL EXPENSE")</f>
        <v xml:space="preserve">          6279 - GENERAL EXPENSE</v>
      </c>
      <c r="C60" s="12"/>
      <c r="D60" s="7">
        <v>5832.3</v>
      </c>
      <c r="E60" s="3"/>
      <c r="F60" s="8">
        <f t="shared" si="36"/>
        <v>5.982398375234637</v>
      </c>
      <c r="G60" s="3"/>
      <c r="H60" s="7">
        <v>7505</v>
      </c>
      <c r="I60" s="3"/>
      <c r="J60" s="8">
        <f t="shared" si="37"/>
        <v>1.7115165336374003</v>
      </c>
      <c r="K60" s="3"/>
      <c r="L60" s="7">
        <f t="shared" si="38"/>
        <v>-1672.6999999999998</v>
      </c>
      <c r="M60" s="3"/>
      <c r="N60" s="8">
        <f t="shared" si="39"/>
        <v>-0.22287808127914721</v>
      </c>
      <c r="O60" s="12"/>
      <c r="P60" s="7">
        <v>5832.3</v>
      </c>
      <c r="Q60" s="3"/>
      <c r="R60" s="8">
        <f t="shared" si="40"/>
        <v>5.982398375234637</v>
      </c>
      <c r="S60" s="3"/>
      <c r="T60" s="7">
        <v>7505</v>
      </c>
      <c r="U60" s="3"/>
      <c r="V60" s="8">
        <f t="shared" si="41"/>
        <v>1.7115165336374003</v>
      </c>
      <c r="W60" s="3"/>
      <c r="X60" s="7">
        <f t="shared" si="42"/>
        <v>-1672.6999999999998</v>
      </c>
      <c r="Y60" s="3"/>
      <c r="Z60" s="8">
        <f t="shared" si="43"/>
        <v>-0.22287808127914721</v>
      </c>
    </row>
    <row r="61" spans="1:26" s="29" customFormat="1" outlineLevel="1" collapsed="1" x14ac:dyDescent="0.25">
      <c r="A61" s="28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SUM(OSRRefD22_9x_0)</f>
        <v>4483.67</v>
      </c>
      <c r="E61" s="1"/>
      <c r="F61" s="5">
        <f t="shared" si="36"/>
        <v>4.5990604260906141</v>
      </c>
      <c r="G61" s="1"/>
      <c r="H61" s="1">
        <f>SUM(OSRRefH22_9x_0)</f>
        <v>4835</v>
      </c>
      <c r="I61" s="1"/>
      <c r="J61" s="5">
        <f t="shared" si="37"/>
        <v>1.1026225769669327</v>
      </c>
      <c r="K61" s="1"/>
      <c r="L61" s="1">
        <f t="shared" si="38"/>
        <v>-351.32999999999993</v>
      </c>
      <c r="M61" s="1"/>
      <c r="N61" s="5">
        <f t="shared" si="39"/>
        <v>-7.2663908996897605E-2</v>
      </c>
      <c r="O61" s="14"/>
      <c r="P61" s="1">
        <f>SUM(OSRRefP22_9x_0)</f>
        <v>4483.67</v>
      </c>
      <c r="Q61" s="1"/>
      <c r="R61" s="5">
        <f t="shared" si="40"/>
        <v>4.5990604260906141</v>
      </c>
      <c r="S61" s="1"/>
      <c r="T61" s="1">
        <f>SUM(OSRRefT22_9x_0)</f>
        <v>4835</v>
      </c>
      <c r="U61" s="1"/>
      <c r="V61" s="5">
        <f t="shared" si="41"/>
        <v>1.1026225769669327</v>
      </c>
      <c r="W61" s="1"/>
      <c r="X61" s="1">
        <f t="shared" si="42"/>
        <v>-351.32999999999993</v>
      </c>
      <c r="Y61" s="1"/>
      <c r="Z61" s="5">
        <f t="shared" si="43"/>
        <v>-7.2663908996897605E-2</v>
      </c>
    </row>
    <row r="62" spans="1:26" s="24" customFormat="1" hidden="1" outlineLevel="2" x14ac:dyDescent="0.25">
      <c r="A62" s="27"/>
      <c r="B62" s="12" t="str">
        <f>CONCATENATE("          ", "6314", " - ", "LIABILITY INSURANCE")</f>
        <v xml:space="preserve">          6314 - LIABILITY INSURANCE</v>
      </c>
      <c r="C62" s="12"/>
      <c r="D62" s="7">
        <v>4483.67</v>
      </c>
      <c r="E62" s="3"/>
      <c r="F62" s="8">
        <f t="shared" si="36"/>
        <v>4.5990604260906141</v>
      </c>
      <c r="G62" s="3"/>
      <c r="H62" s="7">
        <v>4835</v>
      </c>
      <c r="I62" s="3"/>
      <c r="J62" s="8">
        <f t="shared" si="37"/>
        <v>1.1026225769669327</v>
      </c>
      <c r="K62" s="3"/>
      <c r="L62" s="7">
        <f t="shared" si="38"/>
        <v>-351.32999999999993</v>
      </c>
      <c r="M62" s="3"/>
      <c r="N62" s="8">
        <f t="shared" si="39"/>
        <v>-7.2663908996897605E-2</v>
      </c>
      <c r="O62" s="12"/>
      <c r="P62" s="7">
        <v>4483.67</v>
      </c>
      <c r="Q62" s="3"/>
      <c r="R62" s="8">
        <f t="shared" si="40"/>
        <v>4.5990604260906141</v>
      </c>
      <c r="S62" s="3"/>
      <c r="T62" s="7">
        <v>4835</v>
      </c>
      <c r="U62" s="3"/>
      <c r="V62" s="8">
        <f t="shared" si="41"/>
        <v>1.1026225769669327</v>
      </c>
      <c r="W62" s="3"/>
      <c r="X62" s="7">
        <f t="shared" si="42"/>
        <v>-351.32999999999993</v>
      </c>
      <c r="Y62" s="3"/>
      <c r="Z62" s="8">
        <f t="shared" si="43"/>
        <v>-7.2663908996897605E-2</v>
      </c>
    </row>
    <row r="63" spans="1:26" s="29" customFormat="1" outlineLevel="1" collapsed="1" x14ac:dyDescent="0.25">
      <c r="A63" s="28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SUM(OSRRefD22_10x_0)</f>
        <v>11554</v>
      </c>
      <c r="E63" s="1"/>
      <c r="F63" s="5">
        <f t="shared" si="36"/>
        <v>11.851350381060817</v>
      </c>
      <c r="G63" s="1"/>
      <c r="H63" s="1">
        <f>SUM(OSRRefH22_10x_0)</f>
        <v>11554</v>
      </c>
      <c r="I63" s="1"/>
      <c r="J63" s="5">
        <f t="shared" si="37"/>
        <v>2.6348916761687571</v>
      </c>
      <c r="K63" s="1"/>
      <c r="L63" s="1">
        <f t="shared" si="38"/>
        <v>0</v>
      </c>
      <c r="M63" s="1"/>
      <c r="N63" s="5">
        <f t="shared" si="39"/>
        <v>0</v>
      </c>
      <c r="O63" s="14"/>
      <c r="P63" s="1">
        <f>SUM(OSRRefP22_10x_0)</f>
        <v>11554</v>
      </c>
      <c r="Q63" s="1"/>
      <c r="R63" s="5">
        <f t="shared" si="40"/>
        <v>11.851350381060817</v>
      </c>
      <c r="S63" s="1"/>
      <c r="T63" s="1">
        <f>SUM(OSRRefT22_10x_0)</f>
        <v>11554</v>
      </c>
      <c r="U63" s="1"/>
      <c r="V63" s="5">
        <f t="shared" si="41"/>
        <v>2.6348916761687571</v>
      </c>
      <c r="W63" s="1"/>
      <c r="X63" s="1">
        <f t="shared" si="42"/>
        <v>0</v>
      </c>
      <c r="Y63" s="1"/>
      <c r="Z63" s="5">
        <f t="shared" si="43"/>
        <v>0</v>
      </c>
    </row>
    <row r="64" spans="1:26" s="24" customFormat="1" hidden="1" outlineLevel="2" x14ac:dyDescent="0.25">
      <c r="A64" s="27"/>
      <c r="B64" s="12" t="str">
        <f>CONCATENATE("          ", "6401", " - ", "INTEREST EXPENSE")</f>
        <v xml:space="preserve">          6401 - INTEREST EXPENSE</v>
      </c>
      <c r="C64" s="12"/>
      <c r="D64" s="7">
        <v>11554</v>
      </c>
      <c r="E64" s="3"/>
      <c r="F64" s="8">
        <f t="shared" si="36"/>
        <v>11.851350381060817</v>
      </c>
      <c r="G64" s="3"/>
      <c r="H64" s="7">
        <v>11554</v>
      </c>
      <c r="I64" s="3"/>
      <c r="J64" s="8">
        <f t="shared" si="37"/>
        <v>2.6348916761687571</v>
      </c>
      <c r="K64" s="3"/>
      <c r="L64" s="7">
        <f t="shared" si="38"/>
        <v>0</v>
      </c>
      <c r="M64" s="3"/>
      <c r="N64" s="8">
        <f t="shared" si="39"/>
        <v>0</v>
      </c>
      <c r="O64" s="12"/>
      <c r="P64" s="7">
        <v>11554</v>
      </c>
      <c r="Q64" s="3"/>
      <c r="R64" s="8">
        <f t="shared" si="40"/>
        <v>11.851350381060817</v>
      </c>
      <c r="S64" s="3"/>
      <c r="T64" s="7">
        <v>11554</v>
      </c>
      <c r="U64" s="3"/>
      <c r="V64" s="8">
        <f t="shared" si="41"/>
        <v>2.6348916761687571</v>
      </c>
      <c r="W64" s="3"/>
      <c r="X64" s="7">
        <f t="shared" si="42"/>
        <v>0</v>
      </c>
      <c r="Y64" s="3"/>
      <c r="Z64" s="8">
        <f t="shared" si="43"/>
        <v>0</v>
      </c>
    </row>
    <row r="65" spans="1:26" s="29" customFormat="1" outlineLevel="1" collapsed="1" x14ac:dyDescent="0.25">
      <c r="A65" s="28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SUM(OSRRefD22_11x_0)</f>
        <v>0</v>
      </c>
      <c r="E65" s="1"/>
      <c r="F65" s="5">
        <f t="shared" si="36"/>
        <v>0</v>
      </c>
      <c r="G65" s="1"/>
      <c r="H65" s="1">
        <f>SUM(OSRRefH22_11x_0)</f>
        <v>1943</v>
      </c>
      <c r="I65" s="1"/>
      <c r="J65" s="5">
        <f t="shared" si="37"/>
        <v>0.44310148232611174</v>
      </c>
      <c r="K65" s="1"/>
      <c r="L65" s="1">
        <f t="shared" si="38"/>
        <v>-1943</v>
      </c>
      <c r="M65" s="1"/>
      <c r="N65" s="5">
        <f t="shared" si="39"/>
        <v>-1</v>
      </c>
      <c r="O65" s="14"/>
      <c r="P65" s="1">
        <f>SUM(OSRRefP22_11x_0)</f>
        <v>0</v>
      </c>
      <c r="Q65" s="1"/>
      <c r="R65" s="5">
        <f t="shared" si="40"/>
        <v>0</v>
      </c>
      <c r="S65" s="1"/>
      <c r="T65" s="1">
        <f>SUM(OSRRefT22_11x_0)</f>
        <v>1943</v>
      </c>
      <c r="U65" s="1"/>
      <c r="V65" s="5">
        <f t="shared" si="41"/>
        <v>0.44310148232611174</v>
      </c>
      <c r="W65" s="1"/>
      <c r="X65" s="1">
        <f t="shared" si="42"/>
        <v>-1943</v>
      </c>
      <c r="Y65" s="1"/>
      <c r="Z65" s="5">
        <f t="shared" si="43"/>
        <v>-1</v>
      </c>
    </row>
    <row r="66" spans="1:26" s="24" customFormat="1" hidden="1" outlineLevel="2" x14ac:dyDescent="0.25">
      <c r="A66" s="27"/>
      <c r="B66" s="12" t="str">
        <f>CONCATENATE("          ", "6273", " - ", "RENT")</f>
        <v xml:space="preserve">          6273 - RENT</v>
      </c>
      <c r="C66" s="12"/>
      <c r="D66" s="7"/>
      <c r="E66" s="3"/>
      <c r="F66" s="8">
        <f t="shared" si="36"/>
        <v>0</v>
      </c>
      <c r="G66" s="3"/>
      <c r="H66" s="7">
        <v>1943</v>
      </c>
      <c r="I66" s="3"/>
      <c r="J66" s="8">
        <f t="shared" si="37"/>
        <v>0.44310148232611174</v>
      </c>
      <c r="K66" s="3"/>
      <c r="L66" s="7">
        <f t="shared" si="38"/>
        <v>-1943</v>
      </c>
      <c r="M66" s="3"/>
      <c r="N66" s="8">
        <f t="shared" si="39"/>
        <v>-1</v>
      </c>
      <c r="O66" s="12"/>
      <c r="P66" s="7"/>
      <c r="Q66" s="3"/>
      <c r="R66" s="8">
        <f t="shared" si="40"/>
        <v>0</v>
      </c>
      <c r="S66" s="3"/>
      <c r="T66" s="7">
        <v>1943</v>
      </c>
      <c r="U66" s="3"/>
      <c r="V66" s="8">
        <f t="shared" si="41"/>
        <v>0.44310148232611174</v>
      </c>
      <c r="W66" s="3"/>
      <c r="X66" s="7">
        <f t="shared" si="42"/>
        <v>-1943</v>
      </c>
      <c r="Y66" s="3"/>
      <c r="Z66" s="8">
        <f t="shared" si="43"/>
        <v>-1</v>
      </c>
    </row>
    <row r="67" spans="1:26" s="29" customFormat="1" outlineLevel="1" collapsed="1" x14ac:dyDescent="0.25">
      <c r="A67" s="28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SUM(OSRRefD22_12x_0)</f>
        <v>4224.41</v>
      </c>
      <c r="E67" s="1"/>
      <c r="F67" s="5">
        <f t="shared" si="36"/>
        <v>4.333128186191546</v>
      </c>
      <c r="G67" s="1"/>
      <c r="H67" s="1">
        <f>SUM(OSRRefH22_12x_0)</f>
        <v>912</v>
      </c>
      <c r="I67" s="1"/>
      <c r="J67" s="5">
        <f t="shared" si="37"/>
        <v>0.20798175598631699</v>
      </c>
      <c r="K67" s="1"/>
      <c r="L67" s="1">
        <f t="shared" si="38"/>
        <v>3312.41</v>
      </c>
      <c r="M67" s="1"/>
      <c r="N67" s="5">
        <f t="shared" si="39"/>
        <v>3.6320285087719295</v>
      </c>
      <c r="O67" s="14"/>
      <c r="P67" s="1">
        <f>SUM(OSRRefP22_12x_0)</f>
        <v>4224.41</v>
      </c>
      <c r="Q67" s="1"/>
      <c r="R67" s="5">
        <f t="shared" si="40"/>
        <v>4.333128186191546</v>
      </c>
      <c r="S67" s="1"/>
      <c r="T67" s="1">
        <f>SUM(OSRRefT22_12x_0)</f>
        <v>912</v>
      </c>
      <c r="U67" s="1"/>
      <c r="V67" s="5">
        <f t="shared" si="41"/>
        <v>0.20798175598631699</v>
      </c>
      <c r="W67" s="1"/>
      <c r="X67" s="1">
        <f t="shared" si="42"/>
        <v>3312.41</v>
      </c>
      <c r="Y67" s="1"/>
      <c r="Z67" s="5">
        <f t="shared" si="43"/>
        <v>3.6320285087719295</v>
      </c>
    </row>
    <row r="68" spans="1:26" s="24" customFormat="1" hidden="1" outlineLevel="2" x14ac:dyDescent="0.25">
      <c r="A68" s="27"/>
      <c r="B68" s="12" t="str">
        <f>CONCATENATE("          ", "6373", " - ", "MAINTENANCE CONTRACTS")</f>
        <v xml:space="preserve">          6373 - MAINTENANCE CONTRACTS</v>
      </c>
      <c r="C68" s="12"/>
      <c r="D68" s="7">
        <v>2353.59</v>
      </c>
      <c r="E68" s="3"/>
      <c r="F68" s="8">
        <f t="shared" si="36"/>
        <v>2.4141613071975878</v>
      </c>
      <c r="G68" s="3"/>
      <c r="H68" s="7">
        <v>0</v>
      </c>
      <c r="I68" s="3"/>
      <c r="J68" s="8">
        <f t="shared" si="37"/>
        <v>0</v>
      </c>
      <c r="K68" s="3"/>
      <c r="L68" s="7">
        <f t="shared" si="38"/>
        <v>2353.59</v>
      </c>
      <c r="M68" s="3"/>
      <c r="N68" s="8">
        <f t="shared" si="39"/>
        <v>0</v>
      </c>
      <c r="O68" s="12"/>
      <c r="P68" s="7">
        <v>2353.59</v>
      </c>
      <c r="Q68" s="3"/>
      <c r="R68" s="8">
        <f t="shared" si="40"/>
        <v>2.4141613071975878</v>
      </c>
      <c r="S68" s="3"/>
      <c r="T68" s="7">
        <v>0</v>
      </c>
      <c r="U68" s="3"/>
      <c r="V68" s="8">
        <f t="shared" si="41"/>
        <v>0</v>
      </c>
      <c r="W68" s="3"/>
      <c r="X68" s="7">
        <f t="shared" si="42"/>
        <v>2353.59</v>
      </c>
      <c r="Y68" s="3"/>
      <c r="Z68" s="8">
        <f t="shared" si="43"/>
        <v>0</v>
      </c>
    </row>
    <row r="69" spans="1:26" s="24" customFormat="1" hidden="1" outlineLevel="2" x14ac:dyDescent="0.25">
      <c r="A69" s="27"/>
      <c r="B69" s="12" t="str">
        <f>CONCATENATE("          ", "6375", " - ", "OUTSIDE REPAIRS &amp; MAINTENANCE")</f>
        <v xml:space="preserve">          6375 - OUTSIDE REPAIRS &amp; MAINTENANCE</v>
      </c>
      <c r="C69" s="12"/>
      <c r="D69" s="7">
        <v>1870.82</v>
      </c>
      <c r="E69" s="3"/>
      <c r="F69" s="8">
        <f t="shared" si="36"/>
        <v>1.9189668789939585</v>
      </c>
      <c r="G69" s="3"/>
      <c r="H69" s="7">
        <v>912</v>
      </c>
      <c r="I69" s="3"/>
      <c r="J69" s="8">
        <f t="shared" si="37"/>
        <v>0.20798175598631699</v>
      </c>
      <c r="K69" s="3"/>
      <c r="L69" s="7">
        <f t="shared" si="38"/>
        <v>958.81999999999994</v>
      </c>
      <c r="M69" s="3"/>
      <c r="N69" s="8">
        <f t="shared" si="39"/>
        <v>1.0513377192982456</v>
      </c>
      <c r="O69" s="12"/>
      <c r="P69" s="7">
        <v>1870.82</v>
      </c>
      <c r="Q69" s="3"/>
      <c r="R69" s="8">
        <f t="shared" si="40"/>
        <v>1.9189668789939585</v>
      </c>
      <c r="S69" s="3"/>
      <c r="T69" s="7">
        <v>912</v>
      </c>
      <c r="U69" s="3"/>
      <c r="V69" s="8">
        <f t="shared" si="41"/>
        <v>0.20798175598631699</v>
      </c>
      <c r="W69" s="3"/>
      <c r="X69" s="7">
        <f t="shared" si="42"/>
        <v>958.81999999999994</v>
      </c>
      <c r="Y69" s="3"/>
      <c r="Z69" s="8">
        <f t="shared" si="43"/>
        <v>1.0513377192982456</v>
      </c>
    </row>
    <row r="70" spans="1:26" s="29" customFormat="1" outlineLevel="1" collapsed="1" x14ac:dyDescent="0.25">
      <c r="A70" s="28"/>
      <c r="B70" s="14" t="str">
        <f>CONCATENATE("     ","Royalty &amp; Commissions                             ")</f>
        <v xml:space="preserve">     Royalty &amp; Commissions                             </v>
      </c>
      <c r="C70" s="14"/>
      <c r="D70" s="1">
        <f>SUM(OSRRefD22_13x_0)</f>
        <v>0</v>
      </c>
      <c r="E70" s="1"/>
      <c r="F70" s="5">
        <f t="shared" ref="F70:F72" si="44">IF(D$12=0,0,D70/D$12)</f>
        <v>0</v>
      </c>
      <c r="G70" s="1"/>
      <c r="H70" s="1">
        <f>SUM(OSRRefH22_13x_0)</f>
        <v>0</v>
      </c>
      <c r="I70" s="1"/>
      <c r="J70" s="5">
        <f t="shared" ref="J70:J72" si="45">IF(H$12=0,0,H70/H$12)</f>
        <v>0</v>
      </c>
      <c r="K70" s="1"/>
      <c r="L70" s="1">
        <f t="shared" ref="L70:L72" si="46">+D70-H70</f>
        <v>0</v>
      </c>
      <c r="M70" s="1"/>
      <c r="N70" s="5">
        <f t="shared" ref="N70:N72" si="47">IF(H70=0,0,L70/H70)</f>
        <v>0</v>
      </c>
      <c r="O70" s="14"/>
      <c r="P70" s="1">
        <f>SUM(OSRRefP22_13x_0)</f>
        <v>0</v>
      </c>
      <c r="Q70" s="1"/>
      <c r="R70" s="5">
        <f t="shared" ref="R70:R72" si="48">IF(P$12=0,0,P70/P$12)</f>
        <v>0</v>
      </c>
      <c r="S70" s="1"/>
      <c r="T70" s="1">
        <f>SUM(OSRRefT22_13x_0)</f>
        <v>0</v>
      </c>
      <c r="U70" s="1"/>
      <c r="V70" s="5">
        <f t="shared" ref="V70:V72" si="49">IF(T$12=0,0,T70/T$12)</f>
        <v>0</v>
      </c>
      <c r="W70" s="1"/>
      <c r="X70" s="1">
        <f t="shared" ref="X70:X72" si="50">+P70-T70</f>
        <v>0</v>
      </c>
      <c r="Y70" s="1"/>
      <c r="Z70" s="5">
        <f t="shared" ref="Z70:Z72" si="51">IF(T70=0,0,X70/T70)</f>
        <v>0</v>
      </c>
    </row>
    <row r="71" spans="1:26" s="24" customFormat="1" hidden="1" outlineLevel="2" x14ac:dyDescent="0.25">
      <c r="A71" s="27"/>
      <c r="B71" s="12" t="str">
        <f>CONCATENATE("          ", "6254", " - ", "ROYALTY &amp; COMMISSIONS")</f>
        <v xml:space="preserve">          6254 - ROYALTY &amp; COMMISSIONS</v>
      </c>
      <c r="C71" s="12"/>
      <c r="D71" s="7"/>
      <c r="E71" s="3"/>
      <c r="F71" s="8">
        <f t="shared" si="44"/>
        <v>0</v>
      </c>
      <c r="G71" s="3"/>
      <c r="H71" s="7">
        <v>0</v>
      </c>
      <c r="I71" s="3"/>
      <c r="J71" s="8">
        <f t="shared" si="45"/>
        <v>0</v>
      </c>
      <c r="K71" s="3"/>
      <c r="L71" s="7">
        <f t="shared" si="46"/>
        <v>0</v>
      </c>
      <c r="M71" s="3"/>
      <c r="N71" s="8">
        <f t="shared" si="47"/>
        <v>0</v>
      </c>
      <c r="O71" s="12"/>
      <c r="P71" s="7"/>
      <c r="Q71" s="3"/>
      <c r="R71" s="8">
        <f t="shared" si="48"/>
        <v>0</v>
      </c>
      <c r="S71" s="3"/>
      <c r="T71" s="7">
        <v>0</v>
      </c>
      <c r="U71" s="3"/>
      <c r="V71" s="8">
        <f t="shared" si="49"/>
        <v>0</v>
      </c>
      <c r="W71" s="3"/>
      <c r="X71" s="7">
        <f t="shared" si="50"/>
        <v>0</v>
      </c>
      <c r="Y71" s="3"/>
      <c r="Z71" s="8">
        <f t="shared" si="51"/>
        <v>0</v>
      </c>
    </row>
    <row r="72" spans="1:26" s="24" customFormat="1" hidden="1" outlineLevel="2" x14ac:dyDescent="0.25">
      <c r="A72" s="27"/>
      <c r="B72" s="12" t="str">
        <f>CONCATENATE("          ", "6259", " - ", "ROYALTY &amp; COMMISSIONS")</f>
        <v xml:space="preserve">          6259 - ROYALTY &amp; COMMISSIONS</v>
      </c>
      <c r="C72" s="12"/>
      <c r="D72" s="7"/>
      <c r="E72" s="3"/>
      <c r="F72" s="8">
        <f t="shared" si="44"/>
        <v>0</v>
      </c>
      <c r="G72" s="3"/>
      <c r="H72" s="7">
        <v>0</v>
      </c>
      <c r="I72" s="3"/>
      <c r="J72" s="8">
        <f t="shared" si="45"/>
        <v>0</v>
      </c>
      <c r="K72" s="3"/>
      <c r="L72" s="7">
        <f t="shared" si="46"/>
        <v>0</v>
      </c>
      <c r="M72" s="3"/>
      <c r="N72" s="8">
        <f t="shared" si="47"/>
        <v>0</v>
      </c>
      <c r="O72" s="12"/>
      <c r="P72" s="7"/>
      <c r="Q72" s="3"/>
      <c r="R72" s="8">
        <f t="shared" si="48"/>
        <v>0</v>
      </c>
      <c r="S72" s="3"/>
      <c r="T72" s="7">
        <v>0</v>
      </c>
      <c r="U72" s="3"/>
      <c r="V72" s="8">
        <f t="shared" si="49"/>
        <v>0</v>
      </c>
      <c r="W72" s="3"/>
      <c r="X72" s="7">
        <f t="shared" si="50"/>
        <v>0</v>
      </c>
      <c r="Y72" s="3"/>
      <c r="Z72" s="8">
        <f t="shared" si="51"/>
        <v>0</v>
      </c>
    </row>
    <row r="73" spans="1:26" s="29" customFormat="1" outlineLevel="1" collapsed="1" x14ac:dyDescent="0.25">
      <c r="A73" s="28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SUM(OSRRefD22_14x_0)</f>
        <v>802.59999999999991</v>
      </c>
      <c r="E73" s="1"/>
      <c r="F73" s="5">
        <f t="shared" ref="F73:F78" si="52">IF(D$12=0,0,D73/D$12)</f>
        <v>0.82325547999302495</v>
      </c>
      <c r="G73" s="1"/>
      <c r="H73" s="1">
        <f>SUM(OSRRefH22_14x_0)</f>
        <v>6480</v>
      </c>
      <c r="I73" s="1"/>
      <c r="J73" s="5">
        <f t="shared" ref="J73:J78" si="53">IF(H$12=0,0,H73/H$12)</f>
        <v>1.4777651083238312</v>
      </c>
      <c r="K73" s="1"/>
      <c r="L73" s="1">
        <f t="shared" ref="L73:L78" si="54">+D73-H73</f>
        <v>-5677.4</v>
      </c>
      <c r="M73" s="1"/>
      <c r="N73" s="5">
        <f t="shared" ref="N73:N78" si="55">IF(H73=0,0,L73/H73)</f>
        <v>-0.87614197530864191</v>
      </c>
      <c r="O73" s="14"/>
      <c r="P73" s="1">
        <f>SUM(OSRRefP22_14x_0)</f>
        <v>802.59999999999991</v>
      </c>
      <c r="Q73" s="1"/>
      <c r="R73" s="5">
        <f t="shared" ref="R73:R78" si="56">IF(P$12=0,0,P73/P$12)</f>
        <v>0.82325547999302495</v>
      </c>
      <c r="S73" s="1"/>
      <c r="T73" s="1">
        <f>SUM(OSRRefT22_14x_0)</f>
        <v>6480</v>
      </c>
      <c r="U73" s="1"/>
      <c r="V73" s="5">
        <f t="shared" ref="V73:V78" si="57">IF(T$12=0,0,T73/T$12)</f>
        <v>1.4777651083238312</v>
      </c>
      <c r="W73" s="1"/>
      <c r="X73" s="1">
        <f t="shared" ref="X73:X78" si="58">+P73-T73</f>
        <v>-5677.4</v>
      </c>
      <c r="Y73" s="1"/>
      <c r="Z73" s="5">
        <f t="shared" ref="Z73:Z78" si="59">IF(T73=0,0,X73/T73)</f>
        <v>-0.87614197530864191</v>
      </c>
    </row>
    <row r="74" spans="1:26" s="24" customFormat="1" hidden="1" outlineLevel="2" x14ac:dyDescent="0.25">
      <c r="A74" s="27"/>
      <c r="B74" s="12" t="str">
        <f>CONCATENATE("          ", "6282", " - ", "JANITORIAL/EXTERMINATOR EXPENS")</f>
        <v xml:space="preserve">          6282 - JANITORIAL/EXTERMINATOR EXPENS</v>
      </c>
      <c r="C74" s="12"/>
      <c r="D74" s="7">
        <v>286.62</v>
      </c>
      <c r="E74" s="3"/>
      <c r="F74" s="8">
        <f t="shared" si="52"/>
        <v>0.29399636889559039</v>
      </c>
      <c r="G74" s="3"/>
      <c r="H74" s="7">
        <v>1112</v>
      </c>
      <c r="I74" s="3"/>
      <c r="J74" s="8">
        <f t="shared" si="53"/>
        <v>0.25359179019384265</v>
      </c>
      <c r="K74" s="3"/>
      <c r="L74" s="7">
        <f t="shared" si="54"/>
        <v>-825.38</v>
      </c>
      <c r="M74" s="3"/>
      <c r="N74" s="8">
        <f t="shared" si="55"/>
        <v>-0.74224820143884895</v>
      </c>
      <c r="O74" s="12"/>
      <c r="P74" s="7">
        <v>286.62</v>
      </c>
      <c r="Q74" s="3"/>
      <c r="R74" s="8">
        <f t="shared" si="56"/>
        <v>0.29399636889559039</v>
      </c>
      <c r="S74" s="3"/>
      <c r="T74" s="7">
        <v>1112</v>
      </c>
      <c r="U74" s="3"/>
      <c r="V74" s="8">
        <f t="shared" si="57"/>
        <v>0.25359179019384265</v>
      </c>
      <c r="W74" s="3"/>
      <c r="X74" s="7">
        <f t="shared" si="58"/>
        <v>-825.38</v>
      </c>
      <c r="Y74" s="3"/>
      <c r="Z74" s="8">
        <f t="shared" si="59"/>
        <v>-0.74224820143884895</v>
      </c>
    </row>
    <row r="75" spans="1:26" s="24" customFormat="1" hidden="1" outlineLevel="2" x14ac:dyDescent="0.25">
      <c r="A75" s="27"/>
      <c r="B75" s="12" t="str">
        <f>CONCATENATE("          ", "6283", " - ", "PLANT SERVICE")</f>
        <v xml:space="preserve">          6283 - PLANT SERVICE</v>
      </c>
      <c r="C75" s="12"/>
      <c r="D75" s="7"/>
      <c r="E75" s="3"/>
      <c r="F75" s="8">
        <f t="shared" si="52"/>
        <v>0</v>
      </c>
      <c r="G75" s="3"/>
      <c r="H75" s="7">
        <v>62</v>
      </c>
      <c r="I75" s="3"/>
      <c r="J75" s="8">
        <f t="shared" si="53"/>
        <v>1.4139110604332953E-2</v>
      </c>
      <c r="K75" s="3"/>
      <c r="L75" s="7">
        <f t="shared" si="54"/>
        <v>-62</v>
      </c>
      <c r="M75" s="3"/>
      <c r="N75" s="8">
        <f t="shared" si="55"/>
        <v>-1</v>
      </c>
      <c r="O75" s="12"/>
      <c r="P75" s="7"/>
      <c r="Q75" s="3"/>
      <c r="R75" s="8">
        <f t="shared" si="56"/>
        <v>0</v>
      </c>
      <c r="S75" s="3"/>
      <c r="T75" s="7">
        <v>62</v>
      </c>
      <c r="U75" s="3"/>
      <c r="V75" s="8">
        <f t="shared" si="57"/>
        <v>1.4139110604332953E-2</v>
      </c>
      <c r="W75" s="3"/>
      <c r="X75" s="7">
        <f t="shared" si="58"/>
        <v>-62</v>
      </c>
      <c r="Y75" s="3"/>
      <c r="Z75" s="8">
        <f t="shared" si="59"/>
        <v>-1</v>
      </c>
    </row>
    <row r="76" spans="1:26" s="24" customFormat="1" hidden="1" outlineLevel="2" x14ac:dyDescent="0.25">
      <c r="A76" s="27"/>
      <c r="B76" s="12" t="str">
        <f>CONCATENATE("          ", "6284", " - ", "TRASH REMOVAL EXPENSE")</f>
        <v xml:space="preserve">          6284 - TRASH REMOVAL EXPENSE</v>
      </c>
      <c r="C76" s="12"/>
      <c r="D76" s="7">
        <v>1000</v>
      </c>
      <c r="E76" s="3"/>
      <c r="F76" s="8">
        <f t="shared" si="52"/>
        <v>1.0257357089372352</v>
      </c>
      <c r="G76" s="3"/>
      <c r="H76" s="7">
        <v>2060</v>
      </c>
      <c r="I76" s="3"/>
      <c r="J76" s="8">
        <f t="shared" si="53"/>
        <v>0.46978335233751423</v>
      </c>
      <c r="K76" s="3"/>
      <c r="L76" s="7">
        <f t="shared" si="54"/>
        <v>-1060</v>
      </c>
      <c r="M76" s="3"/>
      <c r="N76" s="8">
        <f t="shared" si="55"/>
        <v>-0.5145631067961165</v>
      </c>
      <c r="O76" s="12"/>
      <c r="P76" s="7">
        <v>1000</v>
      </c>
      <c r="Q76" s="3"/>
      <c r="R76" s="8">
        <f t="shared" si="56"/>
        <v>1.0257357089372352</v>
      </c>
      <c r="S76" s="3"/>
      <c r="T76" s="7">
        <v>2060</v>
      </c>
      <c r="U76" s="3"/>
      <c r="V76" s="8">
        <f t="shared" si="57"/>
        <v>0.46978335233751423</v>
      </c>
      <c r="W76" s="3"/>
      <c r="X76" s="7">
        <f t="shared" si="58"/>
        <v>-1060</v>
      </c>
      <c r="Y76" s="3"/>
      <c r="Z76" s="8">
        <f t="shared" si="59"/>
        <v>-0.5145631067961165</v>
      </c>
    </row>
    <row r="77" spans="1:26" s="24" customFormat="1" hidden="1" outlineLevel="2" x14ac:dyDescent="0.25">
      <c r="A77" s="27"/>
      <c r="B77" s="12" t="str">
        <f>CONCATENATE("          ", "6285", " - ", "JANITORIAL SERVICES")</f>
        <v xml:space="preserve">          6285 - JANITORIAL SERVICES</v>
      </c>
      <c r="C77" s="12"/>
      <c r="D77" s="7">
        <v>-804.6</v>
      </c>
      <c r="E77" s="3"/>
      <c r="F77" s="8">
        <f t="shared" si="52"/>
        <v>-0.82530695141089949</v>
      </c>
      <c r="G77" s="3"/>
      <c r="H77" s="7">
        <v>3204</v>
      </c>
      <c r="I77" s="3"/>
      <c r="J77" s="8">
        <f t="shared" si="53"/>
        <v>0.73067274800456106</v>
      </c>
      <c r="K77" s="3"/>
      <c r="L77" s="7">
        <f t="shared" si="54"/>
        <v>-4008.6</v>
      </c>
      <c r="M77" s="3"/>
      <c r="N77" s="8">
        <f t="shared" si="55"/>
        <v>-1.2511235955056179</v>
      </c>
      <c r="O77" s="12"/>
      <c r="P77" s="7">
        <v>-804.6</v>
      </c>
      <c r="Q77" s="3"/>
      <c r="R77" s="8">
        <f t="shared" si="56"/>
        <v>-0.82530695141089949</v>
      </c>
      <c r="S77" s="3"/>
      <c r="T77" s="7">
        <v>3204</v>
      </c>
      <c r="U77" s="3"/>
      <c r="V77" s="8">
        <f t="shared" si="57"/>
        <v>0.73067274800456106</v>
      </c>
      <c r="W77" s="3"/>
      <c r="X77" s="7">
        <f t="shared" si="58"/>
        <v>-4008.6</v>
      </c>
      <c r="Y77" s="3"/>
      <c r="Z77" s="8">
        <f t="shared" si="59"/>
        <v>-1.2511235955056179</v>
      </c>
    </row>
    <row r="78" spans="1:26" s="24" customFormat="1" hidden="1" outlineLevel="2" x14ac:dyDescent="0.25">
      <c r="A78" s="27"/>
      <c r="B78" s="12" t="str">
        <f>CONCATENATE("          ", "6286", " - ", "LAUNDRY EXPENSE")</f>
        <v xml:space="preserve">          6286 - LAUNDRY EXPENSE</v>
      </c>
      <c r="C78" s="12"/>
      <c r="D78" s="7">
        <v>320.58</v>
      </c>
      <c r="E78" s="3"/>
      <c r="F78" s="8">
        <f t="shared" si="52"/>
        <v>0.32883035357109885</v>
      </c>
      <c r="G78" s="3"/>
      <c r="H78" s="7">
        <v>42</v>
      </c>
      <c r="I78" s="3"/>
      <c r="J78" s="8">
        <f t="shared" si="53"/>
        <v>9.5781071835803876E-3</v>
      </c>
      <c r="K78" s="3"/>
      <c r="L78" s="7">
        <f t="shared" si="54"/>
        <v>278.58</v>
      </c>
      <c r="M78" s="3"/>
      <c r="N78" s="8">
        <f t="shared" si="55"/>
        <v>6.6328571428571426</v>
      </c>
      <c r="O78" s="12"/>
      <c r="P78" s="7">
        <v>320.58</v>
      </c>
      <c r="Q78" s="3"/>
      <c r="R78" s="8">
        <f t="shared" si="56"/>
        <v>0.32883035357109885</v>
      </c>
      <c r="S78" s="3"/>
      <c r="T78" s="7">
        <v>42</v>
      </c>
      <c r="U78" s="3"/>
      <c r="V78" s="8">
        <f t="shared" si="57"/>
        <v>9.5781071835803876E-3</v>
      </c>
      <c r="W78" s="3"/>
      <c r="X78" s="7">
        <f t="shared" si="58"/>
        <v>278.58</v>
      </c>
      <c r="Y78" s="3"/>
      <c r="Z78" s="8">
        <f t="shared" si="59"/>
        <v>6.6328571428571426</v>
      </c>
    </row>
    <row r="79" spans="1:26" s="29" customFormat="1" outlineLevel="1" collapsed="1" x14ac:dyDescent="0.25">
      <c r="A79" s="28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SUM(OSRRefD22_15x_0)</f>
        <v>9.32</v>
      </c>
      <c r="E79" s="1"/>
      <c r="F79" s="5">
        <f t="shared" ref="F79:F92" si="60">IF(D$12=0,0,D79/D$12)</f>
        <v>9.5598568072950332E-3</v>
      </c>
      <c r="G79" s="1"/>
      <c r="H79" s="1">
        <f>SUM(OSRRefH22_15x_0)</f>
        <v>373</v>
      </c>
      <c r="I79" s="1"/>
      <c r="J79" s="5">
        <f t="shared" ref="J79:J92" si="61">IF(H$12=0,0,H79/H$12)</f>
        <v>8.5062713797035353E-2</v>
      </c>
      <c r="K79" s="1"/>
      <c r="L79" s="1">
        <f t="shared" ref="L79:L92" si="62">+D79-H79</f>
        <v>-363.68</v>
      </c>
      <c r="M79" s="1"/>
      <c r="N79" s="5">
        <f t="shared" ref="N79:N92" si="63">IF(H79=0,0,L79/H79)</f>
        <v>-0.97501340482573728</v>
      </c>
      <c r="O79" s="14"/>
      <c r="P79" s="1">
        <f>SUM(OSRRefP22_15x_0)</f>
        <v>9.32</v>
      </c>
      <c r="Q79" s="1"/>
      <c r="R79" s="5">
        <f t="shared" ref="R79:R92" si="64">IF(P$12=0,0,P79/P$12)</f>
        <v>9.5598568072950332E-3</v>
      </c>
      <c r="S79" s="1"/>
      <c r="T79" s="1">
        <f>SUM(OSRRefT22_15x_0)</f>
        <v>373</v>
      </c>
      <c r="U79" s="1"/>
      <c r="V79" s="5">
        <f t="shared" ref="V79:V92" si="65">IF(T$12=0,0,T79/T$12)</f>
        <v>8.5062713797035353E-2</v>
      </c>
      <c r="W79" s="1"/>
      <c r="X79" s="1">
        <f t="shared" ref="X79:X92" si="66">+P79-T79</f>
        <v>-363.68</v>
      </c>
      <c r="Y79" s="1"/>
      <c r="Z79" s="5">
        <f t="shared" ref="Z79:Z92" si="67">IF(T79=0,0,X79/T79)</f>
        <v>-0.97501340482573728</v>
      </c>
    </row>
    <row r="80" spans="1:26" s="24" customFormat="1" hidden="1" outlineLevel="2" x14ac:dyDescent="0.25">
      <c r="A80" s="27"/>
      <c r="B80" s="12" t="str">
        <f>CONCATENATE("          ", "6275", " - ", "SUBSCRIPTIONS")</f>
        <v xml:space="preserve">          6275 - SUBSCRIPTIONS</v>
      </c>
      <c r="C80" s="12"/>
      <c r="D80" s="7">
        <v>9.32</v>
      </c>
      <c r="E80" s="3"/>
      <c r="F80" s="8">
        <f t="shared" si="60"/>
        <v>9.5598568072950332E-3</v>
      </c>
      <c r="G80" s="3"/>
      <c r="H80" s="7">
        <v>373</v>
      </c>
      <c r="I80" s="3"/>
      <c r="J80" s="8">
        <f t="shared" si="61"/>
        <v>8.5062713797035353E-2</v>
      </c>
      <c r="K80" s="3"/>
      <c r="L80" s="7">
        <f t="shared" si="62"/>
        <v>-363.68</v>
      </c>
      <c r="M80" s="3"/>
      <c r="N80" s="8">
        <f t="shared" si="63"/>
        <v>-0.97501340482573728</v>
      </c>
      <c r="O80" s="12"/>
      <c r="P80" s="7">
        <v>9.32</v>
      </c>
      <c r="Q80" s="3"/>
      <c r="R80" s="8">
        <f t="shared" si="64"/>
        <v>9.5598568072950332E-3</v>
      </c>
      <c r="S80" s="3"/>
      <c r="T80" s="7">
        <v>373</v>
      </c>
      <c r="U80" s="3"/>
      <c r="V80" s="8">
        <f t="shared" si="65"/>
        <v>8.5062713797035353E-2</v>
      </c>
      <c r="W80" s="3"/>
      <c r="X80" s="7">
        <f t="shared" si="66"/>
        <v>-363.68</v>
      </c>
      <c r="Y80" s="3"/>
      <c r="Z80" s="8">
        <f t="shared" si="67"/>
        <v>-0.97501340482573728</v>
      </c>
    </row>
    <row r="81" spans="1:26" s="29" customFormat="1" outlineLevel="1" collapsed="1" x14ac:dyDescent="0.25">
      <c r="A81" s="28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SUM(OSRRefD22_16x_0)</f>
        <v>693.41000000000008</v>
      </c>
      <c r="E81" s="1"/>
      <c r="F81" s="5">
        <f t="shared" si="60"/>
        <v>0.71125539793416837</v>
      </c>
      <c r="G81" s="1"/>
      <c r="H81" s="1">
        <f>SUM(OSRRefH22_16x_0)</f>
        <v>1801</v>
      </c>
      <c r="I81" s="1"/>
      <c r="J81" s="5">
        <f t="shared" si="61"/>
        <v>0.41071835803876855</v>
      </c>
      <c r="K81" s="1"/>
      <c r="L81" s="1">
        <f t="shared" si="62"/>
        <v>-1107.5899999999999</v>
      </c>
      <c r="M81" s="1"/>
      <c r="N81" s="5">
        <f t="shared" si="63"/>
        <v>-0.61498611882287613</v>
      </c>
      <c r="O81" s="14"/>
      <c r="P81" s="1">
        <f>SUM(OSRRefP22_16x_0)</f>
        <v>693.41000000000008</v>
      </c>
      <c r="Q81" s="1"/>
      <c r="R81" s="5">
        <f t="shared" si="64"/>
        <v>0.71125539793416837</v>
      </c>
      <c r="S81" s="1"/>
      <c r="T81" s="1">
        <f>SUM(OSRRefT22_16x_0)</f>
        <v>1801</v>
      </c>
      <c r="U81" s="1"/>
      <c r="V81" s="5">
        <f t="shared" si="65"/>
        <v>0.41071835803876855</v>
      </c>
      <c r="W81" s="1"/>
      <c r="X81" s="1">
        <f t="shared" si="66"/>
        <v>-1107.5899999999999</v>
      </c>
      <c r="Y81" s="1"/>
      <c r="Z81" s="5">
        <f t="shared" si="67"/>
        <v>-0.61498611882287613</v>
      </c>
    </row>
    <row r="82" spans="1:26" s="24" customFormat="1" hidden="1" outlineLevel="2" x14ac:dyDescent="0.25">
      <c r="A82" s="27"/>
      <c r="B82" s="12" t="str">
        <f>CONCATENATE("          ", "6234", " - ", "EXPENDABLE SUPPLIES &amp; EQUIPMEN")</f>
        <v xml:space="preserve">          6234 - EXPENDABLE SUPPLIES &amp; EQUIPMEN</v>
      </c>
      <c r="C82" s="12"/>
      <c r="D82" s="7"/>
      <c r="E82" s="3"/>
      <c r="F82" s="8">
        <f t="shared" si="60"/>
        <v>0</v>
      </c>
      <c r="G82" s="3"/>
      <c r="H82" s="7">
        <v>0</v>
      </c>
      <c r="I82" s="3"/>
      <c r="J82" s="8">
        <f t="shared" si="61"/>
        <v>0</v>
      </c>
      <c r="K82" s="3"/>
      <c r="L82" s="7">
        <f t="shared" si="62"/>
        <v>0</v>
      </c>
      <c r="M82" s="3"/>
      <c r="N82" s="8">
        <f t="shared" si="63"/>
        <v>0</v>
      </c>
      <c r="O82" s="12"/>
      <c r="P82" s="7"/>
      <c r="Q82" s="3"/>
      <c r="R82" s="8">
        <f t="shared" si="64"/>
        <v>0</v>
      </c>
      <c r="S82" s="3"/>
      <c r="T82" s="7">
        <v>0</v>
      </c>
      <c r="U82" s="3"/>
      <c r="V82" s="8">
        <f t="shared" si="65"/>
        <v>0</v>
      </c>
      <c r="W82" s="3"/>
      <c r="X82" s="7">
        <f t="shared" si="66"/>
        <v>0</v>
      </c>
      <c r="Y82" s="3"/>
      <c r="Z82" s="8">
        <f t="shared" si="67"/>
        <v>0</v>
      </c>
    </row>
    <row r="83" spans="1:26" s="24" customFormat="1" hidden="1" outlineLevel="2" x14ac:dyDescent="0.25">
      <c r="A83" s="27"/>
      <c r="B83" s="12" t="str">
        <f>CONCATENATE("          ", "6235", " - ", "COVID-19 EXPENSES")</f>
        <v xml:space="preserve">          6235 - COVID-19 EXPENSES</v>
      </c>
      <c r="C83" s="12"/>
      <c r="D83" s="7">
        <v>743.09</v>
      </c>
      <c r="E83" s="3"/>
      <c r="F83" s="8">
        <f t="shared" si="60"/>
        <v>0.76221394795417019</v>
      </c>
      <c r="G83" s="3"/>
      <c r="H83" s="7">
        <v>0</v>
      </c>
      <c r="I83" s="3"/>
      <c r="J83" s="8">
        <f t="shared" si="61"/>
        <v>0</v>
      </c>
      <c r="K83" s="3"/>
      <c r="L83" s="7">
        <f t="shared" si="62"/>
        <v>743.09</v>
      </c>
      <c r="M83" s="3"/>
      <c r="N83" s="8">
        <f t="shared" si="63"/>
        <v>0</v>
      </c>
      <c r="O83" s="12"/>
      <c r="P83" s="7">
        <v>743.09</v>
      </c>
      <c r="Q83" s="3"/>
      <c r="R83" s="8">
        <f t="shared" si="64"/>
        <v>0.76221394795417019</v>
      </c>
      <c r="S83" s="3"/>
      <c r="T83" s="7">
        <v>0</v>
      </c>
      <c r="U83" s="3"/>
      <c r="V83" s="8">
        <f t="shared" si="65"/>
        <v>0</v>
      </c>
      <c r="W83" s="3"/>
      <c r="X83" s="7">
        <f t="shared" si="66"/>
        <v>743.09</v>
      </c>
      <c r="Y83" s="3"/>
      <c r="Z83" s="8">
        <f t="shared" si="67"/>
        <v>0</v>
      </c>
    </row>
    <row r="84" spans="1:26" s="24" customFormat="1" hidden="1" outlineLevel="2" x14ac:dyDescent="0.25">
      <c r="A84" s="27"/>
      <c r="B84" s="12" t="str">
        <f>CONCATENATE("          ", "6237", " - ", "JANITORIAL SUPPLIES")</f>
        <v xml:space="preserve">          6237 - JANITORIAL SUPPLIES</v>
      </c>
      <c r="C84" s="12"/>
      <c r="D84" s="7"/>
      <c r="E84" s="3"/>
      <c r="F84" s="8">
        <f t="shared" si="60"/>
        <v>0</v>
      </c>
      <c r="G84" s="3"/>
      <c r="H84" s="7">
        <v>523</v>
      </c>
      <c r="I84" s="3"/>
      <c r="J84" s="8">
        <f t="shared" si="61"/>
        <v>0.11927023945267959</v>
      </c>
      <c r="K84" s="3"/>
      <c r="L84" s="7">
        <f t="shared" si="62"/>
        <v>-523</v>
      </c>
      <c r="M84" s="3"/>
      <c r="N84" s="8">
        <f t="shared" si="63"/>
        <v>-1</v>
      </c>
      <c r="O84" s="12"/>
      <c r="P84" s="7"/>
      <c r="Q84" s="3"/>
      <c r="R84" s="8">
        <f t="shared" si="64"/>
        <v>0</v>
      </c>
      <c r="S84" s="3"/>
      <c r="T84" s="7">
        <v>523</v>
      </c>
      <c r="U84" s="3"/>
      <c r="V84" s="8">
        <f t="shared" si="65"/>
        <v>0.11927023945267959</v>
      </c>
      <c r="W84" s="3"/>
      <c r="X84" s="7">
        <f t="shared" si="66"/>
        <v>-523</v>
      </c>
      <c r="Y84" s="3"/>
      <c r="Z84" s="8">
        <f t="shared" si="67"/>
        <v>-1</v>
      </c>
    </row>
    <row r="85" spans="1:26" s="24" customFormat="1" hidden="1" outlineLevel="2" x14ac:dyDescent="0.25">
      <c r="A85" s="27"/>
      <c r="B85" s="12" t="str">
        <f>CONCATENATE("          ", "6239", " - ", "KITCHEN SUPPLIES")</f>
        <v xml:space="preserve">          6239 - KITCHEN SUPPLIES</v>
      </c>
      <c r="C85" s="12"/>
      <c r="D85" s="7"/>
      <c r="E85" s="3"/>
      <c r="F85" s="8">
        <f t="shared" si="60"/>
        <v>0</v>
      </c>
      <c r="G85" s="3"/>
      <c r="H85" s="7">
        <v>63</v>
      </c>
      <c r="I85" s="3"/>
      <c r="J85" s="8">
        <f t="shared" si="61"/>
        <v>1.4367160775370582E-2</v>
      </c>
      <c r="K85" s="3"/>
      <c r="L85" s="7">
        <f t="shared" si="62"/>
        <v>-63</v>
      </c>
      <c r="M85" s="3"/>
      <c r="N85" s="8">
        <f t="shared" si="63"/>
        <v>-1</v>
      </c>
      <c r="O85" s="12"/>
      <c r="P85" s="7"/>
      <c r="Q85" s="3"/>
      <c r="R85" s="8">
        <f t="shared" si="64"/>
        <v>0</v>
      </c>
      <c r="S85" s="3"/>
      <c r="T85" s="7">
        <v>63</v>
      </c>
      <c r="U85" s="3"/>
      <c r="V85" s="8">
        <f t="shared" si="65"/>
        <v>1.4367160775370582E-2</v>
      </c>
      <c r="W85" s="3"/>
      <c r="X85" s="7">
        <f t="shared" si="66"/>
        <v>-63</v>
      </c>
      <c r="Y85" s="3"/>
      <c r="Z85" s="8">
        <f t="shared" si="67"/>
        <v>-1</v>
      </c>
    </row>
    <row r="86" spans="1:26" s="24" customFormat="1" hidden="1" outlineLevel="2" x14ac:dyDescent="0.25">
      <c r="A86" s="27"/>
      <c r="B86" s="12" t="str">
        <f>CONCATENATE("          ", "6241", " - ", "OFFICE EXPENSE")</f>
        <v xml:space="preserve">          6241 - OFFICE EXPENSE</v>
      </c>
      <c r="C86" s="12"/>
      <c r="D86" s="7">
        <v>-49.68</v>
      </c>
      <c r="E86" s="3"/>
      <c r="F86" s="8">
        <f t="shared" si="60"/>
        <v>-5.0958550020001846E-2</v>
      </c>
      <c r="G86" s="3"/>
      <c r="H86" s="7">
        <v>69</v>
      </c>
      <c r="I86" s="3"/>
      <c r="J86" s="8">
        <f t="shared" si="61"/>
        <v>1.5735461801596351E-2</v>
      </c>
      <c r="K86" s="3"/>
      <c r="L86" s="7">
        <f t="shared" si="62"/>
        <v>-118.68</v>
      </c>
      <c r="M86" s="3"/>
      <c r="N86" s="8">
        <f t="shared" si="63"/>
        <v>-1.7200000000000002</v>
      </c>
      <c r="O86" s="12"/>
      <c r="P86" s="7">
        <v>-49.68</v>
      </c>
      <c r="Q86" s="3"/>
      <c r="R86" s="8">
        <f t="shared" si="64"/>
        <v>-5.0958550020001846E-2</v>
      </c>
      <c r="S86" s="3"/>
      <c r="T86" s="7">
        <v>69</v>
      </c>
      <c r="U86" s="3"/>
      <c r="V86" s="8">
        <f t="shared" si="65"/>
        <v>1.5735461801596351E-2</v>
      </c>
      <c r="W86" s="3"/>
      <c r="X86" s="7">
        <f t="shared" si="66"/>
        <v>-118.68</v>
      </c>
      <c r="Y86" s="3"/>
      <c r="Z86" s="8">
        <f t="shared" si="67"/>
        <v>-1.7200000000000002</v>
      </c>
    </row>
    <row r="87" spans="1:26" s="24" customFormat="1" hidden="1" outlineLevel="2" x14ac:dyDescent="0.25">
      <c r="A87" s="27"/>
      <c r="B87" s="12" t="str">
        <f>CONCATENATE("          ", "6243", " - ", "PAPER SUPPLIES")</f>
        <v xml:space="preserve">          6243 - PAPER SUPPLIES</v>
      </c>
      <c r="C87" s="12"/>
      <c r="D87" s="7"/>
      <c r="E87" s="3"/>
      <c r="F87" s="8">
        <f t="shared" si="60"/>
        <v>0</v>
      </c>
      <c r="G87" s="3"/>
      <c r="H87" s="7">
        <v>359</v>
      </c>
      <c r="I87" s="3"/>
      <c r="J87" s="8">
        <f t="shared" si="61"/>
        <v>8.1870011402508547E-2</v>
      </c>
      <c r="K87" s="3"/>
      <c r="L87" s="7">
        <f t="shared" si="62"/>
        <v>-359</v>
      </c>
      <c r="M87" s="3"/>
      <c r="N87" s="8">
        <f t="shared" si="63"/>
        <v>-1</v>
      </c>
      <c r="O87" s="12"/>
      <c r="P87" s="7"/>
      <c r="Q87" s="3"/>
      <c r="R87" s="8">
        <f t="shared" si="64"/>
        <v>0</v>
      </c>
      <c r="S87" s="3"/>
      <c r="T87" s="7">
        <v>359</v>
      </c>
      <c r="U87" s="3"/>
      <c r="V87" s="8">
        <f t="shared" si="65"/>
        <v>8.1870011402508547E-2</v>
      </c>
      <c r="W87" s="3"/>
      <c r="X87" s="7">
        <f t="shared" si="66"/>
        <v>-359</v>
      </c>
      <c r="Y87" s="3"/>
      <c r="Z87" s="8">
        <f t="shared" si="67"/>
        <v>-1</v>
      </c>
    </row>
    <row r="88" spans="1:26" s="24" customFormat="1" hidden="1" outlineLevel="2" x14ac:dyDescent="0.25">
      <c r="A88" s="27"/>
      <c r="B88" s="12" t="str">
        <f>CONCATENATE("          ", "6244", " - ", "SAFETY SUPPLY EXPENSE")</f>
        <v xml:space="preserve">          6244 - SAFETY SUPPLY EXPENSE</v>
      </c>
      <c r="C88" s="12"/>
      <c r="D88" s="7"/>
      <c r="E88" s="3"/>
      <c r="F88" s="8">
        <f t="shared" si="60"/>
        <v>0</v>
      </c>
      <c r="G88" s="3"/>
      <c r="H88" s="7">
        <v>0</v>
      </c>
      <c r="I88" s="3"/>
      <c r="J88" s="8">
        <f t="shared" si="61"/>
        <v>0</v>
      </c>
      <c r="K88" s="3"/>
      <c r="L88" s="7">
        <f t="shared" si="62"/>
        <v>0</v>
      </c>
      <c r="M88" s="3"/>
      <c r="N88" s="8">
        <f t="shared" si="63"/>
        <v>0</v>
      </c>
      <c r="O88" s="12"/>
      <c r="P88" s="7"/>
      <c r="Q88" s="3"/>
      <c r="R88" s="8">
        <f t="shared" si="64"/>
        <v>0</v>
      </c>
      <c r="S88" s="3"/>
      <c r="T88" s="7">
        <v>0</v>
      </c>
      <c r="U88" s="3"/>
      <c r="V88" s="8">
        <f t="shared" si="65"/>
        <v>0</v>
      </c>
      <c r="W88" s="3"/>
      <c r="X88" s="7">
        <f t="shared" si="66"/>
        <v>0</v>
      </c>
      <c r="Y88" s="3"/>
      <c r="Z88" s="8">
        <f t="shared" si="67"/>
        <v>0</v>
      </c>
    </row>
    <row r="89" spans="1:26" s="24" customFormat="1" hidden="1" outlineLevel="2" x14ac:dyDescent="0.25">
      <c r="A89" s="27"/>
      <c r="B89" s="12" t="str">
        <f>CONCATENATE("          ", "6245", " - ", "PRINTING")</f>
        <v xml:space="preserve">          6245 - PRINTING</v>
      </c>
      <c r="C89" s="12"/>
      <c r="D89" s="7"/>
      <c r="E89" s="3"/>
      <c r="F89" s="8">
        <f t="shared" si="60"/>
        <v>0</v>
      </c>
      <c r="G89" s="3"/>
      <c r="H89" s="7">
        <v>0</v>
      </c>
      <c r="I89" s="3"/>
      <c r="J89" s="8">
        <f t="shared" si="61"/>
        <v>0</v>
      </c>
      <c r="K89" s="3"/>
      <c r="L89" s="7">
        <f t="shared" si="62"/>
        <v>0</v>
      </c>
      <c r="M89" s="3"/>
      <c r="N89" s="8">
        <f t="shared" si="63"/>
        <v>0</v>
      </c>
      <c r="O89" s="12"/>
      <c r="P89" s="7"/>
      <c r="Q89" s="3"/>
      <c r="R89" s="8">
        <f t="shared" si="64"/>
        <v>0</v>
      </c>
      <c r="S89" s="3"/>
      <c r="T89" s="7">
        <v>0</v>
      </c>
      <c r="U89" s="3"/>
      <c r="V89" s="8">
        <f t="shared" si="65"/>
        <v>0</v>
      </c>
      <c r="W89" s="3"/>
      <c r="X89" s="7">
        <f t="shared" si="66"/>
        <v>0</v>
      </c>
      <c r="Y89" s="3"/>
      <c r="Z89" s="8">
        <f t="shared" si="67"/>
        <v>0</v>
      </c>
    </row>
    <row r="90" spans="1:26" s="24" customFormat="1" hidden="1" outlineLevel="2" x14ac:dyDescent="0.25">
      <c r="A90" s="27"/>
      <c r="B90" s="12" t="str">
        <f>CONCATENATE("          ", "6246", " - ", "REPLACEMENTS")</f>
        <v xml:space="preserve">          6246 - REPLACEMENTS</v>
      </c>
      <c r="C90" s="12"/>
      <c r="D90" s="7"/>
      <c r="E90" s="3"/>
      <c r="F90" s="8">
        <f t="shared" si="60"/>
        <v>0</v>
      </c>
      <c r="G90" s="3"/>
      <c r="H90" s="7">
        <v>0</v>
      </c>
      <c r="I90" s="3"/>
      <c r="J90" s="8">
        <f t="shared" si="61"/>
        <v>0</v>
      </c>
      <c r="K90" s="3"/>
      <c r="L90" s="7">
        <f t="shared" si="62"/>
        <v>0</v>
      </c>
      <c r="M90" s="3"/>
      <c r="N90" s="8">
        <f t="shared" si="63"/>
        <v>0</v>
      </c>
      <c r="O90" s="12"/>
      <c r="P90" s="7"/>
      <c r="Q90" s="3"/>
      <c r="R90" s="8">
        <f t="shared" si="64"/>
        <v>0</v>
      </c>
      <c r="S90" s="3"/>
      <c r="T90" s="7">
        <v>0</v>
      </c>
      <c r="U90" s="3"/>
      <c r="V90" s="8">
        <f t="shared" si="65"/>
        <v>0</v>
      </c>
      <c r="W90" s="3"/>
      <c r="X90" s="7">
        <f t="shared" si="66"/>
        <v>0</v>
      </c>
      <c r="Y90" s="3"/>
      <c r="Z90" s="8">
        <f t="shared" si="67"/>
        <v>0</v>
      </c>
    </row>
    <row r="91" spans="1:26" s="24" customFormat="1" hidden="1" outlineLevel="2" x14ac:dyDescent="0.25">
      <c r="A91" s="27"/>
      <c r="B91" s="12" t="str">
        <f>CONCATENATE("          ", "6247", " - ", "STORE SUPPLIES")</f>
        <v xml:space="preserve">          6247 - STORE SUPPLIES</v>
      </c>
      <c r="C91" s="12"/>
      <c r="D91" s="7"/>
      <c r="E91" s="3"/>
      <c r="F91" s="8">
        <f t="shared" si="60"/>
        <v>0</v>
      </c>
      <c r="G91" s="3"/>
      <c r="H91" s="7">
        <v>787</v>
      </c>
      <c r="I91" s="3"/>
      <c r="J91" s="8">
        <f t="shared" si="61"/>
        <v>0.17947548460661344</v>
      </c>
      <c r="K91" s="3"/>
      <c r="L91" s="7">
        <f t="shared" si="62"/>
        <v>-787</v>
      </c>
      <c r="M91" s="3"/>
      <c r="N91" s="8">
        <f t="shared" si="63"/>
        <v>-1</v>
      </c>
      <c r="O91" s="12"/>
      <c r="P91" s="7"/>
      <c r="Q91" s="3"/>
      <c r="R91" s="8">
        <f t="shared" si="64"/>
        <v>0</v>
      </c>
      <c r="S91" s="3"/>
      <c r="T91" s="7">
        <v>787</v>
      </c>
      <c r="U91" s="3"/>
      <c r="V91" s="8">
        <f t="shared" si="65"/>
        <v>0.17947548460661344</v>
      </c>
      <c r="W91" s="3"/>
      <c r="X91" s="7">
        <f t="shared" si="66"/>
        <v>-787</v>
      </c>
      <c r="Y91" s="3"/>
      <c r="Z91" s="8">
        <f t="shared" si="67"/>
        <v>-1</v>
      </c>
    </row>
    <row r="92" spans="1:26" s="24" customFormat="1" hidden="1" outlineLevel="2" x14ac:dyDescent="0.25">
      <c r="A92" s="27"/>
      <c r="B92" s="12" t="str">
        <f>CONCATENATE("          ", "6248", " - ", "UNIFORMS")</f>
        <v xml:space="preserve">          6248 - UNIFORMS</v>
      </c>
      <c r="C92" s="12"/>
      <c r="D92" s="7"/>
      <c r="E92" s="3"/>
      <c r="F92" s="8">
        <f t="shared" si="60"/>
        <v>0</v>
      </c>
      <c r="G92" s="3"/>
      <c r="H92" s="7">
        <v>0</v>
      </c>
      <c r="I92" s="3"/>
      <c r="J92" s="8">
        <f t="shared" si="61"/>
        <v>0</v>
      </c>
      <c r="K92" s="3"/>
      <c r="L92" s="7">
        <f t="shared" si="62"/>
        <v>0</v>
      </c>
      <c r="M92" s="3"/>
      <c r="N92" s="8">
        <f t="shared" si="63"/>
        <v>0</v>
      </c>
      <c r="O92" s="12"/>
      <c r="P92" s="7"/>
      <c r="Q92" s="3"/>
      <c r="R92" s="8">
        <f t="shared" si="64"/>
        <v>0</v>
      </c>
      <c r="S92" s="3"/>
      <c r="T92" s="7">
        <v>0</v>
      </c>
      <c r="U92" s="3"/>
      <c r="V92" s="8">
        <f t="shared" si="65"/>
        <v>0</v>
      </c>
      <c r="W92" s="3"/>
      <c r="X92" s="7">
        <f t="shared" si="66"/>
        <v>0</v>
      </c>
      <c r="Y92" s="3"/>
      <c r="Z92" s="8">
        <f t="shared" si="67"/>
        <v>0</v>
      </c>
    </row>
    <row r="93" spans="1:26" s="29" customFormat="1" outlineLevel="1" collapsed="1" x14ac:dyDescent="0.25">
      <c r="A93" s="28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SUM(OSRRefD22_17x_0)</f>
        <v>1592.63</v>
      </c>
      <c r="E93" s="1"/>
      <c r="F93" s="5">
        <f t="shared" ref="F93:F95" si="68">IF(D$12=0,0,D93/D$12)</f>
        <v>1.633617462124709</v>
      </c>
      <c r="G93" s="1"/>
      <c r="H93" s="1">
        <f>SUM(OSRRefH22_17x_0)</f>
        <v>724</v>
      </c>
      <c r="I93" s="1"/>
      <c r="J93" s="5">
        <f t="shared" ref="J93:J95" si="69">IF(H$12=0,0,H93/H$12)</f>
        <v>0.16510832383124288</v>
      </c>
      <c r="K93" s="1"/>
      <c r="L93" s="1">
        <f t="shared" ref="L93:L95" si="70">+D93-H93</f>
        <v>868.63000000000011</v>
      </c>
      <c r="M93" s="1"/>
      <c r="N93" s="5">
        <f t="shared" ref="N93:N95" si="71">IF(H93=0,0,L93/H93)</f>
        <v>1.1997651933701658</v>
      </c>
      <c r="O93" s="14"/>
      <c r="P93" s="1">
        <f>SUM(OSRRefP22_17x_0)</f>
        <v>1592.63</v>
      </c>
      <c r="Q93" s="1"/>
      <c r="R93" s="5">
        <f t="shared" ref="R93:R95" si="72">IF(P$12=0,0,P93/P$12)</f>
        <v>1.633617462124709</v>
      </c>
      <c r="S93" s="1"/>
      <c r="T93" s="1">
        <f>SUM(OSRRefT22_17x_0)</f>
        <v>724</v>
      </c>
      <c r="U93" s="1"/>
      <c r="V93" s="5">
        <f t="shared" ref="V93:V95" si="73">IF(T$12=0,0,T93/T$12)</f>
        <v>0.16510832383124288</v>
      </c>
      <c r="W93" s="1"/>
      <c r="X93" s="1">
        <f t="shared" ref="X93:X95" si="74">+P93-T93</f>
        <v>868.63000000000011</v>
      </c>
      <c r="Y93" s="1"/>
      <c r="Z93" s="5">
        <f t="shared" ref="Z93:Z95" si="75">IF(T93=0,0,X93/T93)</f>
        <v>1.1997651933701658</v>
      </c>
    </row>
    <row r="94" spans="1:26" s="24" customFormat="1" hidden="1" outlineLevel="2" x14ac:dyDescent="0.25">
      <c r="A94" s="27"/>
      <c r="B94" s="12" t="str">
        <f>CONCATENATE("          ", "6303", " - ", "DATA PHONE LINES")</f>
        <v xml:space="preserve">          6303 - DATA PHONE LINES</v>
      </c>
      <c r="C94" s="12"/>
      <c r="D94" s="7"/>
      <c r="E94" s="3"/>
      <c r="F94" s="8">
        <f t="shared" si="68"/>
        <v>0</v>
      </c>
      <c r="G94" s="3"/>
      <c r="H94" s="7">
        <v>324</v>
      </c>
      <c r="I94" s="3"/>
      <c r="J94" s="8">
        <f t="shared" si="69"/>
        <v>7.3888255416191567E-2</v>
      </c>
      <c r="K94" s="3"/>
      <c r="L94" s="7">
        <f t="shared" si="70"/>
        <v>-324</v>
      </c>
      <c r="M94" s="3"/>
      <c r="N94" s="8">
        <f t="shared" si="71"/>
        <v>-1</v>
      </c>
      <c r="O94" s="12"/>
      <c r="P94" s="7"/>
      <c r="Q94" s="3"/>
      <c r="R94" s="8">
        <f t="shared" si="72"/>
        <v>0</v>
      </c>
      <c r="S94" s="3"/>
      <c r="T94" s="7">
        <v>324</v>
      </c>
      <c r="U94" s="3"/>
      <c r="V94" s="8">
        <f t="shared" si="73"/>
        <v>7.3888255416191567E-2</v>
      </c>
      <c r="W94" s="3"/>
      <c r="X94" s="7">
        <f t="shared" si="74"/>
        <v>-324</v>
      </c>
      <c r="Y94" s="3"/>
      <c r="Z94" s="8">
        <f t="shared" si="75"/>
        <v>-1</v>
      </c>
    </row>
    <row r="95" spans="1:26" s="24" customFormat="1" hidden="1" outlineLevel="2" x14ac:dyDescent="0.25">
      <c r="A95" s="27"/>
      <c r="B95" s="12" t="str">
        <f>CONCATENATE("          ", "6309", " - ", "TELEPHONE")</f>
        <v xml:space="preserve">          6309 - TELEPHONE</v>
      </c>
      <c r="C95" s="12"/>
      <c r="D95" s="7">
        <v>1592.63</v>
      </c>
      <c r="E95" s="3"/>
      <c r="F95" s="8">
        <f t="shared" si="68"/>
        <v>1.633617462124709</v>
      </c>
      <c r="G95" s="3"/>
      <c r="H95" s="7">
        <v>400</v>
      </c>
      <c r="I95" s="3"/>
      <c r="J95" s="8">
        <f t="shared" si="69"/>
        <v>9.1220068415051314E-2</v>
      </c>
      <c r="K95" s="3"/>
      <c r="L95" s="7">
        <f t="shared" si="70"/>
        <v>1192.6300000000001</v>
      </c>
      <c r="M95" s="3"/>
      <c r="N95" s="8">
        <f t="shared" si="71"/>
        <v>2.9815750000000003</v>
      </c>
      <c r="O95" s="12"/>
      <c r="P95" s="7">
        <v>1592.63</v>
      </c>
      <c r="Q95" s="3"/>
      <c r="R95" s="8">
        <f t="shared" si="72"/>
        <v>1.633617462124709</v>
      </c>
      <c r="S95" s="3"/>
      <c r="T95" s="7">
        <v>400</v>
      </c>
      <c r="U95" s="3"/>
      <c r="V95" s="8">
        <f t="shared" si="73"/>
        <v>9.1220068415051314E-2</v>
      </c>
      <c r="W95" s="3"/>
      <c r="X95" s="7">
        <f t="shared" si="74"/>
        <v>1192.6300000000001</v>
      </c>
      <c r="Y95" s="3"/>
      <c r="Z95" s="8">
        <f t="shared" si="75"/>
        <v>2.9815750000000003</v>
      </c>
    </row>
    <row r="96" spans="1:26" s="29" customFormat="1" outlineLevel="1" collapsed="1" x14ac:dyDescent="0.25">
      <c r="A96" s="28"/>
      <c r="B96" s="14" t="str">
        <f>CONCATENATE("     ","Training                                          ")</f>
        <v xml:space="preserve">     Training                                          </v>
      </c>
      <c r="C96" s="14"/>
      <c r="D96" s="1">
        <f>SUM(OSRRefD22_18x_0)</f>
        <v>0</v>
      </c>
      <c r="E96" s="1"/>
      <c r="F96" s="5">
        <f t="shared" ref="F96:F100" si="76">IF(D$12=0,0,D96/D$12)</f>
        <v>0</v>
      </c>
      <c r="G96" s="1"/>
      <c r="H96" s="1">
        <f>SUM(OSRRefH22_18x_0)</f>
        <v>0</v>
      </c>
      <c r="I96" s="1"/>
      <c r="J96" s="5">
        <f t="shared" ref="J96:J100" si="77">IF(H$12=0,0,H96/H$12)</f>
        <v>0</v>
      </c>
      <c r="K96" s="1"/>
      <c r="L96" s="1">
        <f t="shared" ref="L96:L100" si="78">+D96-H96</f>
        <v>0</v>
      </c>
      <c r="M96" s="1"/>
      <c r="N96" s="5">
        <f t="shared" ref="N96:N100" si="79">IF(H96=0,0,L96/H96)</f>
        <v>0</v>
      </c>
      <c r="O96" s="14"/>
      <c r="P96" s="1">
        <f>SUM(OSRRefP22_18x_0)</f>
        <v>0</v>
      </c>
      <c r="Q96" s="1"/>
      <c r="R96" s="5">
        <f t="shared" ref="R96:R100" si="80">IF(P$12=0,0,P96/P$12)</f>
        <v>0</v>
      </c>
      <c r="S96" s="1"/>
      <c r="T96" s="1">
        <f>SUM(OSRRefT22_18x_0)</f>
        <v>0</v>
      </c>
      <c r="U96" s="1"/>
      <c r="V96" s="5">
        <f t="shared" ref="V96:V100" si="81">IF(T$12=0,0,T96/T$12)</f>
        <v>0</v>
      </c>
      <c r="W96" s="1"/>
      <c r="X96" s="1">
        <f t="shared" ref="X96:X100" si="82">+P96-T96</f>
        <v>0</v>
      </c>
      <c r="Y96" s="1"/>
      <c r="Z96" s="5">
        <f t="shared" ref="Z96:Z100" si="83">IF(T96=0,0,X96/T96)</f>
        <v>0</v>
      </c>
    </row>
    <row r="97" spans="1:26" s="24" customFormat="1" hidden="1" outlineLevel="2" x14ac:dyDescent="0.25">
      <c r="A97" s="27"/>
      <c r="B97" s="12" t="str">
        <f>CONCATENATE("          ", "6376", " - ", "TRAINING")</f>
        <v xml:space="preserve">          6376 - TRAINING</v>
      </c>
      <c r="C97" s="12"/>
      <c r="D97" s="7"/>
      <c r="E97" s="3"/>
      <c r="F97" s="8">
        <f t="shared" si="76"/>
        <v>0</v>
      </c>
      <c r="G97" s="3"/>
      <c r="H97" s="7">
        <v>0</v>
      </c>
      <c r="I97" s="3"/>
      <c r="J97" s="8">
        <f t="shared" si="77"/>
        <v>0</v>
      </c>
      <c r="K97" s="3"/>
      <c r="L97" s="7">
        <f t="shared" si="78"/>
        <v>0</v>
      </c>
      <c r="M97" s="3"/>
      <c r="N97" s="8">
        <f t="shared" si="79"/>
        <v>0</v>
      </c>
      <c r="O97" s="12"/>
      <c r="P97" s="7"/>
      <c r="Q97" s="3"/>
      <c r="R97" s="8">
        <f t="shared" si="80"/>
        <v>0</v>
      </c>
      <c r="S97" s="3"/>
      <c r="T97" s="7">
        <v>0</v>
      </c>
      <c r="U97" s="3"/>
      <c r="V97" s="8">
        <f t="shared" si="81"/>
        <v>0</v>
      </c>
      <c r="W97" s="3"/>
      <c r="X97" s="7">
        <f t="shared" si="82"/>
        <v>0</v>
      </c>
      <c r="Y97" s="3"/>
      <c r="Z97" s="8">
        <f t="shared" si="83"/>
        <v>0</v>
      </c>
    </row>
    <row r="98" spans="1:26" s="29" customFormat="1" outlineLevel="1" collapsed="1" x14ac:dyDescent="0.25">
      <c r="A98" s="28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SUM(OSRRefD22_19x_0)</f>
        <v>179.69</v>
      </c>
      <c r="E98" s="1"/>
      <c r="F98" s="5">
        <f t="shared" si="76"/>
        <v>0.18431444953893181</v>
      </c>
      <c r="G98" s="1"/>
      <c r="H98" s="1">
        <f>SUM(OSRRefH22_19x_0)</f>
        <v>0</v>
      </c>
      <c r="I98" s="1"/>
      <c r="J98" s="5">
        <f t="shared" si="77"/>
        <v>0</v>
      </c>
      <c r="K98" s="1"/>
      <c r="L98" s="1">
        <f t="shared" si="78"/>
        <v>179.69</v>
      </c>
      <c r="M98" s="1"/>
      <c r="N98" s="5">
        <f t="shared" si="79"/>
        <v>0</v>
      </c>
      <c r="O98" s="14"/>
      <c r="P98" s="1">
        <f>SUM(OSRRefP22_19x_0)</f>
        <v>179.69</v>
      </c>
      <c r="Q98" s="1"/>
      <c r="R98" s="5">
        <f t="shared" si="80"/>
        <v>0.18431444953893181</v>
      </c>
      <c r="S98" s="1"/>
      <c r="T98" s="1">
        <f>SUM(OSRRefT22_19x_0)</f>
        <v>0</v>
      </c>
      <c r="U98" s="1"/>
      <c r="V98" s="5">
        <f t="shared" si="81"/>
        <v>0</v>
      </c>
      <c r="W98" s="1"/>
      <c r="X98" s="1">
        <f t="shared" si="82"/>
        <v>179.69</v>
      </c>
      <c r="Y98" s="1"/>
      <c r="Z98" s="5">
        <f t="shared" si="83"/>
        <v>0</v>
      </c>
    </row>
    <row r="99" spans="1:26" s="24" customFormat="1" hidden="1" outlineLevel="2" x14ac:dyDescent="0.25">
      <c r="A99" s="27"/>
      <c r="B99" s="12" t="str">
        <f>CONCATENATE("          ", "6292", " - ", "TRAVEL/CONFERENCE")</f>
        <v xml:space="preserve">          6292 - TRAVEL/CONFERENCE</v>
      </c>
      <c r="C99" s="12"/>
      <c r="D99" s="7"/>
      <c r="E99" s="3"/>
      <c r="F99" s="8">
        <f t="shared" si="76"/>
        <v>0</v>
      </c>
      <c r="G99" s="3"/>
      <c r="H99" s="7">
        <v>0</v>
      </c>
      <c r="I99" s="3"/>
      <c r="J99" s="8">
        <f t="shared" si="77"/>
        <v>0</v>
      </c>
      <c r="K99" s="3"/>
      <c r="L99" s="7">
        <f t="shared" si="78"/>
        <v>0</v>
      </c>
      <c r="M99" s="3"/>
      <c r="N99" s="8">
        <f t="shared" si="79"/>
        <v>0</v>
      </c>
      <c r="O99" s="12"/>
      <c r="P99" s="7"/>
      <c r="Q99" s="3"/>
      <c r="R99" s="8">
        <f t="shared" si="80"/>
        <v>0</v>
      </c>
      <c r="S99" s="3"/>
      <c r="T99" s="7">
        <v>0</v>
      </c>
      <c r="U99" s="3"/>
      <c r="V99" s="8">
        <f t="shared" si="81"/>
        <v>0</v>
      </c>
      <c r="W99" s="3"/>
      <c r="X99" s="7">
        <f t="shared" si="82"/>
        <v>0</v>
      </c>
      <c r="Y99" s="3"/>
      <c r="Z99" s="8">
        <f t="shared" si="83"/>
        <v>0</v>
      </c>
    </row>
    <row r="100" spans="1:26" s="24" customFormat="1" hidden="1" outlineLevel="2" x14ac:dyDescent="0.25">
      <c r="A100" s="27"/>
      <c r="B100" s="12" t="str">
        <f>CONCATENATE("          ", "6298", " - ", "VEHICLE MILEAGE")</f>
        <v xml:space="preserve">          6298 - VEHICLE MILEAGE</v>
      </c>
      <c r="C100" s="12"/>
      <c r="D100" s="7">
        <v>179.69</v>
      </c>
      <c r="E100" s="3"/>
      <c r="F100" s="8">
        <f t="shared" si="76"/>
        <v>0.18431444953893181</v>
      </c>
      <c r="G100" s="3"/>
      <c r="H100" s="7"/>
      <c r="I100" s="3"/>
      <c r="J100" s="8">
        <f t="shared" si="77"/>
        <v>0</v>
      </c>
      <c r="K100" s="3"/>
      <c r="L100" s="7">
        <f t="shared" si="78"/>
        <v>179.69</v>
      </c>
      <c r="M100" s="3"/>
      <c r="N100" s="8">
        <f t="shared" si="79"/>
        <v>0</v>
      </c>
      <c r="O100" s="12"/>
      <c r="P100" s="7">
        <v>179.69</v>
      </c>
      <c r="Q100" s="3"/>
      <c r="R100" s="8">
        <f t="shared" si="80"/>
        <v>0.18431444953893181</v>
      </c>
      <c r="S100" s="3"/>
      <c r="T100" s="7"/>
      <c r="U100" s="3"/>
      <c r="V100" s="8">
        <f t="shared" si="81"/>
        <v>0</v>
      </c>
      <c r="W100" s="3"/>
      <c r="X100" s="7">
        <f t="shared" si="82"/>
        <v>179.69</v>
      </c>
      <c r="Y100" s="3"/>
      <c r="Z100" s="8">
        <f t="shared" si="83"/>
        <v>0</v>
      </c>
    </row>
    <row r="101" spans="1:26" s="29" customFormat="1" outlineLevel="1" collapsed="1" x14ac:dyDescent="0.25">
      <c r="A101" s="28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SUM(OSRRefD22_20x_0)</f>
        <v>2350</v>
      </c>
      <c r="E101" s="1"/>
      <c r="F101" s="5">
        <f t="shared" ref="F101:F102" si="84">IF(D$12=0,0,D101/D$12)</f>
        <v>2.4104789160025031</v>
      </c>
      <c r="G101" s="1"/>
      <c r="H101" s="1">
        <f>SUM(OSRRefH22_20x_0)</f>
        <v>4121</v>
      </c>
      <c r="I101" s="1"/>
      <c r="J101" s="5">
        <f t="shared" ref="J101:J102" si="85">IF(H$12=0,0,H101/H$12)</f>
        <v>0.93979475484606612</v>
      </c>
      <c r="K101" s="1"/>
      <c r="L101" s="1">
        <f t="shared" ref="L101:L102" si="86">+D101-H101</f>
        <v>-1771</v>
      </c>
      <c r="M101" s="1"/>
      <c r="N101" s="5">
        <f t="shared" ref="N101:N102" si="87">IF(H101=0,0,L101/H101)</f>
        <v>-0.42975006066488719</v>
      </c>
      <c r="O101" s="14"/>
      <c r="P101" s="1">
        <f>SUM(OSRRefP22_20x_0)</f>
        <v>2350</v>
      </c>
      <c r="Q101" s="1"/>
      <c r="R101" s="5">
        <f t="shared" ref="R101:R102" si="88">IF(P$12=0,0,P101/P$12)</f>
        <v>2.4104789160025031</v>
      </c>
      <c r="S101" s="1"/>
      <c r="T101" s="1">
        <f>SUM(OSRRefT22_20x_0)</f>
        <v>4121</v>
      </c>
      <c r="U101" s="1"/>
      <c r="V101" s="5">
        <f t="shared" ref="V101:V102" si="89">IF(T$12=0,0,T101/T$12)</f>
        <v>0.93979475484606612</v>
      </c>
      <c r="W101" s="1"/>
      <c r="X101" s="1">
        <f t="shared" ref="X101:X102" si="90">+P101-T101</f>
        <v>-1771</v>
      </c>
      <c r="Y101" s="1"/>
      <c r="Z101" s="5">
        <f t="shared" ref="Z101:Z102" si="91">IF(T101=0,0,X101/T101)</f>
        <v>-0.42975006066488719</v>
      </c>
    </row>
    <row r="102" spans="1:26" s="24" customFormat="1" hidden="1" outlineLevel="2" x14ac:dyDescent="0.25">
      <c r="A102" s="27"/>
      <c r="B102" s="12" t="str">
        <f>CONCATENATE("          ", "6274", " - ", "UTILITIES")</f>
        <v xml:space="preserve">          6274 - UTILITIES</v>
      </c>
      <c r="C102" s="12"/>
      <c r="D102" s="7">
        <v>2350</v>
      </c>
      <c r="E102" s="3"/>
      <c r="F102" s="8">
        <f t="shared" si="84"/>
        <v>2.4104789160025031</v>
      </c>
      <c r="G102" s="3"/>
      <c r="H102" s="7">
        <v>4121</v>
      </c>
      <c r="I102" s="3"/>
      <c r="J102" s="8">
        <f t="shared" si="85"/>
        <v>0.93979475484606612</v>
      </c>
      <c r="K102" s="3"/>
      <c r="L102" s="7">
        <f t="shared" si="86"/>
        <v>-1771</v>
      </c>
      <c r="M102" s="3"/>
      <c r="N102" s="8">
        <f t="shared" si="87"/>
        <v>-0.42975006066488719</v>
      </c>
      <c r="O102" s="12"/>
      <c r="P102" s="7">
        <v>2350</v>
      </c>
      <c r="Q102" s="3"/>
      <c r="R102" s="8">
        <f t="shared" si="88"/>
        <v>2.4104789160025031</v>
      </c>
      <c r="S102" s="3"/>
      <c r="T102" s="7">
        <v>4121</v>
      </c>
      <c r="U102" s="3"/>
      <c r="V102" s="8">
        <f t="shared" si="89"/>
        <v>0.93979475484606612</v>
      </c>
      <c r="W102" s="3"/>
      <c r="X102" s="7">
        <f t="shared" si="90"/>
        <v>-1771</v>
      </c>
      <c r="Y102" s="3"/>
      <c r="Z102" s="8">
        <f t="shared" si="91"/>
        <v>-0.42975006066488719</v>
      </c>
    </row>
    <row r="103" spans="1:26" s="54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2" customFormat="1" collapsed="1" x14ac:dyDescent="0.25">
      <c r="A104" s="10"/>
      <c r="B104" s="26" t="s">
        <v>0</v>
      </c>
      <c r="C104" s="10"/>
      <c r="D104" s="4">
        <f>SUM(OSRRefD25x_0)</f>
        <v>2076.54</v>
      </c>
      <c r="E104" s="4"/>
      <c r="F104" s="11">
        <f t="shared" ref="F104:F107" si="92">IF(D$12=0,0,D104/D$12)</f>
        <v>2.1299812290365265</v>
      </c>
      <c r="G104" s="4"/>
      <c r="H104" s="4">
        <f>SUM(OSRRefH25x_0)</f>
        <v>0</v>
      </c>
      <c r="I104" s="4"/>
      <c r="J104" s="11">
        <f t="shared" ref="J104:J107" si="93">IF(H$12=0,0,H104/H$12)</f>
        <v>0</v>
      </c>
      <c r="K104" s="4"/>
      <c r="L104" s="4">
        <f t="shared" ref="L104:L107" si="94">+D104-H104</f>
        <v>2076.54</v>
      </c>
      <c r="M104" s="4"/>
      <c r="N104" s="11">
        <f t="shared" ref="N104:N107" si="95">IF(H104=0,0,L104/H104)</f>
        <v>0</v>
      </c>
      <c r="O104" s="10"/>
      <c r="P104" s="4">
        <f>SUM(OSRRefP25x_0)</f>
        <v>2076.54</v>
      </c>
      <c r="Q104" s="4"/>
      <c r="R104" s="11">
        <f t="shared" ref="R104:R107" si="96">IF(P$12=0,0,P104/P$12)</f>
        <v>2.1299812290365265</v>
      </c>
      <c r="S104" s="4"/>
      <c r="T104" s="4">
        <f>SUM(OSRRefT25x_0)</f>
        <v>0</v>
      </c>
      <c r="U104" s="4"/>
      <c r="V104" s="11">
        <f t="shared" ref="V104:V107" si="97">IF(T$12=0,0,T104/T$12)</f>
        <v>0</v>
      </c>
      <c r="W104" s="4"/>
      <c r="X104" s="4">
        <f t="shared" ref="X104:X107" si="98">+P104-T104</f>
        <v>2076.54</v>
      </c>
      <c r="Y104" s="4"/>
      <c r="Z104" s="11">
        <f t="shared" ref="Z104:Z107" si="99">IF(T104=0,0,X104/T104)</f>
        <v>0</v>
      </c>
    </row>
    <row r="105" spans="1:26" s="24" customFormat="1" hidden="1" outlineLevel="1" x14ac:dyDescent="0.25">
      <c r="A105" s="51"/>
      <c r="B105" s="12" t="str">
        <f>CONCATENATE("          ", "9150", " - ", "MISC. INCOME")</f>
        <v xml:space="preserve">          9150 - MISC. INCOME</v>
      </c>
      <c r="C105" s="12"/>
      <c r="D105" s="3">
        <f>--512.41</f>
        <v>512.41</v>
      </c>
      <c r="E105" s="3"/>
      <c r="F105" s="23">
        <f t="shared" si="92"/>
        <v>0.52559723461652874</v>
      </c>
      <c r="G105" s="3"/>
      <c r="H105" s="3">
        <v>0</v>
      </c>
      <c r="I105" s="3"/>
      <c r="J105" s="23">
        <f t="shared" si="93"/>
        <v>0</v>
      </c>
      <c r="K105" s="3"/>
      <c r="L105" s="3">
        <f t="shared" si="94"/>
        <v>512.41</v>
      </c>
      <c r="M105" s="3"/>
      <c r="N105" s="23">
        <f t="shared" si="95"/>
        <v>0</v>
      </c>
      <c r="O105" s="12"/>
      <c r="P105" s="3">
        <f>--512.41</f>
        <v>512.41</v>
      </c>
      <c r="Q105" s="3"/>
      <c r="R105" s="23">
        <f t="shared" si="96"/>
        <v>0.52559723461652874</v>
      </c>
      <c r="S105" s="3"/>
      <c r="T105" s="3">
        <v>0</v>
      </c>
      <c r="U105" s="3"/>
      <c r="V105" s="23">
        <f t="shared" si="97"/>
        <v>0</v>
      </c>
      <c r="W105" s="3"/>
      <c r="X105" s="3">
        <f t="shared" si="98"/>
        <v>512.41</v>
      </c>
      <c r="Y105" s="3"/>
      <c r="Z105" s="23">
        <f t="shared" si="99"/>
        <v>0</v>
      </c>
    </row>
    <row r="106" spans="1:26" s="24" customFormat="1" hidden="1" outlineLevel="1" x14ac:dyDescent="0.25">
      <c r="A106" s="51"/>
      <c r="B106" s="12" t="str">
        <f>CONCATENATE("          ", "9160", " - ", "MISC. INCOME")</f>
        <v xml:space="preserve">          9160 - MISC. INCOME</v>
      </c>
      <c r="C106" s="12"/>
      <c r="D106" s="3">
        <f>--1363.63</f>
        <v>1363.63</v>
      </c>
      <c r="E106" s="3"/>
      <c r="F106" s="23">
        <f t="shared" si="92"/>
        <v>1.3987239847780821</v>
      </c>
      <c r="G106" s="3"/>
      <c r="H106" s="3"/>
      <c r="I106" s="3"/>
      <c r="J106" s="23">
        <f t="shared" si="93"/>
        <v>0</v>
      </c>
      <c r="K106" s="3"/>
      <c r="L106" s="3">
        <f t="shared" si="94"/>
        <v>1363.63</v>
      </c>
      <c r="M106" s="3"/>
      <c r="N106" s="23">
        <f t="shared" si="95"/>
        <v>0</v>
      </c>
      <c r="O106" s="12"/>
      <c r="P106" s="3">
        <f>--1363.63</f>
        <v>1363.63</v>
      </c>
      <c r="Q106" s="3"/>
      <c r="R106" s="23">
        <f t="shared" si="96"/>
        <v>1.3987239847780821</v>
      </c>
      <c r="S106" s="3"/>
      <c r="T106" s="3"/>
      <c r="U106" s="3"/>
      <c r="V106" s="23">
        <f t="shared" si="97"/>
        <v>0</v>
      </c>
      <c r="W106" s="3"/>
      <c r="X106" s="3">
        <f t="shared" si="98"/>
        <v>1363.63</v>
      </c>
      <c r="Y106" s="3"/>
      <c r="Z106" s="23">
        <f t="shared" si="99"/>
        <v>0</v>
      </c>
    </row>
    <row r="107" spans="1:26" s="24" customFormat="1" hidden="1" outlineLevel="1" x14ac:dyDescent="0.25">
      <c r="A107" s="51"/>
      <c r="B107" s="12" t="str">
        <f>CONCATENATE("          ", "9165", " - ", "OTHER INCOME")</f>
        <v xml:space="preserve">          9165 - OTHER INCOME</v>
      </c>
      <c r="C107" s="12"/>
      <c r="D107" s="3">
        <f>--200.5</f>
        <v>200.5</v>
      </c>
      <c r="E107" s="3"/>
      <c r="F107" s="23">
        <f t="shared" si="92"/>
        <v>0.20566000964191566</v>
      </c>
      <c r="G107" s="3"/>
      <c r="H107" s="3"/>
      <c r="I107" s="3"/>
      <c r="J107" s="23">
        <f t="shared" si="93"/>
        <v>0</v>
      </c>
      <c r="K107" s="3"/>
      <c r="L107" s="3">
        <f t="shared" si="94"/>
        <v>200.5</v>
      </c>
      <c r="M107" s="3"/>
      <c r="N107" s="23">
        <f t="shared" si="95"/>
        <v>0</v>
      </c>
      <c r="O107" s="12"/>
      <c r="P107" s="3">
        <f>--200.5</f>
        <v>200.5</v>
      </c>
      <c r="Q107" s="3"/>
      <c r="R107" s="23">
        <f t="shared" si="96"/>
        <v>0.20566000964191566</v>
      </c>
      <c r="S107" s="3"/>
      <c r="T107" s="3"/>
      <c r="U107" s="3"/>
      <c r="V107" s="23">
        <f t="shared" si="97"/>
        <v>0</v>
      </c>
      <c r="W107" s="3"/>
      <c r="X107" s="3">
        <f t="shared" si="98"/>
        <v>200.5</v>
      </c>
      <c r="Y107" s="3"/>
      <c r="Z107" s="23">
        <f t="shared" si="99"/>
        <v>0</v>
      </c>
    </row>
    <row r="108" spans="1:26" x14ac:dyDescent="0.25">
      <c r="A108" s="9"/>
      <c r="B108" s="10"/>
      <c r="C108" s="10"/>
      <c r="D108" s="2"/>
      <c r="E108" s="2"/>
      <c r="F108" s="6"/>
      <c r="G108" s="2"/>
      <c r="H108" s="2"/>
      <c r="I108" s="2"/>
      <c r="J108" s="6"/>
      <c r="K108" s="2"/>
      <c r="L108" s="2"/>
      <c r="M108" s="2"/>
      <c r="N108" s="6"/>
      <c r="O108" s="10"/>
      <c r="P108" s="2"/>
      <c r="Q108" s="2"/>
      <c r="R108" s="6"/>
      <c r="S108" s="2"/>
      <c r="T108" s="2"/>
      <c r="U108" s="2"/>
      <c r="V108" s="6"/>
      <c r="W108" s="2"/>
      <c r="X108" s="2"/>
      <c r="Y108" s="2"/>
      <c r="Z108" s="6"/>
    </row>
    <row r="109" spans="1:26" s="22" customFormat="1" x14ac:dyDescent="0.25">
      <c r="A109" s="10"/>
      <c r="B109" s="25" t="s">
        <v>3</v>
      </c>
      <c r="C109" s="25"/>
      <c r="D109" s="21">
        <f>+D21-D23+D104</f>
        <v>-159121.91</v>
      </c>
      <c r="E109" s="13"/>
      <c r="F109" s="20">
        <f>IF(D$12=0,0,D109/D$12)</f>
        <v>-163.21702516129696</v>
      </c>
      <c r="G109" s="13"/>
      <c r="H109" s="21">
        <f>+H21-H23+H104</f>
        <v>-145633.81358239101</v>
      </c>
      <c r="I109" s="13"/>
      <c r="J109" s="20">
        <f>IF(H$12=0,0,H109/H$12)</f>
        <v>-33.211816096326345</v>
      </c>
      <c r="K109" s="15"/>
      <c r="L109" s="21">
        <f>+D109-H109</f>
        <v>-13488.096417608991</v>
      </c>
      <c r="M109" s="15"/>
      <c r="N109" s="20">
        <f>IF(H109=0,0,L109/H109)</f>
        <v>9.2616515943793665E-2</v>
      </c>
      <c r="O109" s="26"/>
      <c r="P109" s="21">
        <f>+P21-P23+P104</f>
        <v>-159121.91</v>
      </c>
      <c r="Q109" s="13"/>
      <c r="R109" s="20">
        <f>IF(P$12=0,0,P109/P$12)</f>
        <v>-163.21702516129696</v>
      </c>
      <c r="S109" s="13"/>
      <c r="T109" s="21">
        <f>+T21-T23+T104</f>
        <v>-145633.81358239101</v>
      </c>
      <c r="U109" s="13"/>
      <c r="V109" s="20">
        <f>IF(T$12=0,0,T109/T$12)</f>
        <v>-33.211816096326345</v>
      </c>
      <c r="W109" s="15"/>
      <c r="X109" s="21">
        <f>+P109-T109</f>
        <v>-13488.096417608991</v>
      </c>
      <c r="Y109" s="15"/>
      <c r="Z109" s="20">
        <f>IF(T109=0,0,X109/T109)</f>
        <v>9.2616515943793665E-2</v>
      </c>
    </row>
    <row r="110" spans="1:26" x14ac:dyDescent="0.25">
      <c r="A110" s="9"/>
      <c r="B110" s="10"/>
      <c r="C110" s="9"/>
      <c r="D110" s="2"/>
      <c r="E110" s="2"/>
      <c r="F110" s="6"/>
      <c r="G110" s="2"/>
      <c r="H110" s="2"/>
      <c r="I110" s="2"/>
      <c r="J110" s="6"/>
      <c r="K110" s="2"/>
      <c r="L110" s="2"/>
      <c r="M110" s="2"/>
      <c r="N110" s="6"/>
      <c r="P110" s="2"/>
      <c r="Q110" s="2"/>
      <c r="R110" s="6"/>
      <c r="S110" s="2"/>
      <c r="T110" s="2"/>
      <c r="U110" s="2"/>
      <c r="V110" s="6"/>
      <c r="W110" s="2"/>
      <c r="X110" s="2"/>
      <c r="Y110" s="2"/>
      <c r="Z110" s="6"/>
    </row>
    <row r="111" spans="1:26" s="22" customFormat="1" x14ac:dyDescent="0.25">
      <c r="A111" s="52"/>
      <c r="B111" s="10" t="s">
        <v>14</v>
      </c>
      <c r="C111" s="10"/>
      <c r="D111" s="4">
        <v>468.88</v>
      </c>
      <c r="E111" s="4"/>
      <c r="F111" s="11">
        <f>IF(D$12=0,0,D111/D$12)</f>
        <v>0.48094695920649089</v>
      </c>
      <c r="G111" s="4"/>
      <c r="H111" s="4">
        <v>2130</v>
      </c>
      <c r="I111" s="4"/>
      <c r="J111" s="11">
        <f>IF(H$12=0,0,H111/H$12)</f>
        <v>0.48574686431014824</v>
      </c>
      <c r="K111" s="4"/>
      <c r="L111" s="4">
        <f>+D111-H111</f>
        <v>-1661.12</v>
      </c>
      <c r="M111" s="4"/>
      <c r="N111" s="11">
        <f>IF(H111=0,0,L111/H111)</f>
        <v>-0.77986854460093891</v>
      </c>
      <c r="O111" s="10"/>
      <c r="P111" s="4">
        <v>468.88</v>
      </c>
      <c r="Q111" s="4"/>
      <c r="R111" s="11">
        <f>IF(P$12=0,0,P111/P$12)</f>
        <v>0.48094695920649089</v>
      </c>
      <c r="S111" s="4"/>
      <c r="T111" s="4">
        <v>2130</v>
      </c>
      <c r="U111" s="4"/>
      <c r="V111" s="11">
        <f>IF(T$12=0,0,T111/T$12)</f>
        <v>0.48574686431014824</v>
      </c>
      <c r="W111" s="4"/>
      <c r="X111" s="4">
        <f>+P111-T111</f>
        <v>-1661.12</v>
      </c>
      <c r="Y111" s="4"/>
      <c r="Z111" s="11">
        <f>IF(T111=0,0,X111/T111)</f>
        <v>-0.77986854460093891</v>
      </c>
    </row>
    <row r="112" spans="1:26" x14ac:dyDescent="0.25">
      <c r="A112" s="9"/>
      <c r="B112" s="10"/>
      <c r="C112" s="10"/>
      <c r="D112" s="2"/>
      <c r="E112" s="2"/>
      <c r="F112" s="6"/>
      <c r="G112" s="2"/>
      <c r="H112" s="2"/>
      <c r="I112" s="2"/>
      <c r="J112" s="6"/>
      <c r="K112" s="2"/>
      <c r="L112" s="2"/>
      <c r="M112" s="2"/>
      <c r="N112" s="6"/>
      <c r="O112" s="10"/>
      <c r="P112" s="2"/>
      <c r="Q112" s="2"/>
      <c r="R112" s="6"/>
      <c r="S112" s="2"/>
      <c r="T112" s="2"/>
      <c r="U112" s="2"/>
      <c r="V112" s="6"/>
      <c r="W112" s="2"/>
      <c r="X112" s="2"/>
      <c r="Y112" s="2"/>
      <c r="Z112" s="6"/>
    </row>
    <row r="113" spans="1:26" s="22" customFormat="1" ht="15.75" thickBot="1" x14ac:dyDescent="0.3">
      <c r="A113" s="10"/>
      <c r="B113" s="25" t="s">
        <v>4</v>
      </c>
      <c r="C113" s="25"/>
      <c r="D113" s="34">
        <f>+D109-D111</f>
        <v>-159590.79</v>
      </c>
      <c r="E113" s="13"/>
      <c r="F113" s="30">
        <f>IF(D$12=0,0,D113/D$12)</f>
        <v>-163.69797212050344</v>
      </c>
      <c r="G113" s="13"/>
      <c r="H113" s="34">
        <f>+H109-H111</f>
        <v>-147763.81358239101</v>
      </c>
      <c r="I113" s="13"/>
      <c r="J113" s="30">
        <f>IF(H$12=0,0,H113/H$12)</f>
        <v>-33.697562960636489</v>
      </c>
      <c r="K113" s="15"/>
      <c r="L113" s="34">
        <f>D113-H113</f>
        <v>-11826.976417608996</v>
      </c>
      <c r="M113" s="15"/>
      <c r="N113" s="30">
        <f>IF(H113=0,0,L113/H113)</f>
        <v>8.0039734566098225E-2</v>
      </c>
      <c r="O113" s="26"/>
      <c r="P113" s="34">
        <f>+P109-P111</f>
        <v>-159590.79</v>
      </c>
      <c r="Q113" s="13"/>
      <c r="R113" s="30">
        <f>IF(P$12=0,0,P113/P$12)</f>
        <v>-163.69797212050344</v>
      </c>
      <c r="S113" s="13"/>
      <c r="T113" s="34">
        <f>+T109-T111</f>
        <v>-147763.81358239101</v>
      </c>
      <c r="U113" s="13"/>
      <c r="V113" s="30">
        <f>IF(T$12=0,0,T113/T$12)</f>
        <v>-33.697562960636489</v>
      </c>
      <c r="W113" s="15"/>
      <c r="X113" s="34">
        <f>P113-T113</f>
        <v>-11826.976417608996</v>
      </c>
      <c r="Y113" s="15"/>
      <c r="Z113" s="30">
        <f>IF(T113=0,0,X113/T113)</f>
        <v>8.0039734566098225E-2</v>
      </c>
    </row>
    <row r="114" spans="1:26" ht="15.75" thickTop="1" x14ac:dyDescent="0.25">
      <c r="A114" s="9"/>
      <c r="B114" s="9"/>
      <c r="C114" s="9"/>
      <c r="D114" s="2"/>
      <c r="E114" s="2"/>
      <c r="F114" s="6"/>
      <c r="G114" s="2"/>
      <c r="H114" s="2"/>
      <c r="I114" s="2"/>
      <c r="J114" s="6"/>
      <c r="K114" s="2"/>
      <c r="L114" s="2"/>
      <c r="M114" s="2"/>
      <c r="N114" s="6"/>
      <c r="P114" s="2"/>
      <c r="Q114" s="2"/>
      <c r="R114" s="6"/>
      <c r="S114" s="2"/>
      <c r="T114" s="2"/>
      <c r="U114" s="2"/>
      <c r="V114" s="6"/>
      <c r="W114" s="2"/>
      <c r="X114" s="2"/>
      <c r="Y114" s="2"/>
      <c r="Z114" s="6"/>
    </row>
    <row r="115" spans="1:26" x14ac:dyDescent="0.25">
      <c r="A115" s="9"/>
      <c r="B115" s="9"/>
      <c r="C115" s="9"/>
      <c r="D115" s="2"/>
      <c r="E115" s="2"/>
      <c r="F115" s="6"/>
      <c r="G115" s="2"/>
      <c r="H115" s="2"/>
      <c r="I115" s="2"/>
      <c r="J115" s="6"/>
      <c r="K115" s="2"/>
      <c r="L115" s="2"/>
      <c r="M115" s="2"/>
      <c r="N115" s="6"/>
      <c r="P115" s="2"/>
      <c r="Q115" s="2"/>
      <c r="R115" s="6"/>
      <c r="S115" s="2"/>
      <c r="T115" s="2"/>
      <c r="U115" s="2"/>
      <c r="V115" s="6"/>
      <c r="W115" s="2"/>
      <c r="X115" s="2"/>
      <c r="Y115" s="2"/>
      <c r="Z115" s="6"/>
    </row>
    <row r="116" spans="1:26" s="22" customFormat="1" ht="15.75" thickBot="1" x14ac:dyDescent="0.3">
      <c r="A116" s="10"/>
      <c r="B116" s="25" t="s">
        <v>5</v>
      </c>
      <c r="C116" s="25"/>
      <c r="D116" s="32">
        <f>SUM(D113:D115)</f>
        <v>-159590.79</v>
      </c>
      <c r="E116" s="13"/>
      <c r="F116" s="33">
        <f>IF(D$12=0,0,D116/D$12)</f>
        <v>-163.69797212050344</v>
      </c>
      <c r="G116" s="13"/>
      <c r="H116" s="32">
        <f>SUM(H113:H115)</f>
        <v>-147763.81358239101</v>
      </c>
      <c r="I116" s="13"/>
      <c r="J116" s="33">
        <f>IF(H$12=0,0,H116/H$12)</f>
        <v>-33.697562960636489</v>
      </c>
      <c r="K116" s="15"/>
      <c r="L116" s="32">
        <f>+D116-H116</f>
        <v>-11826.976417608996</v>
      </c>
      <c r="M116" s="15"/>
      <c r="N116" s="33">
        <f>IF(H116=0,0,L116/H116)</f>
        <v>8.0039734566098225E-2</v>
      </c>
      <c r="O116" s="26"/>
      <c r="P116" s="32">
        <f>SUM(P113:P115)</f>
        <v>-159590.79</v>
      </c>
      <c r="Q116" s="13"/>
      <c r="R116" s="33">
        <f>IF(P$12=0,0,P116/P$12)</f>
        <v>-163.69797212050344</v>
      </c>
      <c r="S116" s="13"/>
      <c r="T116" s="32">
        <f>SUM(T113:T115)</f>
        <v>-147763.81358239101</v>
      </c>
      <c r="U116" s="13"/>
      <c r="V116" s="33">
        <f>IF(T$12=0,0,T116/T$12)</f>
        <v>-33.697562960636489</v>
      </c>
      <c r="W116" s="15"/>
      <c r="X116" s="32">
        <f>+P116-T116</f>
        <v>-11826.976417608996</v>
      </c>
      <c r="Y116" s="15"/>
      <c r="Z116" s="33">
        <f>IF(T116=0,0,X116/T116)</f>
        <v>8.0039734566098225E-2</v>
      </c>
    </row>
    <row r="117" spans="1:26" ht="15.75" thickTop="1" x14ac:dyDescent="0.25">
      <c r="A117" s="9"/>
      <c r="C117" s="9"/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8">
        <v>44104.685580590274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56" t="s">
        <v>314</v>
      </c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62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974.91</v>
      </c>
      <c r="E12" s="4"/>
      <c r="F12" s="11"/>
      <c r="G12" s="4"/>
      <c r="H12" s="4">
        <f>SUM(OSRRefH13x_0)</f>
        <v>4335</v>
      </c>
      <c r="I12" s="4"/>
      <c r="J12" s="11"/>
      <c r="K12" s="4"/>
      <c r="L12" s="4">
        <f t="shared" ref="L12:L15" si="0">+D12-H12</f>
        <v>-3360.09</v>
      </c>
      <c r="M12" s="4"/>
      <c r="N12" s="11">
        <f t="shared" ref="N12:N15" si="1">IF(H12=0,0,L12/H12)</f>
        <v>-0.77510726643598615</v>
      </c>
      <c r="O12" s="10"/>
      <c r="P12" s="4">
        <f>SUM(OSRRefP13x_0)</f>
        <v>974.91</v>
      </c>
      <c r="Q12" s="4"/>
      <c r="R12" s="11"/>
      <c r="S12" s="4"/>
      <c r="T12" s="4">
        <f>SUM(OSRRefT13x_0)</f>
        <v>4335</v>
      </c>
      <c r="U12" s="4"/>
      <c r="V12" s="11"/>
      <c r="W12" s="4"/>
      <c r="X12" s="4">
        <f t="shared" ref="X12:X15" si="2">+P12-T12</f>
        <v>-3360.09</v>
      </c>
      <c r="Y12" s="4"/>
      <c r="Z12" s="11">
        <f t="shared" ref="Z12:Z15" si="3">IF(T12=0,0,X12/T12)</f>
        <v>-0.77510726643598615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0</f>
        <v>0</v>
      </c>
      <c r="E13" s="3"/>
      <c r="F13" s="23"/>
      <c r="G13" s="3"/>
      <c r="H13" s="3">
        <v>1348</v>
      </c>
      <c r="I13" s="3"/>
      <c r="J13" s="23"/>
      <c r="K13" s="3"/>
      <c r="L13" s="3">
        <f t="shared" si="0"/>
        <v>-1348</v>
      </c>
      <c r="M13" s="3"/>
      <c r="N13" s="23">
        <f t="shared" si="1"/>
        <v>-1</v>
      </c>
      <c r="O13" s="12"/>
      <c r="P13" s="3">
        <f>0</f>
        <v>0</v>
      </c>
      <c r="Q13" s="3"/>
      <c r="R13" s="23"/>
      <c r="S13" s="3"/>
      <c r="T13" s="3">
        <v>1348</v>
      </c>
      <c r="U13" s="3"/>
      <c r="V13" s="23"/>
      <c r="W13" s="3"/>
      <c r="X13" s="3">
        <f t="shared" si="2"/>
        <v>-1348</v>
      </c>
      <c r="Y13" s="3"/>
      <c r="Z13" s="23">
        <f t="shared" si="3"/>
        <v>-1</v>
      </c>
    </row>
    <row r="14" spans="1:26" s="24" customFormat="1" hidden="1" outlineLevel="1" x14ac:dyDescent="0.25">
      <c r="A14" s="51"/>
      <c r="B14" s="12" t="str">
        <f>CONCATENATE("          ", "4058", " - ", "TAXABLE SALES-FOOD")</f>
        <v xml:space="preserve">          4058 - TAXABLE SALES-FOOD</v>
      </c>
      <c r="C14" s="12"/>
      <c r="D14" s="3">
        <f>--974.91</f>
        <v>974.91</v>
      </c>
      <c r="E14" s="3"/>
      <c r="F14" s="23"/>
      <c r="G14" s="3"/>
      <c r="H14" s="3"/>
      <c r="I14" s="3"/>
      <c r="J14" s="23"/>
      <c r="K14" s="3"/>
      <c r="L14" s="3">
        <f t="shared" si="0"/>
        <v>974.91</v>
      </c>
      <c r="M14" s="3"/>
      <c r="N14" s="23">
        <f t="shared" si="1"/>
        <v>0</v>
      </c>
      <c r="O14" s="12"/>
      <c r="P14" s="3">
        <f>--974.91</f>
        <v>974.91</v>
      </c>
      <c r="Q14" s="3"/>
      <c r="R14" s="23"/>
      <c r="S14" s="3"/>
      <c r="T14" s="3"/>
      <c r="U14" s="3"/>
      <c r="V14" s="23"/>
      <c r="W14" s="3"/>
      <c r="X14" s="3">
        <f t="shared" si="2"/>
        <v>974.91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"4100", " - ", "NON-TAXABLE SALES")</f>
        <v xml:space="preserve">          4100 - NON-TAXABLE SALES</v>
      </c>
      <c r="C15" s="12"/>
      <c r="D15" s="3">
        <f>0</f>
        <v>0</v>
      </c>
      <c r="E15" s="3"/>
      <c r="F15" s="23"/>
      <c r="G15" s="3"/>
      <c r="H15" s="3">
        <v>2987</v>
      </c>
      <c r="I15" s="3"/>
      <c r="J15" s="23"/>
      <c r="K15" s="3"/>
      <c r="L15" s="3">
        <f t="shared" si="0"/>
        <v>-2987</v>
      </c>
      <c r="M15" s="3"/>
      <c r="N15" s="23">
        <f t="shared" si="1"/>
        <v>-1</v>
      </c>
      <c r="O15" s="12"/>
      <c r="P15" s="3">
        <f>0</f>
        <v>0</v>
      </c>
      <c r="Q15" s="3"/>
      <c r="R15" s="23"/>
      <c r="S15" s="3"/>
      <c r="T15" s="3">
        <v>2987</v>
      </c>
      <c r="U15" s="3"/>
      <c r="V15" s="23"/>
      <c r="W15" s="3"/>
      <c r="X15" s="3">
        <f t="shared" si="2"/>
        <v>-2987</v>
      </c>
      <c r="Y15" s="3"/>
      <c r="Z15" s="23">
        <f t="shared" si="3"/>
        <v>-1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1">
        <f t="shared" ref="F17:F18" si="4">IF(D$12=0,0,D17/D$12)</f>
        <v>0</v>
      </c>
      <c r="G17" s="4"/>
      <c r="H17" s="4">
        <f>SUM(OSRRefH16x_0)</f>
        <v>1040</v>
      </c>
      <c r="I17" s="4"/>
      <c r="J17" s="11">
        <f t="shared" ref="J17:J18" si="5">IF(H$12=0,0,H17/H$12)</f>
        <v>0.23990772779700115</v>
      </c>
      <c r="K17" s="4"/>
      <c r="L17" s="4">
        <f t="shared" ref="L17:L18" si="6">+D17-H17</f>
        <v>-1040</v>
      </c>
      <c r="M17" s="4"/>
      <c r="N17" s="11">
        <f t="shared" ref="N17:N18" si="7">IF(H17=0,0,L17/H17)</f>
        <v>-1</v>
      </c>
      <c r="O17" s="10"/>
      <c r="P17" s="4">
        <f>SUM(OSRRefP16x_0)</f>
        <v>0</v>
      </c>
      <c r="Q17" s="4"/>
      <c r="R17" s="11">
        <f t="shared" ref="R17:R18" si="8">IF(P$12=0,0,P17/P$12)</f>
        <v>0</v>
      </c>
      <c r="S17" s="4"/>
      <c r="T17" s="4">
        <f>SUM(OSRRefT16x_0)</f>
        <v>1040</v>
      </c>
      <c r="U17" s="4"/>
      <c r="V17" s="11">
        <f t="shared" ref="V17:V18" si="9">IF(T$12=0,0,T17/T$12)</f>
        <v>0.23990772779700115</v>
      </c>
      <c r="W17" s="4"/>
      <c r="X17" s="4">
        <f t="shared" ref="X17:X18" si="10">+P17-T17</f>
        <v>-1040</v>
      </c>
      <c r="Y17" s="4"/>
      <c r="Z17" s="11">
        <f t="shared" ref="Z17:Z18" si="11">IF(T17=0,0,X17/T17)</f>
        <v>-1</v>
      </c>
    </row>
    <row r="18" spans="1:26" s="24" customFormat="1" hidden="1" outlineLevel="1" x14ac:dyDescent="0.25">
      <c r="A18" s="51"/>
      <c r="B18" s="12" t="str">
        <f>CONCATENATE("          ", "5000", " - ", "PURCHASES @ COST")</f>
        <v xml:space="preserve">          5000 - PURCHASES @ COST</v>
      </c>
      <c r="C18" s="12"/>
      <c r="D18" s="3"/>
      <c r="E18" s="3"/>
      <c r="F18" s="23">
        <f t="shared" si="4"/>
        <v>0</v>
      </c>
      <c r="G18" s="3"/>
      <c r="H18" s="3">
        <v>1040</v>
      </c>
      <c r="I18" s="3"/>
      <c r="J18" s="23">
        <f t="shared" si="5"/>
        <v>0.23990772779700115</v>
      </c>
      <c r="K18" s="3"/>
      <c r="L18" s="3">
        <f t="shared" si="6"/>
        <v>-1040</v>
      </c>
      <c r="M18" s="3"/>
      <c r="N18" s="23">
        <f t="shared" si="7"/>
        <v>-1</v>
      </c>
      <c r="O18" s="12"/>
      <c r="P18" s="3"/>
      <c r="Q18" s="3"/>
      <c r="R18" s="23">
        <f t="shared" si="8"/>
        <v>0</v>
      </c>
      <c r="S18" s="3"/>
      <c r="T18" s="3">
        <v>1040</v>
      </c>
      <c r="U18" s="3"/>
      <c r="V18" s="23">
        <f t="shared" si="9"/>
        <v>0.23990772779700115</v>
      </c>
      <c r="W18" s="3"/>
      <c r="X18" s="3">
        <f t="shared" si="10"/>
        <v>-1040</v>
      </c>
      <c r="Y18" s="3"/>
      <c r="Z18" s="23">
        <f t="shared" si="11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2" customFormat="1" x14ac:dyDescent="0.25">
      <c r="A20" s="10"/>
      <c r="B20" s="25" t="s">
        <v>6</v>
      </c>
      <c r="C20" s="25"/>
      <c r="D20" s="21">
        <f>D12-D17</f>
        <v>974.91</v>
      </c>
      <c r="E20" s="13"/>
      <c r="F20" s="20">
        <f>IF(D$12=0,0,D20/D$12)</f>
        <v>1</v>
      </c>
      <c r="G20" s="13"/>
      <c r="H20" s="21">
        <f>H12-H17</f>
        <v>3295</v>
      </c>
      <c r="I20" s="13"/>
      <c r="J20" s="20">
        <f>IF(H$12=0,0,H20/H$12)</f>
        <v>0.7600922722029988</v>
      </c>
      <c r="K20" s="15"/>
      <c r="L20" s="21">
        <f>+D20-H20</f>
        <v>-2320.09</v>
      </c>
      <c r="M20" s="15"/>
      <c r="N20" s="20">
        <f>IF(H20=0,0,L20/H20)</f>
        <v>-0.70412443095599397</v>
      </c>
      <c r="O20" s="26"/>
      <c r="P20" s="21">
        <f>P12-P17</f>
        <v>974.91</v>
      </c>
      <c r="Q20" s="13"/>
      <c r="R20" s="20">
        <f>IF(P$12=0,0,P20/P$12)</f>
        <v>1</v>
      </c>
      <c r="S20" s="13"/>
      <c r="T20" s="21">
        <f>T12-T17</f>
        <v>3295</v>
      </c>
      <c r="U20" s="13"/>
      <c r="V20" s="20">
        <f>IF(T$12=0,0,T20/T$12)</f>
        <v>0.7600922722029988</v>
      </c>
      <c r="W20" s="15"/>
      <c r="X20" s="21">
        <f>+P20-T20</f>
        <v>-2320.09</v>
      </c>
      <c r="Y20" s="15"/>
      <c r="Z20" s="20">
        <f>IF(T20=0,0,X20/T20)</f>
        <v>-0.70412443095599397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2" customFormat="1" x14ac:dyDescent="0.25">
      <c r="A22" s="10"/>
      <c r="B22" s="26" t="s">
        <v>9</v>
      </c>
      <c r="C22" s="10"/>
      <c r="D22" s="19">
        <f>SUM(OSRRefD22x_0)</f>
        <v>127125.15000000004</v>
      </c>
      <c r="E22" s="19"/>
      <c r="F22" s="31">
        <f t="shared" ref="F22:F32" si="12">IF(D$12=0,0,D22/D$12)</f>
        <v>130.3968058590024</v>
      </c>
      <c r="G22" s="19"/>
      <c r="H22" s="19">
        <f>SUM(OSRRefH22x_0)</f>
        <v>110935.83185739101</v>
      </c>
      <c r="I22" s="19"/>
      <c r="J22" s="31">
        <f t="shared" ref="J22:J32" si="13">IF(H$12=0,0,H22/H$12)</f>
        <v>25.590733992477741</v>
      </c>
      <c r="K22" s="4"/>
      <c r="L22" s="19">
        <f t="shared" ref="L22:L32" si="14">+D22-H22</f>
        <v>16189.31814260903</v>
      </c>
      <c r="M22" s="4"/>
      <c r="N22" s="31">
        <f t="shared" ref="N22:N32" si="15">IF(H22=0,0,L22/H22)</f>
        <v>0.14593407622724228</v>
      </c>
      <c r="O22" s="10"/>
      <c r="P22" s="19">
        <f>SUM(OSRRefP22x_0)</f>
        <v>127125.15000000004</v>
      </c>
      <c r="Q22" s="19"/>
      <c r="R22" s="31">
        <f t="shared" ref="R22:R32" si="16">IF(P$12=0,0,P22/P$12)</f>
        <v>130.3968058590024</v>
      </c>
      <c r="S22" s="19"/>
      <c r="T22" s="19">
        <f>SUM(OSRRefT22x_0)</f>
        <v>110935.83185739101</v>
      </c>
      <c r="U22" s="19"/>
      <c r="V22" s="31">
        <f t="shared" ref="V22:V32" si="17">IF(T$12=0,0,T22/T$12)</f>
        <v>25.590733992477741</v>
      </c>
      <c r="W22" s="4"/>
      <c r="X22" s="19">
        <f t="shared" ref="X22:X32" si="18">+P22-T22</f>
        <v>16189.31814260903</v>
      </c>
      <c r="Y22" s="4"/>
      <c r="Z22" s="31">
        <f t="shared" ref="Z22:Z32" si="19">IF(T22=0,0,X22/T22)</f>
        <v>0.14593407622724228</v>
      </c>
    </row>
    <row r="23" spans="1:26" s="29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25973.47</v>
      </c>
      <c r="E23" s="1"/>
      <c r="F23" s="5">
        <f t="shared" si="12"/>
        <v>26.641915664010014</v>
      </c>
      <c r="G23" s="1"/>
      <c r="H23" s="1">
        <f>SUM(OSRRefH22_0x_0)</f>
        <v>15236.301408673076</v>
      </c>
      <c r="I23" s="1"/>
      <c r="J23" s="5">
        <f t="shared" si="13"/>
        <v>3.5147177413317361</v>
      </c>
      <c r="K23" s="1"/>
      <c r="L23" s="1">
        <f t="shared" si="14"/>
        <v>10737.168591326925</v>
      </c>
      <c r="M23" s="1"/>
      <c r="N23" s="5">
        <f t="shared" si="15"/>
        <v>0.70470964726484897</v>
      </c>
      <c r="O23" s="14"/>
      <c r="P23" s="1">
        <f>SUM(OSRRefP22_0x_0)</f>
        <v>25973.47</v>
      </c>
      <c r="Q23" s="1"/>
      <c r="R23" s="5">
        <f t="shared" si="16"/>
        <v>26.641915664010014</v>
      </c>
      <c r="S23" s="1"/>
      <c r="T23" s="1">
        <f>SUM(OSRRefT22_0x_0)</f>
        <v>15236.301408673076</v>
      </c>
      <c r="U23" s="1"/>
      <c r="V23" s="5">
        <f t="shared" si="17"/>
        <v>3.5147177413317361</v>
      </c>
      <c r="W23" s="1"/>
      <c r="X23" s="1">
        <f t="shared" si="18"/>
        <v>10737.168591326925</v>
      </c>
      <c r="Y23" s="1"/>
      <c r="Z23" s="5">
        <f t="shared" si="19"/>
        <v>0.70470964726484897</v>
      </c>
    </row>
    <row r="24" spans="1:26" s="24" customFormat="1" hidden="1" outlineLevel="2" x14ac:dyDescent="0.25">
      <c r="A24" s="27"/>
      <c r="B24" s="12" t="str">
        <f>CONCATENATE("          ", "6111", " - ", "F.I.C.A.")</f>
        <v xml:space="preserve">          6111 - F.I.C.A.</v>
      </c>
      <c r="C24" s="12"/>
      <c r="D24" s="7">
        <v>2614.65</v>
      </c>
      <c r="E24" s="3"/>
      <c r="F24" s="8">
        <f t="shared" si="12"/>
        <v>2.6819398713727423</v>
      </c>
      <c r="G24" s="3"/>
      <c r="H24" s="7">
        <v>1930.7955327115399</v>
      </c>
      <c r="I24" s="3"/>
      <c r="J24" s="8">
        <f t="shared" si="13"/>
        <v>0.44539689335906341</v>
      </c>
      <c r="K24" s="3"/>
      <c r="L24" s="7">
        <f t="shared" si="14"/>
        <v>683.85446728846023</v>
      </c>
      <c r="M24" s="3"/>
      <c r="N24" s="8">
        <f t="shared" si="15"/>
        <v>0.3541827478376644</v>
      </c>
      <c r="O24" s="12"/>
      <c r="P24" s="7">
        <v>2614.65</v>
      </c>
      <c r="Q24" s="3"/>
      <c r="R24" s="8">
        <f t="shared" si="16"/>
        <v>2.6819398713727423</v>
      </c>
      <c r="S24" s="3"/>
      <c r="T24" s="7">
        <v>1930.7955327115399</v>
      </c>
      <c r="U24" s="3"/>
      <c r="V24" s="8">
        <f t="shared" si="17"/>
        <v>0.44539689335906341</v>
      </c>
      <c r="W24" s="3"/>
      <c r="X24" s="7">
        <f t="shared" si="18"/>
        <v>683.85446728846023</v>
      </c>
      <c r="Y24" s="3"/>
      <c r="Z24" s="8">
        <f t="shared" si="19"/>
        <v>0.3541827478376644</v>
      </c>
    </row>
    <row r="25" spans="1:26" s="24" customFormat="1" hidden="1" outlineLevel="2" x14ac:dyDescent="0.25">
      <c r="A25" s="27"/>
      <c r="B25" s="12" t="str">
        <f>CONCATENATE("          ", "6112", " - ", "COMPENSATION INSURANCE")</f>
        <v xml:space="preserve">          6112 - COMPENSATION INSURANCE</v>
      </c>
      <c r="C25" s="12"/>
      <c r="D25" s="7">
        <v>568.9</v>
      </c>
      <c r="E25" s="3"/>
      <c r="F25" s="8">
        <f t="shared" si="12"/>
        <v>0.58354104481439317</v>
      </c>
      <c r="G25" s="3"/>
      <c r="H25" s="7">
        <v>608.02487942307687</v>
      </c>
      <c r="I25" s="3"/>
      <c r="J25" s="8">
        <f t="shared" si="13"/>
        <v>0.14025948775618843</v>
      </c>
      <c r="K25" s="3"/>
      <c r="L25" s="7">
        <f t="shared" si="14"/>
        <v>-39.124879423076891</v>
      </c>
      <c r="M25" s="3"/>
      <c r="N25" s="8">
        <f t="shared" si="15"/>
        <v>-6.4347497523786282E-2</v>
      </c>
      <c r="O25" s="12"/>
      <c r="P25" s="7">
        <v>568.9</v>
      </c>
      <c r="Q25" s="3"/>
      <c r="R25" s="8">
        <f t="shared" si="16"/>
        <v>0.58354104481439317</v>
      </c>
      <c r="S25" s="3"/>
      <c r="T25" s="7">
        <v>608.02487942307687</v>
      </c>
      <c r="U25" s="3"/>
      <c r="V25" s="8">
        <f t="shared" si="17"/>
        <v>0.14025948775618843</v>
      </c>
      <c r="W25" s="3"/>
      <c r="X25" s="7">
        <f t="shared" si="18"/>
        <v>-39.124879423076891</v>
      </c>
      <c r="Y25" s="3"/>
      <c r="Z25" s="8">
        <f t="shared" si="19"/>
        <v>-6.4347497523786282E-2</v>
      </c>
    </row>
    <row r="26" spans="1:26" s="24" customFormat="1" hidden="1" outlineLevel="2" x14ac:dyDescent="0.25">
      <c r="A26" s="27"/>
      <c r="B26" s="12" t="str">
        <f>CONCATENATE("          ", "6113", " - ", "GROUP INSURANCE")</f>
        <v xml:space="preserve">          6113 - GROUP INSURANCE</v>
      </c>
      <c r="C26" s="12"/>
      <c r="D26" s="7">
        <v>13618.52</v>
      </c>
      <c r="E26" s="3"/>
      <c r="F26" s="8">
        <f t="shared" si="12"/>
        <v>13.969002266875918</v>
      </c>
      <c r="G26" s="3"/>
      <c r="H26" s="7">
        <v>8037.6923076922994</v>
      </c>
      <c r="I26" s="3"/>
      <c r="J26" s="8">
        <f t="shared" si="13"/>
        <v>1.8541389406441291</v>
      </c>
      <c r="K26" s="3"/>
      <c r="L26" s="7">
        <f t="shared" si="14"/>
        <v>5580.827692307701</v>
      </c>
      <c r="M26" s="3"/>
      <c r="N26" s="8">
        <f t="shared" si="15"/>
        <v>0.69433208919514011</v>
      </c>
      <c r="O26" s="12"/>
      <c r="P26" s="7">
        <v>13618.52</v>
      </c>
      <c r="Q26" s="3"/>
      <c r="R26" s="8">
        <f t="shared" si="16"/>
        <v>13.969002266875918</v>
      </c>
      <c r="S26" s="3"/>
      <c r="T26" s="7">
        <v>8037.6923076922994</v>
      </c>
      <c r="U26" s="3"/>
      <c r="V26" s="8">
        <f t="shared" si="17"/>
        <v>1.8541389406441291</v>
      </c>
      <c r="W26" s="3"/>
      <c r="X26" s="7">
        <f t="shared" si="18"/>
        <v>5580.827692307701</v>
      </c>
      <c r="Y26" s="3"/>
      <c r="Z26" s="8">
        <f t="shared" si="19"/>
        <v>0.69433208919514011</v>
      </c>
    </row>
    <row r="27" spans="1:26" s="24" customFormat="1" hidden="1" outlineLevel="2" x14ac:dyDescent="0.25">
      <c r="A27" s="27"/>
      <c r="B27" s="12" t="str">
        <f>CONCATENATE("          ", "6114", " - ", "STATE UNEMPLOYMENT INSURANCE")</f>
        <v xml:space="preserve">          6114 - STATE UNEMPLOYMENT INSURANCE</v>
      </c>
      <c r="C27" s="12"/>
      <c r="D27" s="7">
        <v>81.95</v>
      </c>
      <c r="E27" s="3"/>
      <c r="F27" s="8">
        <f t="shared" si="12"/>
        <v>8.4059041347406438E-2</v>
      </c>
      <c r="G27" s="3"/>
      <c r="H27" s="7">
        <v>70.057685000000006</v>
      </c>
      <c r="I27" s="3"/>
      <c r="J27" s="8">
        <f t="shared" si="13"/>
        <v>1.6160942329873126E-2</v>
      </c>
      <c r="K27" s="3"/>
      <c r="L27" s="7">
        <f t="shared" si="14"/>
        <v>11.892314999999996</v>
      </c>
      <c r="M27" s="3"/>
      <c r="N27" s="8">
        <f t="shared" si="15"/>
        <v>0.16975032789050901</v>
      </c>
      <c r="O27" s="12"/>
      <c r="P27" s="7">
        <v>81.95</v>
      </c>
      <c r="Q27" s="3"/>
      <c r="R27" s="8">
        <f t="shared" si="16"/>
        <v>8.4059041347406438E-2</v>
      </c>
      <c r="S27" s="3"/>
      <c r="T27" s="7">
        <v>70.057685000000006</v>
      </c>
      <c r="U27" s="3"/>
      <c r="V27" s="8">
        <f t="shared" si="17"/>
        <v>1.6160942329873126E-2</v>
      </c>
      <c r="W27" s="3"/>
      <c r="X27" s="7">
        <f t="shared" si="18"/>
        <v>11.892314999999996</v>
      </c>
      <c r="Y27" s="3"/>
      <c r="Z27" s="8">
        <f t="shared" si="19"/>
        <v>0.16975032789050901</v>
      </c>
    </row>
    <row r="28" spans="1:26" s="24" customFormat="1" hidden="1" outlineLevel="2" x14ac:dyDescent="0.25">
      <c r="A28" s="27"/>
      <c r="B28" s="12" t="str">
        <f>CONCATENATE("          ", "6115", " - ", "P.E.R.S.")</f>
        <v xml:space="preserve">          6115 - P.E.R.S.</v>
      </c>
      <c r="C28" s="12"/>
      <c r="D28" s="7">
        <v>4648.8</v>
      </c>
      <c r="E28" s="3"/>
      <c r="F28" s="8">
        <f t="shared" si="12"/>
        <v>4.7684401637074192</v>
      </c>
      <c r="G28" s="3"/>
      <c r="H28" s="7">
        <v>1732.6646576923099</v>
      </c>
      <c r="I28" s="3"/>
      <c r="J28" s="8">
        <f t="shared" si="13"/>
        <v>0.3996919625587797</v>
      </c>
      <c r="K28" s="3"/>
      <c r="L28" s="7">
        <f t="shared" si="14"/>
        <v>2916.1353423076903</v>
      </c>
      <c r="M28" s="3"/>
      <c r="N28" s="8">
        <f t="shared" si="15"/>
        <v>1.683035046257372</v>
      </c>
      <c r="O28" s="12"/>
      <c r="P28" s="7">
        <v>4648.8</v>
      </c>
      <c r="Q28" s="3"/>
      <c r="R28" s="8">
        <f t="shared" si="16"/>
        <v>4.7684401637074192</v>
      </c>
      <c r="S28" s="3"/>
      <c r="T28" s="7">
        <v>1732.6646576923099</v>
      </c>
      <c r="U28" s="3"/>
      <c r="V28" s="8">
        <f t="shared" si="17"/>
        <v>0.3996919625587797</v>
      </c>
      <c r="W28" s="3"/>
      <c r="X28" s="7">
        <f t="shared" si="18"/>
        <v>2916.1353423076903</v>
      </c>
      <c r="Y28" s="3"/>
      <c r="Z28" s="8">
        <f t="shared" si="19"/>
        <v>1.683035046257372</v>
      </c>
    </row>
    <row r="29" spans="1:26" s="24" customFormat="1" hidden="1" outlineLevel="2" x14ac:dyDescent="0.25">
      <c r="A29" s="27"/>
      <c r="B29" s="12" t="str">
        <f>CONCATENATE("          ", "6116", " - ", "EDUCATIONAL BENEFITS")</f>
        <v xml:space="preserve">          6116 - EDUCATIONAL BENEFITS</v>
      </c>
      <c r="C29" s="12"/>
      <c r="D29" s="7"/>
      <c r="E29" s="3"/>
      <c r="F29" s="8">
        <f t="shared" si="12"/>
        <v>0</v>
      </c>
      <c r="G29" s="3"/>
      <c r="H29" s="7">
        <v>0</v>
      </c>
      <c r="I29" s="3"/>
      <c r="J29" s="8">
        <f t="shared" si="13"/>
        <v>0</v>
      </c>
      <c r="K29" s="3"/>
      <c r="L29" s="7">
        <f t="shared" si="14"/>
        <v>0</v>
      </c>
      <c r="M29" s="3"/>
      <c r="N29" s="8">
        <f t="shared" si="15"/>
        <v>0</v>
      </c>
      <c r="O29" s="12"/>
      <c r="P29" s="7"/>
      <c r="Q29" s="3"/>
      <c r="R29" s="8">
        <f t="shared" si="16"/>
        <v>0</v>
      </c>
      <c r="S29" s="3"/>
      <c r="T29" s="7">
        <v>0</v>
      </c>
      <c r="U29" s="3"/>
      <c r="V29" s="8">
        <f t="shared" si="17"/>
        <v>0</v>
      </c>
      <c r="W29" s="3"/>
      <c r="X29" s="7">
        <f t="shared" si="18"/>
        <v>0</v>
      </c>
      <c r="Y29" s="3"/>
      <c r="Z29" s="8">
        <f t="shared" si="19"/>
        <v>0</v>
      </c>
    </row>
    <row r="30" spans="1:26" s="24" customFormat="1" hidden="1" outlineLevel="2" x14ac:dyDescent="0.25">
      <c r="A30" s="27"/>
      <c r="B30" s="12" t="str">
        <f>CONCATENATE("          ", "6118", " - ", "VACATION")</f>
        <v xml:space="preserve">          6118 - VACATION</v>
      </c>
      <c r="C30" s="12"/>
      <c r="D30" s="7">
        <v>2560.33</v>
      </c>
      <c r="E30" s="3"/>
      <c r="F30" s="8">
        <f t="shared" si="12"/>
        <v>2.6262219076632713</v>
      </c>
      <c r="G30" s="3"/>
      <c r="H30" s="7">
        <v>1905.1900961538499</v>
      </c>
      <c r="I30" s="3"/>
      <c r="J30" s="8">
        <f t="shared" si="13"/>
        <v>0.43949021825925028</v>
      </c>
      <c r="K30" s="3"/>
      <c r="L30" s="7">
        <f t="shared" si="14"/>
        <v>655.13990384614999</v>
      </c>
      <c r="M30" s="3"/>
      <c r="N30" s="8">
        <f t="shared" si="15"/>
        <v>0.34387114712003281</v>
      </c>
      <c r="O30" s="12"/>
      <c r="P30" s="7">
        <v>2560.33</v>
      </c>
      <c r="Q30" s="3"/>
      <c r="R30" s="8">
        <f t="shared" si="16"/>
        <v>2.6262219076632713</v>
      </c>
      <c r="S30" s="3"/>
      <c r="T30" s="7">
        <v>1905.1900961538499</v>
      </c>
      <c r="U30" s="3"/>
      <c r="V30" s="8">
        <f t="shared" si="17"/>
        <v>0.43949021825925028</v>
      </c>
      <c r="W30" s="3"/>
      <c r="X30" s="7">
        <f t="shared" si="18"/>
        <v>655.13990384614999</v>
      </c>
      <c r="Y30" s="3"/>
      <c r="Z30" s="8">
        <f t="shared" si="19"/>
        <v>0.34387114712003281</v>
      </c>
    </row>
    <row r="31" spans="1:26" s="24" customFormat="1" hidden="1" outlineLevel="2" x14ac:dyDescent="0.25">
      <c r="A31" s="27"/>
      <c r="B31" s="12" t="str">
        <f>CONCATENATE("          ", "6119", " - ", "SICK LEAVE")</f>
        <v xml:space="preserve">          6119 - SICK LEAVE</v>
      </c>
      <c r="C31" s="12"/>
      <c r="D31" s="7">
        <v>1576.57</v>
      </c>
      <c r="E31" s="3"/>
      <c r="F31" s="8">
        <f t="shared" si="12"/>
        <v>1.6171441466391769</v>
      </c>
      <c r="G31" s="3"/>
      <c r="H31" s="7">
        <v>601.87625000000003</v>
      </c>
      <c r="I31" s="3"/>
      <c r="J31" s="8">
        <f t="shared" si="13"/>
        <v>0.13884111880046138</v>
      </c>
      <c r="K31" s="3"/>
      <c r="L31" s="7">
        <f t="shared" si="14"/>
        <v>974.69374999999991</v>
      </c>
      <c r="M31" s="3"/>
      <c r="N31" s="8">
        <f t="shared" si="15"/>
        <v>1.6194255048276118</v>
      </c>
      <c r="O31" s="12"/>
      <c r="P31" s="7">
        <v>1576.57</v>
      </c>
      <c r="Q31" s="3"/>
      <c r="R31" s="8">
        <f t="shared" si="16"/>
        <v>1.6171441466391769</v>
      </c>
      <c r="S31" s="3"/>
      <c r="T31" s="7">
        <v>601.87625000000003</v>
      </c>
      <c r="U31" s="3"/>
      <c r="V31" s="8">
        <f t="shared" si="17"/>
        <v>0.13884111880046138</v>
      </c>
      <c r="W31" s="3"/>
      <c r="X31" s="7">
        <f t="shared" si="18"/>
        <v>974.69374999999991</v>
      </c>
      <c r="Y31" s="3"/>
      <c r="Z31" s="8">
        <f t="shared" si="19"/>
        <v>1.6194255048276118</v>
      </c>
    </row>
    <row r="32" spans="1:26" s="24" customFormat="1" hidden="1" outlineLevel="2" x14ac:dyDescent="0.25">
      <c r="A32" s="27"/>
      <c r="B32" s="12" t="str">
        <f>CONCATENATE("          ", "6156", " - ", "EMPLOYEE MEALS")</f>
        <v xml:space="preserve">          6156 - EMPLOYEE MEALS</v>
      </c>
      <c r="C32" s="12"/>
      <c r="D32" s="7">
        <v>303.75</v>
      </c>
      <c r="E32" s="3"/>
      <c r="F32" s="8">
        <f t="shared" si="12"/>
        <v>0.31156722158968519</v>
      </c>
      <c r="G32" s="3"/>
      <c r="H32" s="7">
        <v>350</v>
      </c>
      <c r="I32" s="3"/>
      <c r="J32" s="8">
        <f t="shared" si="13"/>
        <v>8.073817762399077E-2</v>
      </c>
      <c r="K32" s="3"/>
      <c r="L32" s="7">
        <f t="shared" si="14"/>
        <v>-46.25</v>
      </c>
      <c r="M32" s="3"/>
      <c r="N32" s="8">
        <f t="shared" si="15"/>
        <v>-0.13214285714285715</v>
      </c>
      <c r="O32" s="12"/>
      <c r="P32" s="7">
        <v>303.75</v>
      </c>
      <c r="Q32" s="3"/>
      <c r="R32" s="8">
        <f t="shared" si="16"/>
        <v>0.31156722158968519</v>
      </c>
      <c r="S32" s="3"/>
      <c r="T32" s="7">
        <v>350</v>
      </c>
      <c r="U32" s="3"/>
      <c r="V32" s="8">
        <f t="shared" si="17"/>
        <v>8.073817762399077E-2</v>
      </c>
      <c r="W32" s="3"/>
      <c r="X32" s="7">
        <f t="shared" si="18"/>
        <v>-46.25</v>
      </c>
      <c r="Y32" s="3"/>
      <c r="Z32" s="8">
        <f t="shared" si="19"/>
        <v>-0.13214285714285715</v>
      </c>
    </row>
    <row r="33" spans="1:26" s="29" customFormat="1" outlineLevel="1" collapsed="1" x14ac:dyDescent="0.25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36428.020000000004</v>
      </c>
      <c r="E33" s="1"/>
      <c r="F33" s="5">
        <f t="shared" ref="F33:F43" si="20">IF(D$12=0,0,D33/D$12)</f>
        <v>37.365520919879792</v>
      </c>
      <c r="G33" s="1"/>
      <c r="H33" s="1">
        <f>SUM(OSRRefH22_1x_0)</f>
        <v>24438.197115384599</v>
      </c>
      <c r="I33" s="1"/>
      <c r="J33" s="5">
        <f t="shared" ref="J33:J43" si="21">IF(H$12=0,0,H33/H$12)</f>
        <v>5.6374157128914879</v>
      </c>
      <c r="K33" s="1"/>
      <c r="L33" s="1">
        <f t="shared" ref="L33:L43" si="22">+D33-H33</f>
        <v>11989.822884615405</v>
      </c>
      <c r="M33" s="1"/>
      <c r="N33" s="5">
        <f t="shared" ref="N33:N43" si="23">IF(H33=0,0,L33/H33)</f>
        <v>0.49061814290168898</v>
      </c>
      <c r="O33" s="14"/>
      <c r="P33" s="1">
        <f>SUM(OSRRefP22_1x_0)</f>
        <v>36428.020000000004</v>
      </c>
      <c r="Q33" s="1"/>
      <c r="R33" s="5">
        <f t="shared" ref="R33:R43" si="24">IF(P$12=0,0,P33/P$12)</f>
        <v>37.365520919879792</v>
      </c>
      <c r="S33" s="1"/>
      <c r="T33" s="1">
        <f>SUM(OSRRefT22_1x_0)</f>
        <v>24438.197115384599</v>
      </c>
      <c r="U33" s="1"/>
      <c r="V33" s="5">
        <f t="shared" ref="V33:V43" si="25">IF(T$12=0,0,T33/T$12)</f>
        <v>5.6374157128914879</v>
      </c>
      <c r="W33" s="1"/>
      <c r="X33" s="1">
        <f t="shared" ref="X33:X43" si="26">+P33-T33</f>
        <v>11989.822884615405</v>
      </c>
      <c r="Y33" s="1"/>
      <c r="Z33" s="5">
        <f t="shared" ref="Z33:Z43" si="27">IF(T33=0,0,X33/T33)</f>
        <v>0.49061814290168898</v>
      </c>
    </row>
    <row r="34" spans="1:26" s="24" customFormat="1" hidden="1" outlineLevel="2" x14ac:dyDescent="0.25">
      <c r="A34" s="27"/>
      <c r="B34" s="12" t="str">
        <f>CONCATENATE("          ", "6001", " - ", "ADMINISTRATIVE SALARIES")</f>
        <v xml:space="preserve">          6001 - ADMINISTRATIVE SALARIES</v>
      </c>
      <c r="C34" s="12"/>
      <c r="D34" s="7">
        <v>11207.33</v>
      </c>
      <c r="E34" s="3"/>
      <c r="F34" s="8">
        <f t="shared" si="20"/>
        <v>11.495758582843544</v>
      </c>
      <c r="G34" s="3"/>
      <c r="H34" s="7">
        <v>12452.884615384599</v>
      </c>
      <c r="I34" s="3"/>
      <c r="J34" s="8">
        <f t="shared" si="21"/>
        <v>2.8726377428799537</v>
      </c>
      <c r="K34" s="3"/>
      <c r="L34" s="7">
        <f t="shared" si="22"/>
        <v>-1245.5546153845989</v>
      </c>
      <c r="M34" s="3"/>
      <c r="N34" s="8">
        <f t="shared" si="23"/>
        <v>-0.10002137286695889</v>
      </c>
      <c r="O34" s="12"/>
      <c r="P34" s="7">
        <v>11207.33</v>
      </c>
      <c r="Q34" s="3"/>
      <c r="R34" s="8">
        <f t="shared" si="24"/>
        <v>11.495758582843544</v>
      </c>
      <c r="S34" s="3"/>
      <c r="T34" s="7">
        <v>12452.884615384599</v>
      </c>
      <c r="U34" s="3"/>
      <c r="V34" s="8">
        <f t="shared" si="25"/>
        <v>2.8726377428799537</v>
      </c>
      <c r="W34" s="3"/>
      <c r="X34" s="7">
        <f t="shared" si="26"/>
        <v>-1245.5546153845989</v>
      </c>
      <c r="Y34" s="3"/>
      <c r="Z34" s="8">
        <f t="shared" si="27"/>
        <v>-0.10002137286695889</v>
      </c>
    </row>
    <row r="35" spans="1:26" s="24" customFormat="1" hidden="1" outlineLevel="2" x14ac:dyDescent="0.25">
      <c r="A35" s="27"/>
      <c r="B35" s="12" t="str">
        <f>CONCATENATE("          ", "6002", " - ", "STAFF SALARIES")</f>
        <v xml:space="preserve">          6002 - STAFF SALARIES</v>
      </c>
      <c r="C35" s="12"/>
      <c r="D35" s="7">
        <v>21098.959999999999</v>
      </c>
      <c r="E35" s="3"/>
      <c r="F35" s="8">
        <f t="shared" si="20"/>
        <v>21.64195669343837</v>
      </c>
      <c r="G35" s="3"/>
      <c r="H35" s="7">
        <v>5679.6524999999992</v>
      </c>
      <c r="I35" s="3"/>
      <c r="J35" s="8">
        <f t="shared" si="21"/>
        <v>1.3101851211072664</v>
      </c>
      <c r="K35" s="3"/>
      <c r="L35" s="7">
        <f t="shared" si="22"/>
        <v>15419.307499999999</v>
      </c>
      <c r="M35" s="3"/>
      <c r="N35" s="8">
        <f t="shared" si="23"/>
        <v>2.7148329057103409</v>
      </c>
      <c r="O35" s="12"/>
      <c r="P35" s="7">
        <v>21098.959999999999</v>
      </c>
      <c r="Q35" s="3"/>
      <c r="R35" s="8">
        <f t="shared" si="24"/>
        <v>21.64195669343837</v>
      </c>
      <c r="S35" s="3"/>
      <c r="T35" s="7">
        <v>5679.6524999999992</v>
      </c>
      <c r="U35" s="3"/>
      <c r="V35" s="8">
        <f t="shared" si="25"/>
        <v>1.3101851211072664</v>
      </c>
      <c r="W35" s="3"/>
      <c r="X35" s="7">
        <f t="shared" si="26"/>
        <v>15419.307499999999</v>
      </c>
      <c r="Y35" s="3"/>
      <c r="Z35" s="8">
        <f t="shared" si="27"/>
        <v>2.7148329057103409</v>
      </c>
    </row>
    <row r="36" spans="1:26" s="24" customFormat="1" hidden="1" outlineLevel="2" x14ac:dyDescent="0.25">
      <c r="A36" s="27"/>
      <c r="B36" s="12" t="str">
        <f>CONCATENATE("          ", "6003", " - ", "STAFF HOURLY-9 MONTH")</f>
        <v xml:space="preserve">          6003 - STAFF HOURLY-9 MONTH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"6004", " - ", "STAFF HOURLY")</f>
        <v xml:space="preserve">          6004 - STAFF HOURLY</v>
      </c>
      <c r="C37" s="12"/>
      <c r="D37" s="7">
        <v>2771.73</v>
      </c>
      <c r="E37" s="3"/>
      <c r="F37" s="8">
        <f t="shared" si="20"/>
        <v>2.8430624365326032</v>
      </c>
      <c r="G37" s="3"/>
      <c r="H37" s="7">
        <v>3708</v>
      </c>
      <c r="I37" s="3"/>
      <c r="J37" s="8">
        <f t="shared" si="21"/>
        <v>0.85536332179930796</v>
      </c>
      <c r="K37" s="3"/>
      <c r="L37" s="7">
        <f t="shared" si="22"/>
        <v>-936.27</v>
      </c>
      <c r="M37" s="3"/>
      <c r="N37" s="8">
        <f t="shared" si="23"/>
        <v>-0.2525</v>
      </c>
      <c r="O37" s="12"/>
      <c r="P37" s="7">
        <v>2771.73</v>
      </c>
      <c r="Q37" s="3"/>
      <c r="R37" s="8">
        <f t="shared" si="24"/>
        <v>2.8430624365326032</v>
      </c>
      <c r="S37" s="3"/>
      <c r="T37" s="7">
        <v>3708</v>
      </c>
      <c r="U37" s="3"/>
      <c r="V37" s="8">
        <f t="shared" si="25"/>
        <v>0.85536332179930796</v>
      </c>
      <c r="W37" s="3"/>
      <c r="X37" s="7">
        <f t="shared" si="26"/>
        <v>-936.27</v>
      </c>
      <c r="Y37" s="3"/>
      <c r="Z37" s="8">
        <f t="shared" si="27"/>
        <v>-0.2525</v>
      </c>
    </row>
    <row r="38" spans="1:26" s="24" customFormat="1" hidden="1" outlineLevel="2" x14ac:dyDescent="0.25">
      <c r="A38" s="27"/>
      <c r="B38" s="12" t="str">
        <f>CONCATENATE("          ", "6005", " - ", "TEMPORARY WAGES-HOURLY")</f>
        <v xml:space="preserve">          6005 - TEMPORARY WAGES-HOURLY</v>
      </c>
      <c r="C38" s="12"/>
      <c r="D38" s="7"/>
      <c r="E38" s="3"/>
      <c r="F38" s="8">
        <f t="shared" si="20"/>
        <v>0</v>
      </c>
      <c r="G38" s="3"/>
      <c r="H38" s="7">
        <v>1664.52</v>
      </c>
      <c r="I38" s="3"/>
      <c r="J38" s="8">
        <f t="shared" si="21"/>
        <v>0.38397231833910034</v>
      </c>
      <c r="K38" s="3"/>
      <c r="L38" s="7">
        <f t="shared" si="22"/>
        <v>-1664.52</v>
      </c>
      <c r="M38" s="3"/>
      <c r="N38" s="8">
        <f t="shared" si="23"/>
        <v>-1</v>
      </c>
      <c r="O38" s="12"/>
      <c r="P38" s="7"/>
      <c r="Q38" s="3"/>
      <c r="R38" s="8">
        <f t="shared" si="24"/>
        <v>0</v>
      </c>
      <c r="S38" s="3"/>
      <c r="T38" s="7">
        <v>1664.52</v>
      </c>
      <c r="U38" s="3"/>
      <c r="V38" s="8">
        <f t="shared" si="25"/>
        <v>0.38397231833910034</v>
      </c>
      <c r="W38" s="3"/>
      <c r="X38" s="7">
        <f t="shared" si="26"/>
        <v>-1664.52</v>
      </c>
      <c r="Y38" s="3"/>
      <c r="Z38" s="8">
        <f t="shared" si="27"/>
        <v>-1</v>
      </c>
    </row>
    <row r="39" spans="1:26" s="24" customFormat="1" hidden="1" outlineLevel="2" x14ac:dyDescent="0.25">
      <c r="A39" s="27"/>
      <c r="B39" s="12" t="str">
        <f>CONCATENATE("          ", "6006", " - ", "TEMPORARY PART TIME")</f>
        <v xml:space="preserve">          6006 - TEMPORARY PART TIME</v>
      </c>
      <c r="C39" s="12"/>
      <c r="D39" s="7"/>
      <c r="E39" s="3"/>
      <c r="F39" s="8">
        <f t="shared" si="20"/>
        <v>0</v>
      </c>
      <c r="G39" s="3"/>
      <c r="H39" s="7">
        <v>0</v>
      </c>
      <c r="I39" s="3"/>
      <c r="J39" s="8">
        <f t="shared" si="21"/>
        <v>0</v>
      </c>
      <c r="K39" s="3"/>
      <c r="L39" s="7">
        <f t="shared" si="22"/>
        <v>0</v>
      </c>
      <c r="M39" s="3"/>
      <c r="N39" s="8">
        <f t="shared" si="23"/>
        <v>0</v>
      </c>
      <c r="O39" s="12"/>
      <c r="P39" s="7"/>
      <c r="Q39" s="3"/>
      <c r="R39" s="8">
        <f t="shared" si="24"/>
        <v>0</v>
      </c>
      <c r="S39" s="3"/>
      <c r="T39" s="7">
        <v>0</v>
      </c>
      <c r="U39" s="3"/>
      <c r="V39" s="8">
        <f t="shared" si="25"/>
        <v>0</v>
      </c>
      <c r="W39" s="3"/>
      <c r="X39" s="7">
        <f t="shared" si="26"/>
        <v>0</v>
      </c>
      <c r="Y39" s="3"/>
      <c r="Z39" s="8">
        <f t="shared" si="27"/>
        <v>0</v>
      </c>
    </row>
    <row r="40" spans="1:26" s="24" customFormat="1" hidden="1" outlineLevel="2" x14ac:dyDescent="0.25">
      <c r="A40" s="27"/>
      <c r="B40" s="12" t="str">
        <f>CONCATENATE("          ", "6007", " - ", "STUDENT HOURLY")</f>
        <v xml:space="preserve">          6007 - STUDENT HOURLY</v>
      </c>
      <c r="C40" s="12"/>
      <c r="D40" s="7">
        <v>1350</v>
      </c>
      <c r="E40" s="3"/>
      <c r="F40" s="8">
        <f t="shared" si="20"/>
        <v>1.3847432070652677</v>
      </c>
      <c r="G40" s="3"/>
      <c r="H40" s="7">
        <v>933.14</v>
      </c>
      <c r="I40" s="3"/>
      <c r="J40" s="8">
        <f t="shared" si="21"/>
        <v>0.21525720876585927</v>
      </c>
      <c r="K40" s="3"/>
      <c r="L40" s="7">
        <f t="shared" si="22"/>
        <v>416.86</v>
      </c>
      <c r="M40" s="3"/>
      <c r="N40" s="8">
        <f t="shared" si="23"/>
        <v>0.44672825085196222</v>
      </c>
      <c r="O40" s="12"/>
      <c r="P40" s="7">
        <v>1350</v>
      </c>
      <c r="Q40" s="3"/>
      <c r="R40" s="8">
        <f t="shared" si="24"/>
        <v>1.3847432070652677</v>
      </c>
      <c r="S40" s="3"/>
      <c r="T40" s="7">
        <v>933.14</v>
      </c>
      <c r="U40" s="3"/>
      <c r="V40" s="8">
        <f t="shared" si="25"/>
        <v>0.21525720876585927</v>
      </c>
      <c r="W40" s="3"/>
      <c r="X40" s="7">
        <f t="shared" si="26"/>
        <v>416.86</v>
      </c>
      <c r="Y40" s="3"/>
      <c r="Z40" s="8">
        <f t="shared" si="27"/>
        <v>0.44672825085196222</v>
      </c>
    </row>
    <row r="41" spans="1:26" s="24" customFormat="1" hidden="1" outlineLevel="2" x14ac:dyDescent="0.25">
      <c r="A41" s="27"/>
      <c r="B41" s="12" t="str">
        <f>CONCATENATE("          ", "6008", " - ", "STUDENT HOURLY-FICA EXEMPT")</f>
        <v xml:space="preserve">          6008 - STUDENT HOURLY-FICA EXEMPT</v>
      </c>
      <c r="C41" s="12"/>
      <c r="D41" s="7"/>
      <c r="E41" s="3"/>
      <c r="F41" s="8">
        <f t="shared" si="20"/>
        <v>0</v>
      </c>
      <c r="G41" s="3"/>
      <c r="H41" s="7">
        <v>0</v>
      </c>
      <c r="I41" s="3"/>
      <c r="J41" s="8">
        <f t="shared" si="21"/>
        <v>0</v>
      </c>
      <c r="K41" s="3"/>
      <c r="L41" s="7">
        <f t="shared" si="22"/>
        <v>0</v>
      </c>
      <c r="M41" s="3"/>
      <c r="N41" s="8">
        <f t="shared" si="23"/>
        <v>0</v>
      </c>
      <c r="O41" s="12"/>
      <c r="P41" s="7"/>
      <c r="Q41" s="3"/>
      <c r="R41" s="8">
        <f t="shared" si="24"/>
        <v>0</v>
      </c>
      <c r="S41" s="3"/>
      <c r="T41" s="7">
        <v>0</v>
      </c>
      <c r="U41" s="3"/>
      <c r="V41" s="8">
        <f t="shared" si="25"/>
        <v>0</v>
      </c>
      <c r="W41" s="3"/>
      <c r="X41" s="7">
        <f t="shared" si="26"/>
        <v>0</v>
      </c>
      <c r="Y41" s="3"/>
      <c r="Z41" s="8">
        <f t="shared" si="27"/>
        <v>0</v>
      </c>
    </row>
    <row r="42" spans="1:26" s="24" customFormat="1" hidden="1" outlineLevel="2" x14ac:dyDescent="0.25">
      <c r="A42" s="27"/>
      <c r="B42" s="12" t="str">
        <f>CONCATENATE("          ", "6009", " - ", "TEMPORARY-SEASONAL")</f>
        <v xml:space="preserve">          6009 - TEMPORARY-SEASONAL</v>
      </c>
      <c r="C42" s="12"/>
      <c r="D42" s="7"/>
      <c r="E42" s="3"/>
      <c r="F42" s="8">
        <f t="shared" si="20"/>
        <v>0</v>
      </c>
      <c r="G42" s="3"/>
      <c r="H42" s="7">
        <v>0</v>
      </c>
      <c r="I42" s="3"/>
      <c r="J42" s="8">
        <f t="shared" si="21"/>
        <v>0</v>
      </c>
      <c r="K42" s="3"/>
      <c r="L42" s="7">
        <f t="shared" si="22"/>
        <v>0</v>
      </c>
      <c r="M42" s="3"/>
      <c r="N42" s="8">
        <f t="shared" si="23"/>
        <v>0</v>
      </c>
      <c r="O42" s="12"/>
      <c r="P42" s="7"/>
      <c r="Q42" s="3"/>
      <c r="R42" s="8">
        <f t="shared" si="24"/>
        <v>0</v>
      </c>
      <c r="S42" s="3"/>
      <c r="T42" s="7">
        <v>0</v>
      </c>
      <c r="U42" s="3"/>
      <c r="V42" s="8">
        <f t="shared" si="25"/>
        <v>0</v>
      </c>
      <c r="W42" s="3"/>
      <c r="X42" s="7">
        <f t="shared" si="26"/>
        <v>0</v>
      </c>
      <c r="Y42" s="3"/>
      <c r="Z42" s="8">
        <f t="shared" si="27"/>
        <v>0</v>
      </c>
    </row>
    <row r="43" spans="1:26" s="24" customFormat="1" hidden="1" outlineLevel="2" x14ac:dyDescent="0.25">
      <c r="A43" s="27"/>
      <c r="B43" s="12" t="str">
        <f>CONCATENATE("          ", "6010", " - ", "GRATUITY")</f>
        <v xml:space="preserve">          6010 - GRATUITY</v>
      </c>
      <c r="C43" s="12"/>
      <c r="D43" s="7"/>
      <c r="E43" s="3"/>
      <c r="F43" s="8">
        <f t="shared" si="20"/>
        <v>0</v>
      </c>
      <c r="G43" s="3"/>
      <c r="H43" s="7">
        <v>0</v>
      </c>
      <c r="I43" s="3"/>
      <c r="J43" s="8">
        <f t="shared" si="21"/>
        <v>0</v>
      </c>
      <c r="K43" s="3"/>
      <c r="L43" s="7">
        <f t="shared" si="22"/>
        <v>0</v>
      </c>
      <c r="M43" s="3"/>
      <c r="N43" s="8">
        <f t="shared" si="23"/>
        <v>0</v>
      </c>
      <c r="O43" s="12"/>
      <c r="P43" s="7"/>
      <c r="Q43" s="3"/>
      <c r="R43" s="8">
        <f t="shared" si="24"/>
        <v>0</v>
      </c>
      <c r="S43" s="3"/>
      <c r="T43" s="7">
        <v>0</v>
      </c>
      <c r="U43" s="3"/>
      <c r="V43" s="8">
        <f t="shared" si="25"/>
        <v>0</v>
      </c>
      <c r="W43" s="3"/>
      <c r="X43" s="7">
        <f t="shared" si="26"/>
        <v>0</v>
      </c>
      <c r="Y43" s="3"/>
      <c r="Z43" s="8">
        <f t="shared" si="27"/>
        <v>0</v>
      </c>
    </row>
    <row r="44" spans="1:26" s="29" customFormat="1" outlineLevel="1" collapsed="1" x14ac:dyDescent="0.25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45.97</v>
      </c>
      <c r="E44" s="1"/>
      <c r="F44" s="5">
        <f t="shared" ref="F44:F53" si="28">IF(D$12=0,0,D44/D$12)</f>
        <v>4.7153070539844702E-2</v>
      </c>
      <c r="G44" s="1"/>
      <c r="H44" s="1">
        <f>SUM(OSRRefH22_2x_0)</f>
        <v>1540</v>
      </c>
      <c r="I44" s="1"/>
      <c r="J44" s="5">
        <f t="shared" ref="J44:J53" si="29">IF(H$12=0,0,H44/H$12)</f>
        <v>0.35524798154555942</v>
      </c>
      <c r="K44" s="1"/>
      <c r="L44" s="1">
        <f t="shared" ref="L44:L53" si="30">+D44-H44</f>
        <v>-1494.03</v>
      </c>
      <c r="M44" s="1"/>
      <c r="N44" s="5">
        <f t="shared" ref="N44:N53" si="31">IF(H44=0,0,L44/H44)</f>
        <v>-0.97014935064935059</v>
      </c>
      <c r="O44" s="14"/>
      <c r="P44" s="1">
        <f>SUM(OSRRefP22_2x_0)</f>
        <v>45.97</v>
      </c>
      <c r="Q44" s="1"/>
      <c r="R44" s="5">
        <f t="shared" ref="R44:R53" si="32">IF(P$12=0,0,P44/P$12)</f>
        <v>4.7153070539844702E-2</v>
      </c>
      <c r="S44" s="1"/>
      <c r="T44" s="1">
        <f>SUM(OSRRefT22_2x_0)</f>
        <v>1540</v>
      </c>
      <c r="U44" s="1"/>
      <c r="V44" s="5">
        <f t="shared" ref="V44:V53" si="33">IF(T$12=0,0,T44/T$12)</f>
        <v>0.35524798154555942</v>
      </c>
      <c r="W44" s="1"/>
      <c r="X44" s="1">
        <f t="shared" ref="X44:X53" si="34">+P44-T44</f>
        <v>-1494.03</v>
      </c>
      <c r="Y44" s="1"/>
      <c r="Z44" s="5">
        <f t="shared" ref="Z44:Z53" si="35">IF(T44=0,0,X44/T44)</f>
        <v>-0.97014935064935059</v>
      </c>
    </row>
    <row r="45" spans="1:26" s="24" customFormat="1" hidden="1" outlineLevel="2" x14ac:dyDescent="0.25">
      <c r="A45" s="27"/>
      <c r="B45" s="12" t="str">
        <f>CONCATENATE("          ", "6362", " - ", "ADVERTISING EXPENSE")</f>
        <v xml:space="preserve">          6362 - ADVERTISING EXPENSE</v>
      </c>
      <c r="C45" s="12"/>
      <c r="D45" s="7">
        <v>45.97</v>
      </c>
      <c r="E45" s="3"/>
      <c r="F45" s="8">
        <f t="shared" si="28"/>
        <v>4.7153070539844702E-2</v>
      </c>
      <c r="G45" s="3"/>
      <c r="H45" s="7">
        <v>1540</v>
      </c>
      <c r="I45" s="3"/>
      <c r="J45" s="8">
        <f t="shared" si="29"/>
        <v>0.35524798154555942</v>
      </c>
      <c r="K45" s="3"/>
      <c r="L45" s="7">
        <f t="shared" si="30"/>
        <v>-1494.03</v>
      </c>
      <c r="M45" s="3"/>
      <c r="N45" s="8">
        <f t="shared" si="31"/>
        <v>-0.97014935064935059</v>
      </c>
      <c r="O45" s="12"/>
      <c r="P45" s="7">
        <v>45.97</v>
      </c>
      <c r="Q45" s="3"/>
      <c r="R45" s="8">
        <f t="shared" si="32"/>
        <v>4.7153070539844702E-2</v>
      </c>
      <c r="S45" s="3"/>
      <c r="T45" s="7">
        <v>1540</v>
      </c>
      <c r="U45" s="3"/>
      <c r="V45" s="8">
        <f t="shared" si="33"/>
        <v>0.35524798154555942</v>
      </c>
      <c r="W45" s="3"/>
      <c r="X45" s="7">
        <f t="shared" si="34"/>
        <v>-1494.03</v>
      </c>
      <c r="Y45" s="3"/>
      <c r="Z45" s="8">
        <f t="shared" si="35"/>
        <v>-0.97014935064935059</v>
      </c>
    </row>
    <row r="46" spans="1:26" s="29" customFormat="1" outlineLevel="1" collapsed="1" x14ac:dyDescent="0.25">
      <c r="A46" s="28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28"/>
        <v>0</v>
      </c>
      <c r="G46" s="1"/>
      <c r="H46" s="1">
        <f>SUM(OSRRefH22_3x_0)</f>
        <v>5</v>
      </c>
      <c r="I46" s="1"/>
      <c r="J46" s="5">
        <f t="shared" si="29"/>
        <v>1.1534025374855825E-3</v>
      </c>
      <c r="K46" s="1"/>
      <c r="L46" s="1">
        <f t="shared" si="30"/>
        <v>-5</v>
      </c>
      <c r="M46" s="1"/>
      <c r="N46" s="5">
        <f t="shared" si="31"/>
        <v>-1</v>
      </c>
      <c r="O46" s="14"/>
      <c r="P46" s="1">
        <f>SUM(OSRRefP22_3x_0)</f>
        <v>0</v>
      </c>
      <c r="Q46" s="1"/>
      <c r="R46" s="5">
        <f t="shared" si="32"/>
        <v>0</v>
      </c>
      <c r="S46" s="1"/>
      <c r="T46" s="1">
        <f>SUM(OSRRefT22_3x_0)</f>
        <v>5</v>
      </c>
      <c r="U46" s="1"/>
      <c r="V46" s="5">
        <f t="shared" si="33"/>
        <v>1.1534025374855825E-3</v>
      </c>
      <c r="W46" s="1"/>
      <c r="X46" s="1">
        <f t="shared" si="34"/>
        <v>-5</v>
      </c>
      <c r="Y46" s="1"/>
      <c r="Z46" s="5">
        <f t="shared" si="35"/>
        <v>-1</v>
      </c>
    </row>
    <row r="47" spans="1:26" s="24" customFormat="1" hidden="1" outlineLevel="2" x14ac:dyDescent="0.25">
      <c r="A47" s="27"/>
      <c r="B47" s="12" t="str">
        <f>CONCATENATE("          ", "6272", " - ", "CASH (OVER/SHORT)")</f>
        <v xml:space="preserve">          6272 - CASH (OVER/SHORT)</v>
      </c>
      <c r="C47" s="12"/>
      <c r="D47" s="7"/>
      <c r="E47" s="3"/>
      <c r="F47" s="8">
        <f t="shared" si="28"/>
        <v>0</v>
      </c>
      <c r="G47" s="3"/>
      <c r="H47" s="7">
        <v>5</v>
      </c>
      <c r="I47" s="3"/>
      <c r="J47" s="8">
        <f t="shared" si="29"/>
        <v>1.1534025374855825E-3</v>
      </c>
      <c r="K47" s="3"/>
      <c r="L47" s="7">
        <f t="shared" si="30"/>
        <v>-5</v>
      </c>
      <c r="M47" s="3"/>
      <c r="N47" s="8">
        <f t="shared" si="31"/>
        <v>-1</v>
      </c>
      <c r="O47" s="12"/>
      <c r="P47" s="7"/>
      <c r="Q47" s="3"/>
      <c r="R47" s="8">
        <f t="shared" si="32"/>
        <v>0</v>
      </c>
      <c r="S47" s="3"/>
      <c r="T47" s="7">
        <v>5</v>
      </c>
      <c r="U47" s="3"/>
      <c r="V47" s="8">
        <f t="shared" si="33"/>
        <v>1.1534025374855825E-3</v>
      </c>
      <c r="W47" s="3"/>
      <c r="X47" s="7">
        <f t="shared" si="34"/>
        <v>-5</v>
      </c>
      <c r="Y47" s="3"/>
      <c r="Z47" s="8">
        <f t="shared" si="35"/>
        <v>-1</v>
      </c>
    </row>
    <row r="48" spans="1:26" s="29" customFormat="1" outlineLevel="1" collapsed="1" x14ac:dyDescent="0.25">
      <c r="A48" s="28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282.82</v>
      </c>
      <c r="E48" s="1"/>
      <c r="F48" s="5">
        <f t="shared" si="28"/>
        <v>0.29009857320162885</v>
      </c>
      <c r="G48" s="1"/>
      <c r="H48" s="1">
        <f>SUM(OSRRefH22_4x_0)</f>
        <v>852</v>
      </c>
      <c r="I48" s="1"/>
      <c r="J48" s="5">
        <f t="shared" si="29"/>
        <v>0.19653979238754327</v>
      </c>
      <c r="K48" s="1"/>
      <c r="L48" s="1">
        <f t="shared" si="30"/>
        <v>-569.18000000000006</v>
      </c>
      <c r="M48" s="1"/>
      <c r="N48" s="5">
        <f t="shared" si="31"/>
        <v>-0.66805164319248833</v>
      </c>
      <c r="O48" s="14"/>
      <c r="P48" s="1">
        <f>SUM(OSRRefP22_4x_0)</f>
        <v>282.82</v>
      </c>
      <c r="Q48" s="1"/>
      <c r="R48" s="5">
        <f t="shared" si="32"/>
        <v>0.29009857320162885</v>
      </c>
      <c r="S48" s="1"/>
      <c r="T48" s="1">
        <f>SUM(OSRRefT22_4x_0)</f>
        <v>852</v>
      </c>
      <c r="U48" s="1"/>
      <c r="V48" s="5">
        <f t="shared" si="33"/>
        <v>0.19653979238754327</v>
      </c>
      <c r="W48" s="1"/>
      <c r="X48" s="1">
        <f t="shared" si="34"/>
        <v>-569.18000000000006</v>
      </c>
      <c r="Y48" s="1"/>
      <c r="Z48" s="5">
        <f t="shared" si="35"/>
        <v>-0.66805164319248833</v>
      </c>
    </row>
    <row r="49" spans="1:26" s="24" customFormat="1" hidden="1" outlineLevel="2" x14ac:dyDescent="0.25">
      <c r="A49" s="27"/>
      <c r="B49" s="12" t="str">
        <f>CONCATENATE("          ", "6381", " - ", "BANK/CREDIT CARD FEES")</f>
        <v xml:space="preserve">          6381 - BANK/CREDIT CARD FEES</v>
      </c>
      <c r="C49" s="12"/>
      <c r="D49" s="7">
        <v>282.82</v>
      </c>
      <c r="E49" s="3"/>
      <c r="F49" s="8">
        <f t="shared" si="28"/>
        <v>0.29009857320162885</v>
      </c>
      <c r="G49" s="3"/>
      <c r="H49" s="7">
        <v>852</v>
      </c>
      <c r="I49" s="3"/>
      <c r="J49" s="8">
        <f t="shared" si="29"/>
        <v>0.19653979238754327</v>
      </c>
      <c r="K49" s="3"/>
      <c r="L49" s="7">
        <f t="shared" si="30"/>
        <v>-569.18000000000006</v>
      </c>
      <c r="M49" s="3"/>
      <c r="N49" s="8">
        <f t="shared" si="31"/>
        <v>-0.66805164319248833</v>
      </c>
      <c r="O49" s="12"/>
      <c r="P49" s="7">
        <v>282.82</v>
      </c>
      <c r="Q49" s="3"/>
      <c r="R49" s="8">
        <f t="shared" si="32"/>
        <v>0.29009857320162885</v>
      </c>
      <c r="S49" s="3"/>
      <c r="T49" s="7">
        <v>852</v>
      </c>
      <c r="U49" s="3"/>
      <c r="V49" s="8">
        <f t="shared" si="33"/>
        <v>0.19653979238754327</v>
      </c>
      <c r="W49" s="3"/>
      <c r="X49" s="7">
        <f t="shared" si="34"/>
        <v>-569.18000000000006</v>
      </c>
      <c r="Y49" s="3"/>
      <c r="Z49" s="8">
        <f t="shared" si="35"/>
        <v>-0.66805164319248833</v>
      </c>
    </row>
    <row r="50" spans="1:26" s="29" customFormat="1" outlineLevel="1" collapsed="1" x14ac:dyDescent="0.25">
      <c r="A50" s="28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37556.01</v>
      </c>
      <c r="E50" s="1"/>
      <c r="F50" s="5">
        <f t="shared" si="28"/>
        <v>38.522540542203899</v>
      </c>
      <c r="G50" s="1"/>
      <c r="H50" s="1">
        <f>SUM(OSRRefH22_5x_0)</f>
        <v>38566</v>
      </c>
      <c r="I50" s="1"/>
      <c r="J50" s="5">
        <f t="shared" si="29"/>
        <v>8.896424452133795</v>
      </c>
      <c r="K50" s="1"/>
      <c r="L50" s="1">
        <f t="shared" si="30"/>
        <v>-1009.989999999998</v>
      </c>
      <c r="M50" s="1"/>
      <c r="N50" s="5">
        <f t="shared" si="31"/>
        <v>-2.6188611730539799E-2</v>
      </c>
      <c r="O50" s="14"/>
      <c r="P50" s="1">
        <f>SUM(OSRRefP22_5x_0)</f>
        <v>37556.01</v>
      </c>
      <c r="Q50" s="1"/>
      <c r="R50" s="5">
        <f t="shared" si="32"/>
        <v>38.522540542203899</v>
      </c>
      <c r="S50" s="1"/>
      <c r="T50" s="1">
        <f>SUM(OSRRefT22_5x_0)</f>
        <v>38566</v>
      </c>
      <c r="U50" s="1"/>
      <c r="V50" s="5">
        <f t="shared" si="33"/>
        <v>8.896424452133795</v>
      </c>
      <c r="W50" s="1"/>
      <c r="X50" s="1">
        <f t="shared" si="34"/>
        <v>-1009.989999999998</v>
      </c>
      <c r="Y50" s="1"/>
      <c r="Z50" s="5">
        <f t="shared" si="35"/>
        <v>-2.6188611730539799E-2</v>
      </c>
    </row>
    <row r="51" spans="1:26" s="24" customFormat="1" hidden="1" outlineLevel="2" x14ac:dyDescent="0.25">
      <c r="A51" s="27"/>
      <c r="B51" s="12" t="str">
        <f>CONCATENATE("          ", "6321", " - ", "BUILDING DEPRECIATION")</f>
        <v xml:space="preserve">          6321 - BUILDING DEPRECIATION</v>
      </c>
      <c r="C51" s="12"/>
      <c r="D51" s="7">
        <v>23844.89</v>
      </c>
      <c r="E51" s="3"/>
      <c r="F51" s="8">
        <f t="shared" si="28"/>
        <v>24.458555148680393</v>
      </c>
      <c r="G51" s="3"/>
      <c r="H51" s="7"/>
      <c r="I51" s="3"/>
      <c r="J51" s="8">
        <f t="shared" si="29"/>
        <v>0</v>
      </c>
      <c r="K51" s="3"/>
      <c r="L51" s="7">
        <f t="shared" si="30"/>
        <v>23844.89</v>
      </c>
      <c r="M51" s="3"/>
      <c r="N51" s="8">
        <f t="shared" si="31"/>
        <v>0</v>
      </c>
      <c r="O51" s="12"/>
      <c r="P51" s="7">
        <v>23844.89</v>
      </c>
      <c r="Q51" s="3"/>
      <c r="R51" s="8">
        <f t="shared" si="32"/>
        <v>24.458555148680393</v>
      </c>
      <c r="S51" s="3"/>
      <c r="T51" s="7"/>
      <c r="U51" s="3"/>
      <c r="V51" s="8">
        <f t="shared" si="33"/>
        <v>0</v>
      </c>
      <c r="W51" s="3"/>
      <c r="X51" s="7">
        <f t="shared" si="34"/>
        <v>23844.89</v>
      </c>
      <c r="Y51" s="3"/>
      <c r="Z51" s="8">
        <f t="shared" si="35"/>
        <v>0</v>
      </c>
    </row>
    <row r="52" spans="1:26" s="24" customFormat="1" hidden="1" outlineLevel="2" x14ac:dyDescent="0.25">
      <c r="A52" s="27"/>
      <c r="B52" s="12" t="str">
        <f>CONCATENATE("          ", "6322", " - ", "EQUIPMENT DEPRECIATION EXPENSE")</f>
        <v xml:space="preserve">          6322 - EQUIPMENT DEPRECIATION EXPENSE</v>
      </c>
      <c r="C52" s="12"/>
      <c r="D52" s="7">
        <v>13711.12</v>
      </c>
      <c r="E52" s="3"/>
      <c r="F52" s="8">
        <f t="shared" si="28"/>
        <v>14.063985393523506</v>
      </c>
      <c r="G52" s="3"/>
      <c r="H52" s="7">
        <v>38016</v>
      </c>
      <c r="I52" s="3"/>
      <c r="J52" s="8">
        <f t="shared" si="29"/>
        <v>8.76955017301038</v>
      </c>
      <c r="K52" s="3"/>
      <c r="L52" s="7">
        <f t="shared" si="30"/>
        <v>-24304.879999999997</v>
      </c>
      <c r="M52" s="3"/>
      <c r="N52" s="8">
        <f t="shared" si="31"/>
        <v>-0.63933291245791235</v>
      </c>
      <c r="O52" s="12"/>
      <c r="P52" s="7">
        <v>13711.12</v>
      </c>
      <c r="Q52" s="3"/>
      <c r="R52" s="8">
        <f t="shared" si="32"/>
        <v>14.063985393523506</v>
      </c>
      <c r="S52" s="3"/>
      <c r="T52" s="7">
        <v>38016</v>
      </c>
      <c r="U52" s="3"/>
      <c r="V52" s="8">
        <f t="shared" si="33"/>
        <v>8.76955017301038</v>
      </c>
      <c r="W52" s="3"/>
      <c r="X52" s="7">
        <f t="shared" si="34"/>
        <v>-24304.879999999997</v>
      </c>
      <c r="Y52" s="3"/>
      <c r="Z52" s="8">
        <f t="shared" si="35"/>
        <v>-0.63933291245791235</v>
      </c>
    </row>
    <row r="53" spans="1:26" s="24" customFormat="1" hidden="1" outlineLevel="2" x14ac:dyDescent="0.25">
      <c r="A53" s="27"/>
      <c r="B53" s="12" t="str">
        <f>CONCATENATE("          ", "6326", " - ", "VEHICLES DEPRECIATION EXPENSE")</f>
        <v xml:space="preserve">          6326 - VEHICLES DEPRECIATION EXPENSE</v>
      </c>
      <c r="C53" s="12"/>
      <c r="D53" s="7"/>
      <c r="E53" s="3"/>
      <c r="F53" s="8">
        <f t="shared" si="28"/>
        <v>0</v>
      </c>
      <c r="G53" s="3"/>
      <c r="H53" s="7">
        <v>550</v>
      </c>
      <c r="I53" s="3"/>
      <c r="J53" s="8">
        <f t="shared" si="29"/>
        <v>0.12687427912341406</v>
      </c>
      <c r="K53" s="3"/>
      <c r="L53" s="7">
        <f t="shared" si="30"/>
        <v>-550</v>
      </c>
      <c r="M53" s="3"/>
      <c r="N53" s="8">
        <f t="shared" si="31"/>
        <v>-1</v>
      </c>
      <c r="O53" s="12"/>
      <c r="P53" s="7"/>
      <c r="Q53" s="3"/>
      <c r="R53" s="8">
        <f t="shared" si="32"/>
        <v>0</v>
      </c>
      <c r="S53" s="3"/>
      <c r="T53" s="7">
        <v>550</v>
      </c>
      <c r="U53" s="3"/>
      <c r="V53" s="8">
        <f t="shared" si="33"/>
        <v>0.12687427912341406</v>
      </c>
      <c r="W53" s="3"/>
      <c r="X53" s="7">
        <f t="shared" si="34"/>
        <v>-550</v>
      </c>
      <c r="Y53" s="3"/>
      <c r="Z53" s="8">
        <f t="shared" si="35"/>
        <v>-1</v>
      </c>
    </row>
    <row r="54" spans="1:26" s="29" customFormat="1" outlineLevel="1" collapsed="1" x14ac:dyDescent="0.25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SUM(OSRRefD22_6x_0)</f>
        <v>0</v>
      </c>
      <c r="E54" s="1"/>
      <c r="F54" s="5">
        <f t="shared" ref="F54:F68" si="36">IF(D$12=0,0,D54/D$12)</f>
        <v>0</v>
      </c>
      <c r="G54" s="1"/>
      <c r="H54" s="1">
        <f>SUM(OSRRefH22_6x_0)</f>
        <v>0</v>
      </c>
      <c r="I54" s="1"/>
      <c r="J54" s="5">
        <f t="shared" ref="J54:J68" si="37">IF(H$12=0,0,H54/H$12)</f>
        <v>0</v>
      </c>
      <c r="K54" s="1"/>
      <c r="L54" s="1">
        <f t="shared" ref="L54:L68" si="38">+D54-H54</f>
        <v>0</v>
      </c>
      <c r="M54" s="1"/>
      <c r="N54" s="5">
        <f t="shared" ref="N54:N68" si="39">IF(H54=0,0,L54/H54)</f>
        <v>0</v>
      </c>
      <c r="O54" s="14"/>
      <c r="P54" s="1">
        <f>SUM(OSRRefP22_6x_0)</f>
        <v>0</v>
      </c>
      <c r="Q54" s="1"/>
      <c r="R54" s="5">
        <f t="shared" ref="R54:R68" si="40">IF(P$12=0,0,P54/P$12)</f>
        <v>0</v>
      </c>
      <c r="S54" s="1"/>
      <c r="T54" s="1">
        <f>SUM(OSRRefT22_6x_0)</f>
        <v>0</v>
      </c>
      <c r="U54" s="1"/>
      <c r="V54" s="5">
        <f t="shared" ref="V54:V68" si="41">IF(T$12=0,0,T54/T$12)</f>
        <v>0</v>
      </c>
      <c r="W54" s="1"/>
      <c r="X54" s="1">
        <f t="shared" ref="X54:X68" si="42">+P54-T54</f>
        <v>0</v>
      </c>
      <c r="Y54" s="1"/>
      <c r="Z54" s="5">
        <f t="shared" ref="Z54:Z68" si="43">IF(T54=0,0,X54/T54)</f>
        <v>0</v>
      </c>
    </row>
    <row r="55" spans="1:26" s="24" customFormat="1" hidden="1" outlineLevel="2" x14ac:dyDescent="0.25">
      <c r="A55" s="27"/>
      <c r="B55" s="12" t="str">
        <f>CONCATENATE("          ", "6277", " - ", "EMPLOYEE APPRECIATION")</f>
        <v xml:space="preserve">          6277 - EMPLOYEE APPRECIATION</v>
      </c>
      <c r="C55" s="12"/>
      <c r="D55" s="7"/>
      <c r="E55" s="3"/>
      <c r="F55" s="8">
        <f t="shared" si="36"/>
        <v>0</v>
      </c>
      <c r="G55" s="3"/>
      <c r="H55" s="7">
        <v>0</v>
      </c>
      <c r="I55" s="3"/>
      <c r="J55" s="8">
        <f t="shared" si="37"/>
        <v>0</v>
      </c>
      <c r="K55" s="3"/>
      <c r="L55" s="7">
        <f t="shared" si="38"/>
        <v>0</v>
      </c>
      <c r="M55" s="3"/>
      <c r="N55" s="8">
        <f t="shared" si="39"/>
        <v>0</v>
      </c>
      <c r="O55" s="12"/>
      <c r="P55" s="7"/>
      <c r="Q55" s="3"/>
      <c r="R55" s="8">
        <f t="shared" si="40"/>
        <v>0</v>
      </c>
      <c r="S55" s="3"/>
      <c r="T55" s="7">
        <v>0</v>
      </c>
      <c r="U55" s="3"/>
      <c r="V55" s="8">
        <f t="shared" si="41"/>
        <v>0</v>
      </c>
      <c r="W55" s="3"/>
      <c r="X55" s="7">
        <f t="shared" si="42"/>
        <v>0</v>
      </c>
      <c r="Y55" s="3"/>
      <c r="Z55" s="8">
        <f t="shared" si="43"/>
        <v>0</v>
      </c>
    </row>
    <row r="56" spans="1:26" s="29" customFormat="1" outlineLevel="1" collapsed="1" x14ac:dyDescent="0.25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SUM(OSRRefD22_7x_0)</f>
        <v>868.95</v>
      </c>
      <c r="E56" s="1"/>
      <c r="F56" s="5">
        <f t="shared" si="36"/>
        <v>0.89131304428101066</v>
      </c>
      <c r="G56" s="1"/>
      <c r="H56" s="1">
        <f>SUM(OSRRefH22_7x_0)</f>
        <v>354.33333333333297</v>
      </c>
      <c r="I56" s="1"/>
      <c r="J56" s="5">
        <f t="shared" si="37"/>
        <v>8.1737793156478195E-2</v>
      </c>
      <c r="K56" s="1"/>
      <c r="L56" s="1">
        <f t="shared" si="38"/>
        <v>514.61666666666702</v>
      </c>
      <c r="M56" s="1"/>
      <c r="N56" s="5">
        <f t="shared" si="39"/>
        <v>1.4523518344308586</v>
      </c>
      <c r="O56" s="14"/>
      <c r="P56" s="1">
        <f>SUM(OSRRefP22_7x_0)</f>
        <v>868.95</v>
      </c>
      <c r="Q56" s="1"/>
      <c r="R56" s="5">
        <f t="shared" si="40"/>
        <v>0.89131304428101066</v>
      </c>
      <c r="S56" s="1"/>
      <c r="T56" s="1">
        <f>SUM(OSRRefT22_7x_0)</f>
        <v>354.33333333333297</v>
      </c>
      <c r="U56" s="1"/>
      <c r="V56" s="5">
        <f t="shared" si="41"/>
        <v>8.1737793156478195E-2</v>
      </c>
      <c r="W56" s="1"/>
      <c r="X56" s="1">
        <f t="shared" si="42"/>
        <v>514.61666666666702</v>
      </c>
      <c r="Y56" s="1"/>
      <c r="Z56" s="5">
        <f t="shared" si="43"/>
        <v>1.4523518344308586</v>
      </c>
    </row>
    <row r="57" spans="1:26" s="24" customFormat="1" hidden="1" outlineLevel="2" x14ac:dyDescent="0.25">
      <c r="A57" s="27"/>
      <c r="B57" s="12" t="str">
        <f>CONCATENATE("          ", "6351", " - ", "EQUIPMENT RENTAL")</f>
        <v xml:space="preserve">          6351 - EQUIPMENT RENTAL</v>
      </c>
      <c r="C57" s="12"/>
      <c r="D57" s="7">
        <v>868.95</v>
      </c>
      <c r="E57" s="3"/>
      <c r="F57" s="8">
        <f t="shared" si="36"/>
        <v>0.89131304428101066</v>
      </c>
      <c r="G57" s="3"/>
      <c r="H57" s="7">
        <v>354.33333333333297</v>
      </c>
      <c r="I57" s="3"/>
      <c r="J57" s="8">
        <f t="shared" si="37"/>
        <v>8.1737793156478195E-2</v>
      </c>
      <c r="K57" s="3"/>
      <c r="L57" s="7">
        <f t="shared" si="38"/>
        <v>514.61666666666702</v>
      </c>
      <c r="M57" s="3"/>
      <c r="N57" s="8">
        <f t="shared" si="39"/>
        <v>1.4523518344308586</v>
      </c>
      <c r="O57" s="12"/>
      <c r="P57" s="7">
        <v>868.95</v>
      </c>
      <c r="Q57" s="3"/>
      <c r="R57" s="8">
        <f t="shared" si="40"/>
        <v>0.89131304428101066</v>
      </c>
      <c r="S57" s="3"/>
      <c r="T57" s="7">
        <v>354.33333333333297</v>
      </c>
      <c r="U57" s="3"/>
      <c r="V57" s="8">
        <f t="shared" si="41"/>
        <v>8.1737793156478195E-2</v>
      </c>
      <c r="W57" s="3"/>
      <c r="X57" s="7">
        <f t="shared" si="42"/>
        <v>514.61666666666702</v>
      </c>
      <c r="Y57" s="3"/>
      <c r="Z57" s="8">
        <f t="shared" si="43"/>
        <v>1.4523518344308586</v>
      </c>
    </row>
    <row r="58" spans="1:26" s="29" customFormat="1" outlineLevel="1" collapsed="1" x14ac:dyDescent="0.25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SUM(OSRRefD22_8x_0)</f>
        <v>4323.2</v>
      </c>
      <c r="E58" s="1"/>
      <c r="F58" s="5">
        <f t="shared" si="36"/>
        <v>4.4344606168774554</v>
      </c>
      <c r="G58" s="1"/>
      <c r="H58" s="1">
        <f>SUM(OSRRefH22_8x_0)</f>
        <v>4355</v>
      </c>
      <c r="I58" s="1"/>
      <c r="J58" s="5">
        <f t="shared" si="37"/>
        <v>1.0046136101499423</v>
      </c>
      <c r="K58" s="1"/>
      <c r="L58" s="1">
        <f t="shared" si="38"/>
        <v>-31.800000000000182</v>
      </c>
      <c r="M58" s="1"/>
      <c r="N58" s="5">
        <f t="shared" si="39"/>
        <v>-7.3019517795637617E-3</v>
      </c>
      <c r="O58" s="14"/>
      <c r="P58" s="1">
        <f>SUM(OSRRefP22_8x_0)</f>
        <v>4323.2</v>
      </c>
      <c r="Q58" s="1"/>
      <c r="R58" s="5">
        <f t="shared" si="40"/>
        <v>4.4344606168774554</v>
      </c>
      <c r="S58" s="1"/>
      <c r="T58" s="1">
        <f>SUM(OSRRefT22_8x_0)</f>
        <v>4355</v>
      </c>
      <c r="U58" s="1"/>
      <c r="V58" s="5">
        <f t="shared" si="41"/>
        <v>1.0046136101499423</v>
      </c>
      <c r="W58" s="1"/>
      <c r="X58" s="1">
        <f t="shared" si="42"/>
        <v>-31.800000000000182</v>
      </c>
      <c r="Y58" s="1"/>
      <c r="Z58" s="5">
        <f t="shared" si="43"/>
        <v>-7.3019517795637617E-3</v>
      </c>
    </row>
    <row r="59" spans="1:26" s="24" customFormat="1" hidden="1" outlineLevel="2" x14ac:dyDescent="0.25">
      <c r="A59" s="27"/>
      <c r="B59" s="12" t="str">
        <f>CONCATENATE("          ", "6279", " - ", "GENERAL EXPENSE")</f>
        <v xml:space="preserve">          6279 - GENERAL EXPENSE</v>
      </c>
      <c r="C59" s="12"/>
      <c r="D59" s="7">
        <v>4323.2</v>
      </c>
      <c r="E59" s="3"/>
      <c r="F59" s="8">
        <f t="shared" si="36"/>
        <v>4.4344606168774554</v>
      </c>
      <c r="G59" s="3"/>
      <c r="H59" s="7">
        <v>4355</v>
      </c>
      <c r="I59" s="3"/>
      <c r="J59" s="8">
        <f t="shared" si="37"/>
        <v>1.0046136101499423</v>
      </c>
      <c r="K59" s="3"/>
      <c r="L59" s="7">
        <f t="shared" si="38"/>
        <v>-31.800000000000182</v>
      </c>
      <c r="M59" s="3"/>
      <c r="N59" s="8">
        <f t="shared" si="39"/>
        <v>-7.3019517795637617E-3</v>
      </c>
      <c r="O59" s="12"/>
      <c r="P59" s="7">
        <v>4323.2</v>
      </c>
      <c r="Q59" s="3"/>
      <c r="R59" s="8">
        <f t="shared" si="40"/>
        <v>4.4344606168774554</v>
      </c>
      <c r="S59" s="3"/>
      <c r="T59" s="7">
        <v>4355</v>
      </c>
      <c r="U59" s="3"/>
      <c r="V59" s="8">
        <f t="shared" si="41"/>
        <v>1.0046136101499423</v>
      </c>
      <c r="W59" s="3"/>
      <c r="X59" s="7">
        <f t="shared" si="42"/>
        <v>-31.800000000000182</v>
      </c>
      <c r="Y59" s="3"/>
      <c r="Z59" s="8">
        <f t="shared" si="43"/>
        <v>-7.3019517795637617E-3</v>
      </c>
    </row>
    <row r="60" spans="1:26" s="29" customFormat="1" outlineLevel="1" collapsed="1" x14ac:dyDescent="0.25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SUM(OSRRefD22_9x_0)</f>
        <v>4240.13</v>
      </c>
      <c r="E60" s="1"/>
      <c r="F60" s="5">
        <f t="shared" si="36"/>
        <v>4.3492527515360395</v>
      </c>
      <c r="G60" s="1"/>
      <c r="H60" s="1">
        <f>SUM(OSRRefH22_9x_0)</f>
        <v>4565</v>
      </c>
      <c r="I60" s="1"/>
      <c r="J60" s="5">
        <f t="shared" si="37"/>
        <v>1.0530565167243369</v>
      </c>
      <c r="K60" s="1"/>
      <c r="L60" s="1">
        <f t="shared" si="38"/>
        <v>-324.86999999999989</v>
      </c>
      <c r="M60" s="1"/>
      <c r="N60" s="5">
        <f t="shared" si="39"/>
        <v>-7.1165388828039411E-2</v>
      </c>
      <c r="O60" s="14"/>
      <c r="P60" s="1">
        <f>SUM(OSRRefP22_9x_0)</f>
        <v>4240.13</v>
      </c>
      <c r="Q60" s="1"/>
      <c r="R60" s="5">
        <f t="shared" si="40"/>
        <v>4.3492527515360395</v>
      </c>
      <c r="S60" s="1"/>
      <c r="T60" s="1">
        <f>SUM(OSRRefT22_9x_0)</f>
        <v>4565</v>
      </c>
      <c r="U60" s="1"/>
      <c r="V60" s="5">
        <f t="shared" si="41"/>
        <v>1.0530565167243369</v>
      </c>
      <c r="W60" s="1"/>
      <c r="X60" s="1">
        <f t="shared" si="42"/>
        <v>-324.86999999999989</v>
      </c>
      <c r="Y60" s="1"/>
      <c r="Z60" s="5">
        <f t="shared" si="43"/>
        <v>-7.1165388828039411E-2</v>
      </c>
    </row>
    <row r="61" spans="1:26" s="24" customFormat="1" hidden="1" outlineLevel="2" x14ac:dyDescent="0.25">
      <c r="A61" s="27"/>
      <c r="B61" s="12" t="str">
        <f>CONCATENATE("          ", "6314", " - ", "LIABILITY INSURANCE")</f>
        <v xml:space="preserve">          6314 - LIABILITY INSURANCE</v>
      </c>
      <c r="C61" s="12"/>
      <c r="D61" s="7">
        <v>4240.13</v>
      </c>
      <c r="E61" s="3"/>
      <c r="F61" s="8">
        <f t="shared" si="36"/>
        <v>4.3492527515360395</v>
      </c>
      <c r="G61" s="3"/>
      <c r="H61" s="7">
        <v>4565</v>
      </c>
      <c r="I61" s="3"/>
      <c r="J61" s="8">
        <f t="shared" si="37"/>
        <v>1.0530565167243369</v>
      </c>
      <c r="K61" s="3"/>
      <c r="L61" s="7">
        <f t="shared" si="38"/>
        <v>-324.86999999999989</v>
      </c>
      <c r="M61" s="3"/>
      <c r="N61" s="8">
        <f t="shared" si="39"/>
        <v>-7.1165388828039411E-2</v>
      </c>
      <c r="O61" s="12"/>
      <c r="P61" s="7">
        <v>4240.13</v>
      </c>
      <c r="Q61" s="3"/>
      <c r="R61" s="8">
        <f t="shared" si="40"/>
        <v>4.3492527515360395</v>
      </c>
      <c r="S61" s="3"/>
      <c r="T61" s="7">
        <v>4565</v>
      </c>
      <c r="U61" s="3"/>
      <c r="V61" s="8">
        <f t="shared" si="41"/>
        <v>1.0530565167243369</v>
      </c>
      <c r="W61" s="3"/>
      <c r="X61" s="7">
        <f t="shared" si="42"/>
        <v>-324.86999999999989</v>
      </c>
      <c r="Y61" s="3"/>
      <c r="Z61" s="8">
        <f t="shared" si="43"/>
        <v>-7.1165388828039411E-2</v>
      </c>
    </row>
    <row r="62" spans="1:26" s="29" customFormat="1" outlineLevel="1" collapsed="1" x14ac:dyDescent="0.25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SUM(OSRRefD22_10x_0)</f>
        <v>7510</v>
      </c>
      <c r="E62" s="1"/>
      <c r="F62" s="5">
        <f t="shared" si="36"/>
        <v>7.7032751741186365</v>
      </c>
      <c r="G62" s="1"/>
      <c r="H62" s="1">
        <f>SUM(OSRRefH22_10x_0)</f>
        <v>7510</v>
      </c>
      <c r="I62" s="1"/>
      <c r="J62" s="5">
        <f t="shared" si="37"/>
        <v>1.7324106113033448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SUM(OSRRefP22_10x_0)</f>
        <v>7510</v>
      </c>
      <c r="Q62" s="1"/>
      <c r="R62" s="5">
        <f t="shared" si="40"/>
        <v>7.7032751741186365</v>
      </c>
      <c r="S62" s="1"/>
      <c r="T62" s="1">
        <f>SUM(OSRRefT22_10x_0)</f>
        <v>7510</v>
      </c>
      <c r="U62" s="1"/>
      <c r="V62" s="5">
        <f t="shared" si="41"/>
        <v>1.7324106113033448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25">
      <c r="A63" s="27"/>
      <c r="B63" s="12" t="str">
        <f>CONCATENATE("          ", "6401", " - ", "INTEREST EXPENSE")</f>
        <v xml:space="preserve">          6401 - INTEREST EXPENSE</v>
      </c>
      <c r="C63" s="12"/>
      <c r="D63" s="7">
        <v>7510</v>
      </c>
      <c r="E63" s="3"/>
      <c r="F63" s="8">
        <f t="shared" si="36"/>
        <v>7.7032751741186365</v>
      </c>
      <c r="G63" s="3"/>
      <c r="H63" s="7">
        <v>7510</v>
      </c>
      <c r="I63" s="3"/>
      <c r="J63" s="8">
        <f t="shared" si="37"/>
        <v>1.7324106113033448</v>
      </c>
      <c r="K63" s="3"/>
      <c r="L63" s="7">
        <f t="shared" si="38"/>
        <v>0</v>
      </c>
      <c r="M63" s="3"/>
      <c r="N63" s="8">
        <f t="shared" si="39"/>
        <v>0</v>
      </c>
      <c r="O63" s="12"/>
      <c r="P63" s="7">
        <v>7510</v>
      </c>
      <c r="Q63" s="3"/>
      <c r="R63" s="8">
        <f t="shared" si="40"/>
        <v>7.7032751741186365</v>
      </c>
      <c r="S63" s="3"/>
      <c r="T63" s="7">
        <v>7510</v>
      </c>
      <c r="U63" s="3"/>
      <c r="V63" s="8">
        <f t="shared" si="41"/>
        <v>1.7324106113033448</v>
      </c>
      <c r="W63" s="3"/>
      <c r="X63" s="7">
        <f t="shared" si="42"/>
        <v>0</v>
      </c>
      <c r="Y63" s="3"/>
      <c r="Z63" s="8">
        <f t="shared" si="43"/>
        <v>0</v>
      </c>
    </row>
    <row r="64" spans="1:26" s="29" customFormat="1" outlineLevel="1" collapsed="1" x14ac:dyDescent="0.25">
      <c r="A64" s="28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SUM(OSRRefD22_11x_0)</f>
        <v>0</v>
      </c>
      <c r="E64" s="1"/>
      <c r="F64" s="5">
        <f t="shared" si="36"/>
        <v>0</v>
      </c>
      <c r="G64" s="1"/>
      <c r="H64" s="1">
        <f>SUM(OSRRefH22_11x_0)</f>
        <v>1943</v>
      </c>
      <c r="I64" s="1"/>
      <c r="J64" s="5">
        <f t="shared" si="37"/>
        <v>0.44821222606689737</v>
      </c>
      <c r="K64" s="1"/>
      <c r="L64" s="1">
        <f t="shared" si="38"/>
        <v>-1943</v>
      </c>
      <c r="M64" s="1"/>
      <c r="N64" s="5">
        <f t="shared" si="39"/>
        <v>-1</v>
      </c>
      <c r="O64" s="14"/>
      <c r="P64" s="1">
        <f>SUM(OSRRefP22_11x_0)</f>
        <v>0</v>
      </c>
      <c r="Q64" s="1"/>
      <c r="R64" s="5">
        <f t="shared" si="40"/>
        <v>0</v>
      </c>
      <c r="S64" s="1"/>
      <c r="T64" s="1">
        <f>SUM(OSRRefT22_11x_0)</f>
        <v>1943</v>
      </c>
      <c r="U64" s="1"/>
      <c r="V64" s="5">
        <f t="shared" si="41"/>
        <v>0.44821222606689737</v>
      </c>
      <c r="W64" s="1"/>
      <c r="X64" s="1">
        <f t="shared" si="42"/>
        <v>-1943</v>
      </c>
      <c r="Y64" s="1"/>
      <c r="Z64" s="5">
        <f t="shared" si="43"/>
        <v>-1</v>
      </c>
    </row>
    <row r="65" spans="1:26" s="24" customFormat="1" hidden="1" outlineLevel="2" x14ac:dyDescent="0.25">
      <c r="A65" s="27"/>
      <c r="B65" s="12" t="str">
        <f>CONCATENATE("          ", "6273", " - ", "RENT")</f>
        <v xml:space="preserve">          6273 - RENT</v>
      </c>
      <c r="C65" s="12"/>
      <c r="D65" s="7"/>
      <c r="E65" s="3"/>
      <c r="F65" s="8">
        <f t="shared" si="36"/>
        <v>0</v>
      </c>
      <c r="G65" s="3"/>
      <c r="H65" s="7">
        <v>1943</v>
      </c>
      <c r="I65" s="3"/>
      <c r="J65" s="8">
        <f t="shared" si="37"/>
        <v>0.44821222606689737</v>
      </c>
      <c r="K65" s="3"/>
      <c r="L65" s="7">
        <f t="shared" si="38"/>
        <v>-1943</v>
      </c>
      <c r="M65" s="3"/>
      <c r="N65" s="8">
        <f t="shared" si="39"/>
        <v>-1</v>
      </c>
      <c r="O65" s="12"/>
      <c r="P65" s="7"/>
      <c r="Q65" s="3"/>
      <c r="R65" s="8">
        <f t="shared" si="40"/>
        <v>0</v>
      </c>
      <c r="S65" s="3"/>
      <c r="T65" s="7">
        <v>1943</v>
      </c>
      <c r="U65" s="3"/>
      <c r="V65" s="8">
        <f t="shared" si="41"/>
        <v>0.44821222606689737</v>
      </c>
      <c r="W65" s="3"/>
      <c r="X65" s="7">
        <f t="shared" si="42"/>
        <v>-1943</v>
      </c>
      <c r="Y65" s="3"/>
      <c r="Z65" s="8">
        <f t="shared" si="43"/>
        <v>-1</v>
      </c>
    </row>
    <row r="66" spans="1:26" s="29" customFormat="1" outlineLevel="1" collapsed="1" x14ac:dyDescent="0.25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SUM(OSRRefD22_12x_0)</f>
        <v>4110.41</v>
      </c>
      <c r="E66" s="1"/>
      <c r="F66" s="5">
        <f t="shared" si="36"/>
        <v>4.2161943153727011</v>
      </c>
      <c r="G66" s="1"/>
      <c r="H66" s="1">
        <f>SUM(OSRRefH22_12x_0)</f>
        <v>837</v>
      </c>
      <c r="I66" s="1"/>
      <c r="J66" s="5">
        <f t="shared" si="37"/>
        <v>0.19307958477508649</v>
      </c>
      <c r="K66" s="1"/>
      <c r="L66" s="1">
        <f t="shared" si="38"/>
        <v>3273.41</v>
      </c>
      <c r="M66" s="1"/>
      <c r="N66" s="5">
        <f t="shared" si="39"/>
        <v>3.9108841099163678</v>
      </c>
      <c r="O66" s="14"/>
      <c r="P66" s="1">
        <f>SUM(OSRRefP22_12x_0)</f>
        <v>4110.41</v>
      </c>
      <c r="Q66" s="1"/>
      <c r="R66" s="5">
        <f t="shared" si="40"/>
        <v>4.2161943153727011</v>
      </c>
      <c r="S66" s="1"/>
      <c r="T66" s="1">
        <f>SUM(OSRRefT22_12x_0)</f>
        <v>837</v>
      </c>
      <c r="U66" s="1"/>
      <c r="V66" s="5">
        <f t="shared" si="41"/>
        <v>0.19307958477508649</v>
      </c>
      <c r="W66" s="1"/>
      <c r="X66" s="1">
        <f t="shared" si="42"/>
        <v>3273.41</v>
      </c>
      <c r="Y66" s="1"/>
      <c r="Z66" s="5">
        <f t="shared" si="43"/>
        <v>3.9108841099163678</v>
      </c>
    </row>
    <row r="67" spans="1:26" s="24" customFormat="1" hidden="1" outlineLevel="2" x14ac:dyDescent="0.25">
      <c r="A67" s="27"/>
      <c r="B67" s="12" t="str">
        <f>CONCATENATE("          ", "6373", " - ", "MAINTENANCE CONTRACTS")</f>
        <v xml:space="preserve">          6373 - MAINTENANCE CONTRACTS</v>
      </c>
      <c r="C67" s="12"/>
      <c r="D67" s="7">
        <v>2353.59</v>
      </c>
      <c r="E67" s="3"/>
      <c r="F67" s="8">
        <f t="shared" si="36"/>
        <v>2.4141613071975878</v>
      </c>
      <c r="G67" s="3"/>
      <c r="H67" s="7">
        <v>0</v>
      </c>
      <c r="I67" s="3"/>
      <c r="J67" s="8">
        <f t="shared" si="37"/>
        <v>0</v>
      </c>
      <c r="K67" s="3"/>
      <c r="L67" s="7">
        <f t="shared" si="38"/>
        <v>2353.59</v>
      </c>
      <c r="M67" s="3"/>
      <c r="N67" s="8">
        <f t="shared" si="39"/>
        <v>0</v>
      </c>
      <c r="O67" s="12"/>
      <c r="P67" s="7">
        <v>2353.59</v>
      </c>
      <c r="Q67" s="3"/>
      <c r="R67" s="8">
        <f t="shared" si="40"/>
        <v>2.4141613071975878</v>
      </c>
      <c r="S67" s="3"/>
      <c r="T67" s="7">
        <v>0</v>
      </c>
      <c r="U67" s="3"/>
      <c r="V67" s="8">
        <f t="shared" si="41"/>
        <v>0</v>
      </c>
      <c r="W67" s="3"/>
      <c r="X67" s="7">
        <f t="shared" si="42"/>
        <v>2353.59</v>
      </c>
      <c r="Y67" s="3"/>
      <c r="Z67" s="8">
        <f t="shared" si="43"/>
        <v>0</v>
      </c>
    </row>
    <row r="68" spans="1:26" s="24" customFormat="1" hidden="1" outlineLevel="2" x14ac:dyDescent="0.25">
      <c r="A68" s="27"/>
      <c r="B68" s="12" t="str">
        <f>CONCATENATE("          ", "6375", " - ", "OUTSIDE REPAIRS &amp; MAINTENANCE")</f>
        <v xml:space="preserve">          6375 - OUTSIDE REPAIRS &amp; MAINTENANCE</v>
      </c>
      <c r="C68" s="12"/>
      <c r="D68" s="7">
        <v>1756.82</v>
      </c>
      <c r="E68" s="3"/>
      <c r="F68" s="8">
        <f t="shared" si="36"/>
        <v>1.8020330081751137</v>
      </c>
      <c r="G68" s="3"/>
      <c r="H68" s="7">
        <v>837</v>
      </c>
      <c r="I68" s="3"/>
      <c r="J68" s="8">
        <f t="shared" si="37"/>
        <v>0.19307958477508649</v>
      </c>
      <c r="K68" s="3"/>
      <c r="L68" s="7">
        <f t="shared" si="38"/>
        <v>919.81999999999994</v>
      </c>
      <c r="M68" s="3"/>
      <c r="N68" s="8">
        <f t="shared" si="39"/>
        <v>1.0989486260454002</v>
      </c>
      <c r="O68" s="12"/>
      <c r="P68" s="7">
        <v>1756.82</v>
      </c>
      <c r="Q68" s="3"/>
      <c r="R68" s="8">
        <f t="shared" si="40"/>
        <v>1.8020330081751137</v>
      </c>
      <c r="S68" s="3"/>
      <c r="T68" s="7">
        <v>837</v>
      </c>
      <c r="U68" s="3"/>
      <c r="V68" s="8">
        <f t="shared" si="41"/>
        <v>0.19307958477508649</v>
      </c>
      <c r="W68" s="3"/>
      <c r="X68" s="7">
        <f t="shared" si="42"/>
        <v>919.81999999999994</v>
      </c>
      <c r="Y68" s="3"/>
      <c r="Z68" s="8">
        <f t="shared" si="43"/>
        <v>1.0989486260454002</v>
      </c>
    </row>
    <row r="69" spans="1:26" s="29" customFormat="1" outlineLevel="1" collapsed="1" x14ac:dyDescent="0.25">
      <c r="A69" s="28"/>
      <c r="B69" s="14" t="str">
        <f>CONCATENATE("     ","Royalty &amp; Commissions                             ")</f>
        <v xml:space="preserve">     Royalty &amp; Commissions                             </v>
      </c>
      <c r="C69" s="14"/>
      <c r="D69" s="1">
        <f>SUM(OSRRefD22_13x_0)</f>
        <v>0</v>
      </c>
      <c r="E69" s="1"/>
      <c r="F69" s="5">
        <f t="shared" ref="F69:F71" si="44">IF(D$12=0,0,D69/D$12)</f>
        <v>0</v>
      </c>
      <c r="G69" s="1"/>
      <c r="H69" s="1">
        <f>SUM(OSRRefH22_13x_0)</f>
        <v>0</v>
      </c>
      <c r="I69" s="1"/>
      <c r="J69" s="5">
        <f t="shared" ref="J69:J71" si="45">IF(H$12=0,0,H69/H$12)</f>
        <v>0</v>
      </c>
      <c r="K69" s="1"/>
      <c r="L69" s="1">
        <f t="shared" ref="L69:L71" si="46">+D69-H69</f>
        <v>0</v>
      </c>
      <c r="M69" s="1"/>
      <c r="N69" s="5">
        <f t="shared" ref="N69:N71" si="47">IF(H69=0,0,L69/H69)</f>
        <v>0</v>
      </c>
      <c r="O69" s="14"/>
      <c r="P69" s="1">
        <f>SUM(OSRRefP22_13x_0)</f>
        <v>0</v>
      </c>
      <c r="Q69" s="1"/>
      <c r="R69" s="5">
        <f t="shared" ref="R69:R71" si="48">IF(P$12=0,0,P69/P$12)</f>
        <v>0</v>
      </c>
      <c r="S69" s="1"/>
      <c r="T69" s="1">
        <f>SUM(OSRRefT22_13x_0)</f>
        <v>0</v>
      </c>
      <c r="U69" s="1"/>
      <c r="V69" s="5">
        <f t="shared" ref="V69:V71" si="49">IF(T$12=0,0,T69/T$12)</f>
        <v>0</v>
      </c>
      <c r="W69" s="1"/>
      <c r="X69" s="1">
        <f t="shared" ref="X69:X71" si="50">+P69-T69</f>
        <v>0</v>
      </c>
      <c r="Y69" s="1"/>
      <c r="Z69" s="5">
        <f t="shared" ref="Z69:Z71" si="51">IF(T69=0,0,X69/T69)</f>
        <v>0</v>
      </c>
    </row>
    <row r="70" spans="1:26" s="24" customFormat="1" hidden="1" outlineLevel="2" x14ac:dyDescent="0.25">
      <c r="A70" s="27"/>
      <c r="B70" s="12" t="str">
        <f>CONCATENATE("          ", "6254", " - ", "ROYALTY &amp; COMMISSIONS")</f>
        <v xml:space="preserve">          6254 - ROYALTY &amp; COMMISSIONS</v>
      </c>
      <c r="C70" s="12"/>
      <c r="D70" s="7"/>
      <c r="E70" s="3"/>
      <c r="F70" s="8">
        <f t="shared" si="44"/>
        <v>0</v>
      </c>
      <c r="G70" s="3"/>
      <c r="H70" s="7">
        <v>0</v>
      </c>
      <c r="I70" s="3"/>
      <c r="J70" s="8">
        <f t="shared" si="45"/>
        <v>0</v>
      </c>
      <c r="K70" s="3"/>
      <c r="L70" s="7">
        <f t="shared" si="46"/>
        <v>0</v>
      </c>
      <c r="M70" s="3"/>
      <c r="N70" s="8">
        <f t="shared" si="47"/>
        <v>0</v>
      </c>
      <c r="O70" s="12"/>
      <c r="P70" s="7"/>
      <c r="Q70" s="3"/>
      <c r="R70" s="8">
        <f t="shared" si="48"/>
        <v>0</v>
      </c>
      <c r="S70" s="3"/>
      <c r="T70" s="7">
        <v>0</v>
      </c>
      <c r="U70" s="3"/>
      <c r="V70" s="8">
        <f t="shared" si="49"/>
        <v>0</v>
      </c>
      <c r="W70" s="3"/>
      <c r="X70" s="7">
        <f t="shared" si="50"/>
        <v>0</v>
      </c>
      <c r="Y70" s="3"/>
      <c r="Z70" s="8">
        <f t="shared" si="51"/>
        <v>0</v>
      </c>
    </row>
    <row r="71" spans="1:26" s="24" customFormat="1" hidden="1" outlineLevel="2" x14ac:dyDescent="0.25">
      <c r="A71" s="27"/>
      <c r="B71" s="12" t="str">
        <f>CONCATENATE("          ", "6259", " - ", "ROYALTY &amp; COMMISSIONS")</f>
        <v xml:space="preserve">          6259 - ROYALTY &amp; COMMISSIONS</v>
      </c>
      <c r="C71" s="12"/>
      <c r="D71" s="7"/>
      <c r="E71" s="3"/>
      <c r="F71" s="8">
        <f t="shared" si="44"/>
        <v>0</v>
      </c>
      <c r="G71" s="3"/>
      <c r="H71" s="7">
        <v>0</v>
      </c>
      <c r="I71" s="3"/>
      <c r="J71" s="8">
        <f t="shared" si="45"/>
        <v>0</v>
      </c>
      <c r="K71" s="3"/>
      <c r="L71" s="7">
        <f t="shared" si="46"/>
        <v>0</v>
      </c>
      <c r="M71" s="3"/>
      <c r="N71" s="8">
        <f t="shared" si="47"/>
        <v>0</v>
      </c>
      <c r="O71" s="12"/>
      <c r="P71" s="7"/>
      <c r="Q71" s="3"/>
      <c r="R71" s="8">
        <f t="shared" si="48"/>
        <v>0</v>
      </c>
      <c r="S71" s="3"/>
      <c r="T71" s="7">
        <v>0</v>
      </c>
      <c r="U71" s="3"/>
      <c r="V71" s="8">
        <f t="shared" si="49"/>
        <v>0</v>
      </c>
      <c r="W71" s="3"/>
      <c r="X71" s="7">
        <f t="shared" si="50"/>
        <v>0</v>
      </c>
      <c r="Y71" s="3"/>
      <c r="Z71" s="8">
        <f t="shared" si="51"/>
        <v>0</v>
      </c>
    </row>
    <row r="72" spans="1:26" s="29" customFormat="1" outlineLevel="1" collapsed="1" x14ac:dyDescent="0.25">
      <c r="A72" s="28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SUM(OSRRefD22_14x_0)</f>
        <v>1607.1999999999998</v>
      </c>
      <c r="E72" s="1"/>
      <c r="F72" s="5">
        <f t="shared" ref="F72:F77" si="52">IF(D$12=0,0,D72/D$12)</f>
        <v>1.6485624314039242</v>
      </c>
      <c r="G72" s="1"/>
      <c r="H72" s="1">
        <f>SUM(OSRRefH22_14x_0)</f>
        <v>5881</v>
      </c>
      <c r="I72" s="1"/>
      <c r="J72" s="5">
        <f t="shared" ref="J72:J77" si="53">IF(H$12=0,0,H72/H$12)</f>
        <v>1.3566320645905421</v>
      </c>
      <c r="K72" s="1"/>
      <c r="L72" s="1">
        <f t="shared" ref="L72:L77" si="54">+D72-H72</f>
        <v>-4273.8</v>
      </c>
      <c r="M72" s="1"/>
      <c r="N72" s="5">
        <f t="shared" ref="N72:N77" si="55">IF(H72=0,0,L72/H72)</f>
        <v>-0.72671314402312537</v>
      </c>
      <c r="O72" s="14"/>
      <c r="P72" s="1">
        <f>SUM(OSRRefP22_14x_0)</f>
        <v>1607.1999999999998</v>
      </c>
      <c r="Q72" s="1"/>
      <c r="R72" s="5">
        <f t="shared" ref="R72:R77" si="56">IF(P$12=0,0,P72/P$12)</f>
        <v>1.6485624314039242</v>
      </c>
      <c r="S72" s="1"/>
      <c r="T72" s="1">
        <f>SUM(OSRRefT22_14x_0)</f>
        <v>5881</v>
      </c>
      <c r="U72" s="1"/>
      <c r="V72" s="5">
        <f t="shared" ref="V72:V77" si="57">IF(T$12=0,0,T72/T$12)</f>
        <v>1.3566320645905421</v>
      </c>
      <c r="W72" s="1"/>
      <c r="X72" s="1">
        <f t="shared" ref="X72:X77" si="58">+P72-T72</f>
        <v>-4273.8</v>
      </c>
      <c r="Y72" s="1"/>
      <c r="Z72" s="5">
        <f t="shared" ref="Z72:Z77" si="59">IF(T72=0,0,X72/T72)</f>
        <v>-0.72671314402312537</v>
      </c>
    </row>
    <row r="73" spans="1:26" s="24" customFormat="1" hidden="1" outlineLevel="2" x14ac:dyDescent="0.25">
      <c r="A73" s="27"/>
      <c r="B73" s="12" t="str">
        <f>CONCATENATE("          ", "6282", " - ", "JANITORIAL/EXTERMINATOR EXPENS")</f>
        <v xml:space="preserve">          6282 - JANITORIAL/EXTERMINATOR EXPENS</v>
      </c>
      <c r="C73" s="12"/>
      <c r="D73" s="7">
        <v>286.62</v>
      </c>
      <c r="E73" s="3"/>
      <c r="F73" s="8">
        <f t="shared" si="52"/>
        <v>0.29399636889559039</v>
      </c>
      <c r="G73" s="3"/>
      <c r="H73" s="7">
        <v>955</v>
      </c>
      <c r="I73" s="3"/>
      <c r="J73" s="8">
        <f t="shared" si="53"/>
        <v>0.22029988465974626</v>
      </c>
      <c r="K73" s="3"/>
      <c r="L73" s="7">
        <f t="shared" si="54"/>
        <v>-668.38</v>
      </c>
      <c r="M73" s="3"/>
      <c r="N73" s="8">
        <f t="shared" si="55"/>
        <v>-0.69987434554973826</v>
      </c>
      <c r="O73" s="12"/>
      <c r="P73" s="7">
        <v>286.62</v>
      </c>
      <c r="Q73" s="3"/>
      <c r="R73" s="8">
        <f t="shared" si="56"/>
        <v>0.29399636889559039</v>
      </c>
      <c r="S73" s="3"/>
      <c r="T73" s="7">
        <v>955</v>
      </c>
      <c r="U73" s="3"/>
      <c r="V73" s="8">
        <f t="shared" si="57"/>
        <v>0.22029988465974626</v>
      </c>
      <c r="W73" s="3"/>
      <c r="X73" s="7">
        <f t="shared" si="58"/>
        <v>-668.38</v>
      </c>
      <c r="Y73" s="3"/>
      <c r="Z73" s="8">
        <f t="shared" si="59"/>
        <v>-0.69987434554973826</v>
      </c>
    </row>
    <row r="74" spans="1:26" s="24" customFormat="1" hidden="1" outlineLevel="2" x14ac:dyDescent="0.25">
      <c r="A74" s="27"/>
      <c r="B74" s="12" t="str">
        <f>CONCATENATE("          ", "6283", " - ", "PLANT SERVICE")</f>
        <v xml:space="preserve">          6283 - PLANT SERVICE</v>
      </c>
      <c r="C74" s="12"/>
      <c r="D74" s="7"/>
      <c r="E74" s="3"/>
      <c r="F74" s="8">
        <f t="shared" si="52"/>
        <v>0</v>
      </c>
      <c r="G74" s="3"/>
      <c r="H74" s="7">
        <v>62</v>
      </c>
      <c r="I74" s="3"/>
      <c r="J74" s="8">
        <f t="shared" si="53"/>
        <v>1.4302191464821222E-2</v>
      </c>
      <c r="K74" s="3"/>
      <c r="L74" s="7">
        <f t="shared" si="54"/>
        <v>-62</v>
      </c>
      <c r="M74" s="3"/>
      <c r="N74" s="8">
        <f t="shared" si="55"/>
        <v>-1</v>
      </c>
      <c r="O74" s="12"/>
      <c r="P74" s="7"/>
      <c r="Q74" s="3"/>
      <c r="R74" s="8">
        <f t="shared" si="56"/>
        <v>0</v>
      </c>
      <c r="S74" s="3"/>
      <c r="T74" s="7">
        <v>62</v>
      </c>
      <c r="U74" s="3"/>
      <c r="V74" s="8">
        <f t="shared" si="57"/>
        <v>1.4302191464821222E-2</v>
      </c>
      <c r="W74" s="3"/>
      <c r="X74" s="7">
        <f t="shared" si="58"/>
        <v>-62</v>
      </c>
      <c r="Y74" s="3"/>
      <c r="Z74" s="8">
        <f t="shared" si="59"/>
        <v>-1</v>
      </c>
    </row>
    <row r="75" spans="1:26" s="24" customFormat="1" hidden="1" outlineLevel="2" x14ac:dyDescent="0.25">
      <c r="A75" s="27"/>
      <c r="B75" s="12" t="str">
        <f>CONCATENATE("          ", "6284", " - ", "TRASH REMOVAL EXPENSE")</f>
        <v xml:space="preserve">          6284 - TRASH REMOVAL EXPENSE</v>
      </c>
      <c r="C75" s="12"/>
      <c r="D75" s="7">
        <v>1000</v>
      </c>
      <c r="E75" s="3"/>
      <c r="F75" s="8">
        <f t="shared" si="52"/>
        <v>1.0257357089372352</v>
      </c>
      <c r="G75" s="3"/>
      <c r="H75" s="7">
        <v>1823</v>
      </c>
      <c r="I75" s="3"/>
      <c r="J75" s="8">
        <f t="shared" si="53"/>
        <v>0.42053056516724335</v>
      </c>
      <c r="K75" s="3"/>
      <c r="L75" s="7">
        <f t="shared" si="54"/>
        <v>-823</v>
      </c>
      <c r="M75" s="3"/>
      <c r="N75" s="8">
        <f t="shared" si="55"/>
        <v>-0.45145364783324193</v>
      </c>
      <c r="O75" s="12"/>
      <c r="P75" s="7">
        <v>1000</v>
      </c>
      <c r="Q75" s="3"/>
      <c r="R75" s="8">
        <f t="shared" si="56"/>
        <v>1.0257357089372352</v>
      </c>
      <c r="S75" s="3"/>
      <c r="T75" s="7">
        <v>1823</v>
      </c>
      <c r="U75" s="3"/>
      <c r="V75" s="8">
        <f t="shared" si="57"/>
        <v>0.42053056516724335</v>
      </c>
      <c r="W75" s="3"/>
      <c r="X75" s="7">
        <f t="shared" si="58"/>
        <v>-823</v>
      </c>
      <c r="Y75" s="3"/>
      <c r="Z75" s="8">
        <f t="shared" si="59"/>
        <v>-0.45145364783324193</v>
      </c>
    </row>
    <row r="76" spans="1:26" s="24" customFormat="1" hidden="1" outlineLevel="2" x14ac:dyDescent="0.25">
      <c r="A76" s="27"/>
      <c r="B76" s="12" t="str">
        <f>CONCATENATE("          ", "6285", " - ", "JANITORIAL SERVICES")</f>
        <v xml:space="preserve">          6285 - JANITORIAL SERVICES</v>
      </c>
      <c r="C76" s="12"/>
      <c r="D76" s="7"/>
      <c r="E76" s="3"/>
      <c r="F76" s="8">
        <f t="shared" si="52"/>
        <v>0</v>
      </c>
      <c r="G76" s="3"/>
      <c r="H76" s="7">
        <v>3041</v>
      </c>
      <c r="I76" s="3"/>
      <c r="J76" s="8">
        <f t="shared" si="53"/>
        <v>0.70149942329873127</v>
      </c>
      <c r="K76" s="3"/>
      <c r="L76" s="7">
        <f t="shared" si="54"/>
        <v>-3041</v>
      </c>
      <c r="M76" s="3"/>
      <c r="N76" s="8">
        <f t="shared" si="55"/>
        <v>-1</v>
      </c>
      <c r="O76" s="12"/>
      <c r="P76" s="7"/>
      <c r="Q76" s="3"/>
      <c r="R76" s="8">
        <f t="shared" si="56"/>
        <v>0</v>
      </c>
      <c r="S76" s="3"/>
      <c r="T76" s="7">
        <v>3041</v>
      </c>
      <c r="U76" s="3"/>
      <c r="V76" s="8">
        <f t="shared" si="57"/>
        <v>0.70149942329873127</v>
      </c>
      <c r="W76" s="3"/>
      <c r="X76" s="7">
        <f t="shared" si="58"/>
        <v>-3041</v>
      </c>
      <c r="Y76" s="3"/>
      <c r="Z76" s="8">
        <f t="shared" si="59"/>
        <v>-1</v>
      </c>
    </row>
    <row r="77" spans="1:26" s="24" customFormat="1" hidden="1" outlineLevel="2" x14ac:dyDescent="0.25">
      <c r="A77" s="27"/>
      <c r="B77" s="12" t="str">
        <f>CONCATENATE("          ", "6286", " - ", "LAUNDRY EXPENSE")</f>
        <v xml:space="preserve">          6286 - LAUNDRY EXPENSE</v>
      </c>
      <c r="C77" s="12"/>
      <c r="D77" s="7">
        <v>320.58</v>
      </c>
      <c r="E77" s="3"/>
      <c r="F77" s="8">
        <f t="shared" si="52"/>
        <v>0.32883035357109885</v>
      </c>
      <c r="G77" s="3"/>
      <c r="H77" s="7">
        <v>0</v>
      </c>
      <c r="I77" s="3"/>
      <c r="J77" s="8">
        <f t="shared" si="53"/>
        <v>0</v>
      </c>
      <c r="K77" s="3"/>
      <c r="L77" s="7">
        <f t="shared" si="54"/>
        <v>320.58</v>
      </c>
      <c r="M77" s="3"/>
      <c r="N77" s="8">
        <f t="shared" si="55"/>
        <v>0</v>
      </c>
      <c r="O77" s="12"/>
      <c r="P77" s="7">
        <v>320.58</v>
      </c>
      <c r="Q77" s="3"/>
      <c r="R77" s="8">
        <f t="shared" si="56"/>
        <v>0.32883035357109885</v>
      </c>
      <c r="S77" s="3"/>
      <c r="T77" s="7">
        <v>0</v>
      </c>
      <c r="U77" s="3"/>
      <c r="V77" s="8">
        <f t="shared" si="57"/>
        <v>0</v>
      </c>
      <c r="W77" s="3"/>
      <c r="X77" s="7">
        <f t="shared" si="58"/>
        <v>320.58</v>
      </c>
      <c r="Y77" s="3"/>
      <c r="Z77" s="8">
        <f t="shared" si="59"/>
        <v>0</v>
      </c>
    </row>
    <row r="78" spans="1:26" s="29" customFormat="1" outlineLevel="1" collapsed="1" x14ac:dyDescent="0.25">
      <c r="A78" s="28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SUM(OSRRefD22_15x_0)</f>
        <v>9.32</v>
      </c>
      <c r="E78" s="1"/>
      <c r="F78" s="5">
        <f t="shared" ref="F78:F91" si="60">IF(D$12=0,0,D78/D$12)</f>
        <v>9.5598568072950332E-3</v>
      </c>
      <c r="G78" s="1"/>
      <c r="H78" s="1">
        <f>SUM(OSRRefH22_15x_0)</f>
        <v>197</v>
      </c>
      <c r="I78" s="1"/>
      <c r="J78" s="5">
        <f t="shared" ref="J78:J91" si="61">IF(H$12=0,0,H78/H$12)</f>
        <v>4.5444059976931947E-2</v>
      </c>
      <c r="K78" s="1"/>
      <c r="L78" s="1">
        <f t="shared" ref="L78:L91" si="62">+D78-H78</f>
        <v>-187.68</v>
      </c>
      <c r="M78" s="1"/>
      <c r="N78" s="5">
        <f t="shared" ref="N78:N91" si="63">IF(H78=0,0,L78/H78)</f>
        <v>-0.95269035532994928</v>
      </c>
      <c r="O78" s="14"/>
      <c r="P78" s="1">
        <f>SUM(OSRRefP22_15x_0)</f>
        <v>9.32</v>
      </c>
      <c r="Q78" s="1"/>
      <c r="R78" s="5">
        <f t="shared" ref="R78:R91" si="64">IF(P$12=0,0,P78/P$12)</f>
        <v>9.5598568072950332E-3</v>
      </c>
      <c r="S78" s="1"/>
      <c r="T78" s="1">
        <f>SUM(OSRRefT22_15x_0)</f>
        <v>197</v>
      </c>
      <c r="U78" s="1"/>
      <c r="V78" s="5">
        <f t="shared" ref="V78:V91" si="65">IF(T$12=0,0,T78/T$12)</f>
        <v>4.5444059976931947E-2</v>
      </c>
      <c r="W78" s="1"/>
      <c r="X78" s="1">
        <f t="shared" ref="X78:X91" si="66">+P78-T78</f>
        <v>-187.68</v>
      </c>
      <c r="Y78" s="1"/>
      <c r="Z78" s="5">
        <f t="shared" ref="Z78:Z91" si="67">IF(T78=0,0,X78/T78)</f>
        <v>-0.95269035532994928</v>
      </c>
    </row>
    <row r="79" spans="1:26" s="24" customFormat="1" hidden="1" outlineLevel="2" x14ac:dyDescent="0.25">
      <c r="A79" s="27"/>
      <c r="B79" s="12" t="str">
        <f>CONCATENATE("          ", "6275", " - ", "SUBSCRIPTIONS")</f>
        <v xml:space="preserve">          6275 - SUBSCRIPTIONS</v>
      </c>
      <c r="C79" s="12"/>
      <c r="D79" s="7">
        <v>9.32</v>
      </c>
      <c r="E79" s="3"/>
      <c r="F79" s="8">
        <f t="shared" si="60"/>
        <v>9.5598568072950332E-3</v>
      </c>
      <c r="G79" s="3"/>
      <c r="H79" s="7">
        <v>197</v>
      </c>
      <c r="I79" s="3"/>
      <c r="J79" s="8">
        <f t="shared" si="61"/>
        <v>4.5444059976931947E-2</v>
      </c>
      <c r="K79" s="3"/>
      <c r="L79" s="7">
        <f t="shared" si="62"/>
        <v>-187.68</v>
      </c>
      <c r="M79" s="3"/>
      <c r="N79" s="8">
        <f t="shared" si="63"/>
        <v>-0.95269035532994928</v>
      </c>
      <c r="O79" s="12"/>
      <c r="P79" s="7">
        <v>9.32</v>
      </c>
      <c r="Q79" s="3"/>
      <c r="R79" s="8">
        <f t="shared" si="64"/>
        <v>9.5598568072950332E-3</v>
      </c>
      <c r="S79" s="3"/>
      <c r="T79" s="7">
        <v>197</v>
      </c>
      <c r="U79" s="3"/>
      <c r="V79" s="8">
        <f t="shared" si="65"/>
        <v>4.5444059976931947E-2</v>
      </c>
      <c r="W79" s="3"/>
      <c r="X79" s="7">
        <f t="shared" si="66"/>
        <v>-187.68</v>
      </c>
      <c r="Y79" s="3"/>
      <c r="Z79" s="8">
        <f t="shared" si="67"/>
        <v>-0.95269035532994928</v>
      </c>
    </row>
    <row r="80" spans="1:26" s="29" customFormat="1" outlineLevel="1" collapsed="1" x14ac:dyDescent="0.25">
      <c r="A80" s="28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SUM(OSRRefD22_16x_0)</f>
        <v>486.14000000000004</v>
      </c>
      <c r="E80" s="1"/>
      <c r="F80" s="5">
        <f t="shared" si="60"/>
        <v>0.49865115754274758</v>
      </c>
      <c r="G80" s="1"/>
      <c r="H80" s="1">
        <f>SUM(OSRRefH22_16x_0)</f>
        <v>1014</v>
      </c>
      <c r="I80" s="1"/>
      <c r="J80" s="5">
        <f t="shared" si="61"/>
        <v>0.23391003460207613</v>
      </c>
      <c r="K80" s="1"/>
      <c r="L80" s="1">
        <f t="shared" si="62"/>
        <v>-527.8599999999999</v>
      </c>
      <c r="M80" s="1"/>
      <c r="N80" s="5">
        <f t="shared" si="63"/>
        <v>-0.52057199211045357</v>
      </c>
      <c r="O80" s="14"/>
      <c r="P80" s="1">
        <f>SUM(OSRRefP22_16x_0)</f>
        <v>486.14000000000004</v>
      </c>
      <c r="Q80" s="1"/>
      <c r="R80" s="5">
        <f t="shared" si="64"/>
        <v>0.49865115754274758</v>
      </c>
      <c r="S80" s="1"/>
      <c r="T80" s="1">
        <f>SUM(OSRRefT22_16x_0)</f>
        <v>1014</v>
      </c>
      <c r="U80" s="1"/>
      <c r="V80" s="5">
        <f t="shared" si="65"/>
        <v>0.23391003460207613</v>
      </c>
      <c r="W80" s="1"/>
      <c r="X80" s="1">
        <f t="shared" si="66"/>
        <v>-527.8599999999999</v>
      </c>
      <c r="Y80" s="1"/>
      <c r="Z80" s="5">
        <f t="shared" si="67"/>
        <v>-0.52057199211045357</v>
      </c>
    </row>
    <row r="81" spans="1:26" s="24" customFormat="1" hidden="1" outlineLevel="2" x14ac:dyDescent="0.25">
      <c r="A81" s="27"/>
      <c r="B81" s="12" t="str">
        <f>CONCATENATE("          ", "6234", " - ", "EXPENDABLE SUPPLIES &amp; EQUIPMEN")</f>
        <v xml:space="preserve">          6234 - EXPENDABLE SUPPLIES &amp; EQUIPMEN</v>
      </c>
      <c r="C81" s="12"/>
      <c r="D81" s="7"/>
      <c r="E81" s="3"/>
      <c r="F81" s="8">
        <f t="shared" si="60"/>
        <v>0</v>
      </c>
      <c r="G81" s="3"/>
      <c r="H81" s="7">
        <v>0</v>
      </c>
      <c r="I81" s="3"/>
      <c r="J81" s="8">
        <f t="shared" si="61"/>
        <v>0</v>
      </c>
      <c r="K81" s="3"/>
      <c r="L81" s="7">
        <f t="shared" si="62"/>
        <v>0</v>
      </c>
      <c r="M81" s="3"/>
      <c r="N81" s="8">
        <f t="shared" si="63"/>
        <v>0</v>
      </c>
      <c r="O81" s="12"/>
      <c r="P81" s="7"/>
      <c r="Q81" s="3"/>
      <c r="R81" s="8">
        <f t="shared" si="64"/>
        <v>0</v>
      </c>
      <c r="S81" s="3"/>
      <c r="T81" s="7">
        <v>0</v>
      </c>
      <c r="U81" s="3"/>
      <c r="V81" s="8">
        <f t="shared" si="65"/>
        <v>0</v>
      </c>
      <c r="W81" s="3"/>
      <c r="X81" s="7">
        <f t="shared" si="66"/>
        <v>0</v>
      </c>
      <c r="Y81" s="3"/>
      <c r="Z81" s="8">
        <f t="shared" si="67"/>
        <v>0</v>
      </c>
    </row>
    <row r="82" spans="1:26" s="24" customFormat="1" hidden="1" outlineLevel="2" x14ac:dyDescent="0.25">
      <c r="A82" s="27"/>
      <c r="B82" s="12" t="str">
        <f>CONCATENATE("          ", "6235", " - ", "COVID-19 EXPENSES")</f>
        <v xml:space="preserve">          6235 - COVID-19 EXPENSES</v>
      </c>
      <c r="C82" s="12"/>
      <c r="D82" s="7">
        <v>535.82000000000005</v>
      </c>
      <c r="E82" s="3"/>
      <c r="F82" s="8">
        <f t="shared" si="60"/>
        <v>0.54960970756274941</v>
      </c>
      <c r="G82" s="3"/>
      <c r="H82" s="7">
        <v>0</v>
      </c>
      <c r="I82" s="3"/>
      <c r="J82" s="8">
        <f t="shared" si="61"/>
        <v>0</v>
      </c>
      <c r="K82" s="3"/>
      <c r="L82" s="7">
        <f t="shared" si="62"/>
        <v>535.82000000000005</v>
      </c>
      <c r="M82" s="3"/>
      <c r="N82" s="8">
        <f t="shared" si="63"/>
        <v>0</v>
      </c>
      <c r="O82" s="12"/>
      <c r="P82" s="7">
        <v>535.82000000000005</v>
      </c>
      <c r="Q82" s="3"/>
      <c r="R82" s="8">
        <f t="shared" si="64"/>
        <v>0.54960970756274941</v>
      </c>
      <c r="S82" s="3"/>
      <c r="T82" s="7">
        <v>0</v>
      </c>
      <c r="U82" s="3"/>
      <c r="V82" s="8">
        <f t="shared" si="65"/>
        <v>0</v>
      </c>
      <c r="W82" s="3"/>
      <c r="X82" s="7">
        <f t="shared" si="66"/>
        <v>535.82000000000005</v>
      </c>
      <c r="Y82" s="3"/>
      <c r="Z82" s="8">
        <f t="shared" si="67"/>
        <v>0</v>
      </c>
    </row>
    <row r="83" spans="1:26" s="24" customFormat="1" hidden="1" outlineLevel="2" x14ac:dyDescent="0.25">
      <c r="A83" s="27"/>
      <c r="B83" s="12" t="str">
        <f>CONCATENATE("          ", "6237", " - ", "JANITORIAL SUPPLIES")</f>
        <v xml:space="preserve">          6237 - JANITORIAL SUPPLIES</v>
      </c>
      <c r="C83" s="12"/>
      <c r="D83" s="7"/>
      <c r="E83" s="3"/>
      <c r="F83" s="8">
        <f t="shared" si="60"/>
        <v>0</v>
      </c>
      <c r="G83" s="3"/>
      <c r="H83" s="7">
        <v>523</v>
      </c>
      <c r="I83" s="3"/>
      <c r="J83" s="8">
        <f t="shared" si="61"/>
        <v>0.12064590542099192</v>
      </c>
      <c r="K83" s="3"/>
      <c r="L83" s="7">
        <f t="shared" si="62"/>
        <v>-523</v>
      </c>
      <c r="M83" s="3"/>
      <c r="N83" s="8">
        <f t="shared" si="63"/>
        <v>-1</v>
      </c>
      <c r="O83" s="12"/>
      <c r="P83" s="7"/>
      <c r="Q83" s="3"/>
      <c r="R83" s="8">
        <f t="shared" si="64"/>
        <v>0</v>
      </c>
      <c r="S83" s="3"/>
      <c r="T83" s="7">
        <v>523</v>
      </c>
      <c r="U83" s="3"/>
      <c r="V83" s="8">
        <f t="shared" si="65"/>
        <v>0.12064590542099192</v>
      </c>
      <c r="W83" s="3"/>
      <c r="X83" s="7">
        <f t="shared" si="66"/>
        <v>-523</v>
      </c>
      <c r="Y83" s="3"/>
      <c r="Z83" s="8">
        <f t="shared" si="67"/>
        <v>-1</v>
      </c>
    </row>
    <row r="84" spans="1:26" s="24" customFormat="1" hidden="1" outlineLevel="2" x14ac:dyDescent="0.25">
      <c r="A84" s="27"/>
      <c r="B84" s="12" t="str">
        <f>CONCATENATE("          ", "6239", " - ", "KITCHEN SUPPLIES")</f>
        <v xml:space="preserve">          6239 - KITCHEN SUPPLIES</v>
      </c>
      <c r="C84" s="12"/>
      <c r="D84" s="7"/>
      <c r="E84" s="3"/>
      <c r="F84" s="8">
        <f t="shared" si="60"/>
        <v>0</v>
      </c>
      <c r="G84" s="3"/>
      <c r="H84" s="7">
        <v>63</v>
      </c>
      <c r="I84" s="3"/>
      <c r="J84" s="8">
        <f t="shared" si="61"/>
        <v>1.453287197231834E-2</v>
      </c>
      <c r="K84" s="3"/>
      <c r="L84" s="7">
        <f t="shared" si="62"/>
        <v>-63</v>
      </c>
      <c r="M84" s="3"/>
      <c r="N84" s="8">
        <f t="shared" si="63"/>
        <v>-1</v>
      </c>
      <c r="O84" s="12"/>
      <c r="P84" s="7"/>
      <c r="Q84" s="3"/>
      <c r="R84" s="8">
        <f t="shared" si="64"/>
        <v>0</v>
      </c>
      <c r="S84" s="3"/>
      <c r="T84" s="7">
        <v>63</v>
      </c>
      <c r="U84" s="3"/>
      <c r="V84" s="8">
        <f t="shared" si="65"/>
        <v>1.453287197231834E-2</v>
      </c>
      <c r="W84" s="3"/>
      <c r="X84" s="7">
        <f t="shared" si="66"/>
        <v>-63</v>
      </c>
      <c r="Y84" s="3"/>
      <c r="Z84" s="8">
        <f t="shared" si="67"/>
        <v>-1</v>
      </c>
    </row>
    <row r="85" spans="1:26" s="24" customFormat="1" hidden="1" outlineLevel="2" x14ac:dyDescent="0.25">
      <c r="A85" s="27"/>
      <c r="B85" s="12" t="str">
        <f>CONCATENATE("          ", "6241", " - ", "OFFICE EXPENSE")</f>
        <v xml:space="preserve">          6241 - OFFICE EXPENSE</v>
      </c>
      <c r="C85" s="12"/>
      <c r="D85" s="7">
        <v>-49.68</v>
      </c>
      <c r="E85" s="3"/>
      <c r="F85" s="8">
        <f t="shared" si="60"/>
        <v>-5.0958550020001846E-2</v>
      </c>
      <c r="G85" s="3"/>
      <c r="H85" s="7">
        <v>69</v>
      </c>
      <c r="I85" s="3"/>
      <c r="J85" s="8">
        <f t="shared" si="61"/>
        <v>1.5916955017301039E-2</v>
      </c>
      <c r="K85" s="3"/>
      <c r="L85" s="7">
        <f t="shared" si="62"/>
        <v>-118.68</v>
      </c>
      <c r="M85" s="3"/>
      <c r="N85" s="8">
        <f t="shared" si="63"/>
        <v>-1.7200000000000002</v>
      </c>
      <c r="O85" s="12"/>
      <c r="P85" s="7">
        <v>-49.68</v>
      </c>
      <c r="Q85" s="3"/>
      <c r="R85" s="8">
        <f t="shared" si="64"/>
        <v>-5.0958550020001846E-2</v>
      </c>
      <c r="S85" s="3"/>
      <c r="T85" s="7">
        <v>69</v>
      </c>
      <c r="U85" s="3"/>
      <c r="V85" s="8">
        <f t="shared" si="65"/>
        <v>1.5916955017301039E-2</v>
      </c>
      <c r="W85" s="3"/>
      <c r="X85" s="7">
        <f t="shared" si="66"/>
        <v>-118.68</v>
      </c>
      <c r="Y85" s="3"/>
      <c r="Z85" s="8">
        <f t="shared" si="67"/>
        <v>-1.7200000000000002</v>
      </c>
    </row>
    <row r="86" spans="1:26" s="24" customFormat="1" hidden="1" outlineLevel="2" x14ac:dyDescent="0.25">
      <c r="A86" s="27"/>
      <c r="B86" s="12" t="str">
        <f>CONCATENATE("          ", "6243", " - ", "PAPER SUPPLIES")</f>
        <v xml:space="preserve">          6243 - PAPER SUPPLIES</v>
      </c>
      <c r="C86" s="12"/>
      <c r="D86" s="7"/>
      <c r="E86" s="3"/>
      <c r="F86" s="8">
        <f t="shared" si="60"/>
        <v>0</v>
      </c>
      <c r="G86" s="3"/>
      <c r="H86" s="7">
        <v>359</v>
      </c>
      <c r="I86" s="3"/>
      <c r="J86" s="8">
        <f t="shared" si="61"/>
        <v>8.2814302191464823E-2</v>
      </c>
      <c r="K86" s="3"/>
      <c r="L86" s="7">
        <f t="shared" si="62"/>
        <v>-359</v>
      </c>
      <c r="M86" s="3"/>
      <c r="N86" s="8">
        <f t="shared" si="63"/>
        <v>-1</v>
      </c>
      <c r="O86" s="12"/>
      <c r="P86" s="7"/>
      <c r="Q86" s="3"/>
      <c r="R86" s="8">
        <f t="shared" si="64"/>
        <v>0</v>
      </c>
      <c r="S86" s="3"/>
      <c r="T86" s="7">
        <v>359</v>
      </c>
      <c r="U86" s="3"/>
      <c r="V86" s="8">
        <f t="shared" si="65"/>
        <v>8.2814302191464823E-2</v>
      </c>
      <c r="W86" s="3"/>
      <c r="X86" s="7">
        <f t="shared" si="66"/>
        <v>-359</v>
      </c>
      <c r="Y86" s="3"/>
      <c r="Z86" s="8">
        <f t="shared" si="67"/>
        <v>-1</v>
      </c>
    </row>
    <row r="87" spans="1:26" s="24" customFormat="1" hidden="1" outlineLevel="2" x14ac:dyDescent="0.25">
      <c r="A87" s="27"/>
      <c r="B87" s="12" t="str">
        <f>CONCATENATE("          ", "6244", " - ", "SAFETY SUPPLY EXPENSE")</f>
        <v xml:space="preserve">          6244 - SAFETY SUPPLY EXPENSE</v>
      </c>
      <c r="C87" s="12"/>
      <c r="D87" s="7"/>
      <c r="E87" s="3"/>
      <c r="F87" s="8">
        <f t="shared" si="60"/>
        <v>0</v>
      </c>
      <c r="G87" s="3"/>
      <c r="H87" s="7">
        <v>0</v>
      </c>
      <c r="I87" s="3"/>
      <c r="J87" s="8">
        <f t="shared" si="61"/>
        <v>0</v>
      </c>
      <c r="K87" s="3"/>
      <c r="L87" s="7">
        <f t="shared" si="62"/>
        <v>0</v>
      </c>
      <c r="M87" s="3"/>
      <c r="N87" s="8">
        <f t="shared" si="63"/>
        <v>0</v>
      </c>
      <c r="O87" s="12"/>
      <c r="P87" s="7"/>
      <c r="Q87" s="3"/>
      <c r="R87" s="8">
        <f t="shared" si="64"/>
        <v>0</v>
      </c>
      <c r="S87" s="3"/>
      <c r="T87" s="7">
        <v>0</v>
      </c>
      <c r="U87" s="3"/>
      <c r="V87" s="8">
        <f t="shared" si="65"/>
        <v>0</v>
      </c>
      <c r="W87" s="3"/>
      <c r="X87" s="7">
        <f t="shared" si="66"/>
        <v>0</v>
      </c>
      <c r="Y87" s="3"/>
      <c r="Z87" s="8">
        <f t="shared" si="67"/>
        <v>0</v>
      </c>
    </row>
    <row r="88" spans="1:26" s="24" customFormat="1" hidden="1" outlineLevel="2" x14ac:dyDescent="0.25">
      <c r="A88" s="27"/>
      <c r="B88" s="12" t="str">
        <f>CONCATENATE("          ", "6245", " - ", "PRINTING")</f>
        <v xml:space="preserve">          6245 - PRINTING</v>
      </c>
      <c r="C88" s="12"/>
      <c r="D88" s="7"/>
      <c r="E88" s="3"/>
      <c r="F88" s="8">
        <f t="shared" si="60"/>
        <v>0</v>
      </c>
      <c r="G88" s="3"/>
      <c r="H88" s="7">
        <v>0</v>
      </c>
      <c r="I88" s="3"/>
      <c r="J88" s="8">
        <f t="shared" si="61"/>
        <v>0</v>
      </c>
      <c r="K88" s="3"/>
      <c r="L88" s="7">
        <f t="shared" si="62"/>
        <v>0</v>
      </c>
      <c r="M88" s="3"/>
      <c r="N88" s="8">
        <f t="shared" si="63"/>
        <v>0</v>
      </c>
      <c r="O88" s="12"/>
      <c r="P88" s="7"/>
      <c r="Q88" s="3"/>
      <c r="R88" s="8">
        <f t="shared" si="64"/>
        <v>0</v>
      </c>
      <c r="S88" s="3"/>
      <c r="T88" s="7">
        <v>0</v>
      </c>
      <c r="U88" s="3"/>
      <c r="V88" s="8">
        <f t="shared" si="65"/>
        <v>0</v>
      </c>
      <c r="W88" s="3"/>
      <c r="X88" s="7">
        <f t="shared" si="66"/>
        <v>0</v>
      </c>
      <c r="Y88" s="3"/>
      <c r="Z88" s="8">
        <f t="shared" si="67"/>
        <v>0</v>
      </c>
    </row>
    <row r="89" spans="1:26" s="24" customFormat="1" hidden="1" outlineLevel="2" x14ac:dyDescent="0.25">
      <c r="A89" s="27"/>
      <c r="B89" s="12" t="str">
        <f>CONCATENATE("          ", "6246", " - ", "REPLACEMENTS")</f>
        <v xml:space="preserve">          6246 - REPLACEMENTS</v>
      </c>
      <c r="C89" s="12"/>
      <c r="D89" s="7"/>
      <c r="E89" s="3"/>
      <c r="F89" s="8">
        <f t="shared" si="60"/>
        <v>0</v>
      </c>
      <c r="G89" s="3"/>
      <c r="H89" s="7">
        <v>0</v>
      </c>
      <c r="I89" s="3"/>
      <c r="J89" s="8">
        <f t="shared" si="61"/>
        <v>0</v>
      </c>
      <c r="K89" s="3"/>
      <c r="L89" s="7">
        <f t="shared" si="62"/>
        <v>0</v>
      </c>
      <c r="M89" s="3"/>
      <c r="N89" s="8">
        <f t="shared" si="63"/>
        <v>0</v>
      </c>
      <c r="O89" s="12"/>
      <c r="P89" s="7"/>
      <c r="Q89" s="3"/>
      <c r="R89" s="8">
        <f t="shared" si="64"/>
        <v>0</v>
      </c>
      <c r="S89" s="3"/>
      <c r="T89" s="7">
        <v>0</v>
      </c>
      <c r="U89" s="3"/>
      <c r="V89" s="8">
        <f t="shared" si="65"/>
        <v>0</v>
      </c>
      <c r="W89" s="3"/>
      <c r="X89" s="7">
        <f t="shared" si="66"/>
        <v>0</v>
      </c>
      <c r="Y89" s="3"/>
      <c r="Z89" s="8">
        <f t="shared" si="67"/>
        <v>0</v>
      </c>
    </row>
    <row r="90" spans="1:26" s="24" customFormat="1" hidden="1" outlineLevel="2" x14ac:dyDescent="0.25">
      <c r="A90" s="27"/>
      <c r="B90" s="12" t="str">
        <f>CONCATENATE("          ", "6247", " - ", "STORE SUPPLIES")</f>
        <v xml:space="preserve">          6247 - STORE SUPPLIES</v>
      </c>
      <c r="C90" s="12"/>
      <c r="D90" s="7"/>
      <c r="E90" s="3"/>
      <c r="F90" s="8">
        <f t="shared" si="60"/>
        <v>0</v>
      </c>
      <c r="G90" s="3"/>
      <c r="H90" s="7">
        <v>0</v>
      </c>
      <c r="I90" s="3"/>
      <c r="J90" s="8">
        <f t="shared" si="61"/>
        <v>0</v>
      </c>
      <c r="K90" s="3"/>
      <c r="L90" s="7">
        <f t="shared" si="62"/>
        <v>0</v>
      </c>
      <c r="M90" s="3"/>
      <c r="N90" s="8">
        <f t="shared" si="63"/>
        <v>0</v>
      </c>
      <c r="O90" s="12"/>
      <c r="P90" s="7"/>
      <c r="Q90" s="3"/>
      <c r="R90" s="8">
        <f t="shared" si="64"/>
        <v>0</v>
      </c>
      <c r="S90" s="3"/>
      <c r="T90" s="7">
        <v>0</v>
      </c>
      <c r="U90" s="3"/>
      <c r="V90" s="8">
        <f t="shared" si="65"/>
        <v>0</v>
      </c>
      <c r="W90" s="3"/>
      <c r="X90" s="7">
        <f t="shared" si="66"/>
        <v>0</v>
      </c>
      <c r="Y90" s="3"/>
      <c r="Z90" s="8">
        <f t="shared" si="67"/>
        <v>0</v>
      </c>
    </row>
    <row r="91" spans="1:26" s="24" customFormat="1" hidden="1" outlineLevel="2" x14ac:dyDescent="0.25">
      <c r="A91" s="27"/>
      <c r="B91" s="12" t="str">
        <f>CONCATENATE("          ", "6248", " - ", "UNIFORMS")</f>
        <v xml:space="preserve">          6248 - UNIFORMS</v>
      </c>
      <c r="C91" s="12"/>
      <c r="D91" s="7"/>
      <c r="E91" s="3"/>
      <c r="F91" s="8">
        <f t="shared" si="60"/>
        <v>0</v>
      </c>
      <c r="G91" s="3"/>
      <c r="H91" s="7">
        <v>0</v>
      </c>
      <c r="I91" s="3"/>
      <c r="J91" s="8">
        <f t="shared" si="61"/>
        <v>0</v>
      </c>
      <c r="K91" s="3"/>
      <c r="L91" s="7">
        <f t="shared" si="62"/>
        <v>0</v>
      </c>
      <c r="M91" s="3"/>
      <c r="N91" s="8">
        <f t="shared" si="63"/>
        <v>0</v>
      </c>
      <c r="O91" s="12"/>
      <c r="P91" s="7"/>
      <c r="Q91" s="3"/>
      <c r="R91" s="8">
        <f t="shared" si="64"/>
        <v>0</v>
      </c>
      <c r="S91" s="3"/>
      <c r="T91" s="7">
        <v>0</v>
      </c>
      <c r="U91" s="3"/>
      <c r="V91" s="8">
        <f t="shared" si="65"/>
        <v>0</v>
      </c>
      <c r="W91" s="3"/>
      <c r="X91" s="7">
        <f t="shared" si="66"/>
        <v>0</v>
      </c>
      <c r="Y91" s="3"/>
      <c r="Z91" s="8">
        <f t="shared" si="67"/>
        <v>0</v>
      </c>
    </row>
    <row r="92" spans="1:26" s="29" customFormat="1" outlineLevel="1" collapsed="1" x14ac:dyDescent="0.25">
      <c r="A92" s="28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SUM(OSRRefD22_17x_0)</f>
        <v>1203.82</v>
      </c>
      <c r="E92" s="1"/>
      <c r="F92" s="5">
        <f t="shared" ref="F92:F94" si="68">IF(D$12=0,0,D92/D$12)</f>
        <v>1.2348011611328225</v>
      </c>
      <c r="G92" s="1"/>
      <c r="H92" s="1">
        <f>SUM(OSRRefH22_17x_0)</f>
        <v>342</v>
      </c>
      <c r="I92" s="1"/>
      <c r="J92" s="5">
        <f t="shared" ref="J92:J94" si="69">IF(H$12=0,0,H92/H$12)</f>
        <v>7.8892733564013842E-2</v>
      </c>
      <c r="K92" s="1"/>
      <c r="L92" s="1">
        <f t="shared" ref="L92:L94" si="70">+D92-H92</f>
        <v>861.81999999999994</v>
      </c>
      <c r="M92" s="1"/>
      <c r="N92" s="5">
        <f t="shared" ref="N92:N94" si="71">IF(H92=0,0,L92/H92)</f>
        <v>2.5199415204678361</v>
      </c>
      <c r="O92" s="14"/>
      <c r="P92" s="1">
        <f>SUM(OSRRefP22_17x_0)</f>
        <v>1203.82</v>
      </c>
      <c r="Q92" s="1"/>
      <c r="R92" s="5">
        <f t="shared" ref="R92:R94" si="72">IF(P$12=0,0,P92/P$12)</f>
        <v>1.2348011611328225</v>
      </c>
      <c r="S92" s="1"/>
      <c r="T92" s="1">
        <f>SUM(OSRRefT22_17x_0)</f>
        <v>342</v>
      </c>
      <c r="U92" s="1"/>
      <c r="V92" s="5">
        <f t="shared" ref="V92:V94" si="73">IF(T$12=0,0,T92/T$12)</f>
        <v>7.8892733564013842E-2</v>
      </c>
      <c r="W92" s="1"/>
      <c r="X92" s="1">
        <f t="shared" ref="X92:X94" si="74">+P92-T92</f>
        <v>861.81999999999994</v>
      </c>
      <c r="Y92" s="1"/>
      <c r="Z92" s="5">
        <f t="shared" ref="Z92:Z94" si="75">IF(T92=0,0,X92/T92)</f>
        <v>2.5199415204678361</v>
      </c>
    </row>
    <row r="93" spans="1:26" s="24" customFormat="1" hidden="1" outlineLevel="2" x14ac:dyDescent="0.25">
      <c r="A93" s="27"/>
      <c r="B93" s="12" t="str">
        <f>CONCATENATE("          ", "6303", " - ", "DATA PHONE LINES")</f>
        <v xml:space="preserve">          6303 - DATA PHONE LINES</v>
      </c>
      <c r="C93" s="12"/>
      <c r="D93" s="7"/>
      <c r="E93" s="3"/>
      <c r="F93" s="8">
        <f t="shared" si="68"/>
        <v>0</v>
      </c>
      <c r="G93" s="3"/>
      <c r="H93" s="7">
        <v>92</v>
      </c>
      <c r="I93" s="3"/>
      <c r="J93" s="8">
        <f t="shared" si="69"/>
        <v>2.1222606689734719E-2</v>
      </c>
      <c r="K93" s="3"/>
      <c r="L93" s="7">
        <f t="shared" si="70"/>
        <v>-92</v>
      </c>
      <c r="M93" s="3"/>
      <c r="N93" s="8">
        <f t="shared" si="71"/>
        <v>-1</v>
      </c>
      <c r="O93" s="12"/>
      <c r="P93" s="7"/>
      <c r="Q93" s="3"/>
      <c r="R93" s="8">
        <f t="shared" si="72"/>
        <v>0</v>
      </c>
      <c r="S93" s="3"/>
      <c r="T93" s="7">
        <v>92</v>
      </c>
      <c r="U93" s="3"/>
      <c r="V93" s="8">
        <f t="shared" si="73"/>
        <v>2.1222606689734719E-2</v>
      </c>
      <c r="W93" s="3"/>
      <c r="X93" s="7">
        <f t="shared" si="74"/>
        <v>-92</v>
      </c>
      <c r="Y93" s="3"/>
      <c r="Z93" s="8">
        <f t="shared" si="75"/>
        <v>-1</v>
      </c>
    </row>
    <row r="94" spans="1:26" s="24" customFormat="1" hidden="1" outlineLevel="2" x14ac:dyDescent="0.25">
      <c r="A94" s="27"/>
      <c r="B94" s="12" t="str">
        <f>CONCATENATE("          ", "6309", " - ", "TELEPHONE")</f>
        <v xml:space="preserve">          6309 - TELEPHONE</v>
      </c>
      <c r="C94" s="12"/>
      <c r="D94" s="7">
        <v>1203.82</v>
      </c>
      <c r="E94" s="3"/>
      <c r="F94" s="8">
        <f t="shared" si="68"/>
        <v>1.2348011611328225</v>
      </c>
      <c r="G94" s="3"/>
      <c r="H94" s="7">
        <v>250</v>
      </c>
      <c r="I94" s="3"/>
      <c r="J94" s="8">
        <f t="shared" si="69"/>
        <v>5.7670126874279123E-2</v>
      </c>
      <c r="K94" s="3"/>
      <c r="L94" s="7">
        <f t="shared" si="70"/>
        <v>953.81999999999994</v>
      </c>
      <c r="M94" s="3"/>
      <c r="N94" s="8">
        <f t="shared" si="71"/>
        <v>3.8152799999999996</v>
      </c>
      <c r="O94" s="12"/>
      <c r="P94" s="7">
        <v>1203.82</v>
      </c>
      <c r="Q94" s="3"/>
      <c r="R94" s="8">
        <f t="shared" si="72"/>
        <v>1.2348011611328225</v>
      </c>
      <c r="S94" s="3"/>
      <c r="T94" s="7">
        <v>250</v>
      </c>
      <c r="U94" s="3"/>
      <c r="V94" s="8">
        <f t="shared" si="73"/>
        <v>5.7670126874279123E-2</v>
      </c>
      <c r="W94" s="3"/>
      <c r="X94" s="7">
        <f t="shared" si="74"/>
        <v>953.81999999999994</v>
      </c>
      <c r="Y94" s="3"/>
      <c r="Z94" s="8">
        <f t="shared" si="75"/>
        <v>3.8152799999999996</v>
      </c>
    </row>
    <row r="95" spans="1:26" s="29" customFormat="1" outlineLevel="1" collapsed="1" x14ac:dyDescent="0.25">
      <c r="A95" s="28"/>
      <c r="B95" s="14" t="str">
        <f>CONCATENATE("     ","Training                                          ")</f>
        <v xml:space="preserve">     Training                                          </v>
      </c>
      <c r="C95" s="14"/>
      <c r="D95" s="1">
        <f>SUM(OSRRefD22_18x_0)</f>
        <v>0</v>
      </c>
      <c r="E95" s="1"/>
      <c r="F95" s="5">
        <f t="shared" ref="F95:F99" si="76">IF(D$12=0,0,D95/D$12)</f>
        <v>0</v>
      </c>
      <c r="G95" s="1"/>
      <c r="H95" s="1">
        <f>SUM(OSRRefH22_18x_0)</f>
        <v>0</v>
      </c>
      <c r="I95" s="1"/>
      <c r="J95" s="5">
        <f t="shared" ref="J95:J99" si="77">IF(H$12=0,0,H95/H$12)</f>
        <v>0</v>
      </c>
      <c r="K95" s="1"/>
      <c r="L95" s="1">
        <f t="shared" ref="L95:L99" si="78">+D95-H95</f>
        <v>0</v>
      </c>
      <c r="M95" s="1"/>
      <c r="N95" s="5">
        <f t="shared" ref="N95:N99" si="79">IF(H95=0,0,L95/H95)</f>
        <v>0</v>
      </c>
      <c r="O95" s="14"/>
      <c r="P95" s="1">
        <f>SUM(OSRRefP22_18x_0)</f>
        <v>0</v>
      </c>
      <c r="Q95" s="1"/>
      <c r="R95" s="5">
        <f t="shared" ref="R95:R99" si="80">IF(P$12=0,0,P95/P$12)</f>
        <v>0</v>
      </c>
      <c r="S95" s="1"/>
      <c r="T95" s="1">
        <f>SUM(OSRRefT22_18x_0)</f>
        <v>0</v>
      </c>
      <c r="U95" s="1"/>
      <c r="V95" s="5">
        <f t="shared" ref="V95:V99" si="81">IF(T$12=0,0,T95/T$12)</f>
        <v>0</v>
      </c>
      <c r="W95" s="1"/>
      <c r="X95" s="1">
        <f t="shared" ref="X95:X99" si="82">+P95-T95</f>
        <v>0</v>
      </c>
      <c r="Y95" s="1"/>
      <c r="Z95" s="5">
        <f t="shared" ref="Z95:Z99" si="83">IF(T95=0,0,X95/T95)</f>
        <v>0</v>
      </c>
    </row>
    <row r="96" spans="1:26" s="24" customFormat="1" hidden="1" outlineLevel="2" x14ac:dyDescent="0.25">
      <c r="A96" s="27"/>
      <c r="B96" s="12" t="str">
        <f>CONCATENATE("          ", "6376", " - ", "TRAINING")</f>
        <v xml:space="preserve">          6376 - TRAINING</v>
      </c>
      <c r="C96" s="12"/>
      <c r="D96" s="7"/>
      <c r="E96" s="3"/>
      <c r="F96" s="8">
        <f t="shared" si="76"/>
        <v>0</v>
      </c>
      <c r="G96" s="3"/>
      <c r="H96" s="7">
        <v>0</v>
      </c>
      <c r="I96" s="3"/>
      <c r="J96" s="8">
        <f t="shared" si="77"/>
        <v>0</v>
      </c>
      <c r="K96" s="3"/>
      <c r="L96" s="7">
        <f t="shared" si="78"/>
        <v>0</v>
      </c>
      <c r="M96" s="3"/>
      <c r="N96" s="8">
        <f t="shared" si="79"/>
        <v>0</v>
      </c>
      <c r="O96" s="12"/>
      <c r="P96" s="7"/>
      <c r="Q96" s="3"/>
      <c r="R96" s="8">
        <f t="shared" si="80"/>
        <v>0</v>
      </c>
      <c r="S96" s="3"/>
      <c r="T96" s="7">
        <v>0</v>
      </c>
      <c r="U96" s="3"/>
      <c r="V96" s="8">
        <f t="shared" si="81"/>
        <v>0</v>
      </c>
      <c r="W96" s="3"/>
      <c r="X96" s="7">
        <f t="shared" si="82"/>
        <v>0</v>
      </c>
      <c r="Y96" s="3"/>
      <c r="Z96" s="8">
        <f t="shared" si="83"/>
        <v>0</v>
      </c>
    </row>
    <row r="97" spans="1:26" s="29" customFormat="1" outlineLevel="1" collapsed="1" x14ac:dyDescent="0.25">
      <c r="A97" s="28"/>
      <c r="B97" s="14" t="str">
        <f>CONCATENATE("     ","Travel                                            ")</f>
        <v xml:space="preserve">     Travel                                            </v>
      </c>
      <c r="C97" s="14"/>
      <c r="D97" s="1">
        <f>SUM(OSRRefD22_19x_0)</f>
        <v>179.69</v>
      </c>
      <c r="E97" s="1"/>
      <c r="F97" s="5">
        <f t="shared" si="76"/>
        <v>0.18431444953893181</v>
      </c>
      <c r="G97" s="1"/>
      <c r="H97" s="1">
        <f>SUM(OSRRefH22_19x_0)</f>
        <v>0</v>
      </c>
      <c r="I97" s="1"/>
      <c r="J97" s="5">
        <f t="shared" si="77"/>
        <v>0</v>
      </c>
      <c r="K97" s="1"/>
      <c r="L97" s="1">
        <f t="shared" si="78"/>
        <v>179.69</v>
      </c>
      <c r="M97" s="1"/>
      <c r="N97" s="5">
        <f t="shared" si="79"/>
        <v>0</v>
      </c>
      <c r="O97" s="14"/>
      <c r="P97" s="1">
        <f>SUM(OSRRefP22_19x_0)</f>
        <v>179.69</v>
      </c>
      <c r="Q97" s="1"/>
      <c r="R97" s="5">
        <f t="shared" si="80"/>
        <v>0.18431444953893181</v>
      </c>
      <c r="S97" s="1"/>
      <c r="T97" s="1">
        <f>SUM(OSRRefT22_19x_0)</f>
        <v>0</v>
      </c>
      <c r="U97" s="1"/>
      <c r="V97" s="5">
        <f t="shared" si="81"/>
        <v>0</v>
      </c>
      <c r="W97" s="1"/>
      <c r="X97" s="1">
        <f t="shared" si="82"/>
        <v>179.69</v>
      </c>
      <c r="Y97" s="1"/>
      <c r="Z97" s="5">
        <f t="shared" si="83"/>
        <v>0</v>
      </c>
    </row>
    <row r="98" spans="1:26" s="24" customFormat="1" hidden="1" outlineLevel="2" x14ac:dyDescent="0.25">
      <c r="A98" s="27"/>
      <c r="B98" s="12" t="str">
        <f>CONCATENATE("          ", "6292", " - ", "TRAVEL/CONFERENCE")</f>
        <v xml:space="preserve">          6292 - TRAVEL/CONFERENCE</v>
      </c>
      <c r="C98" s="12"/>
      <c r="D98" s="7"/>
      <c r="E98" s="3"/>
      <c r="F98" s="8">
        <f t="shared" si="76"/>
        <v>0</v>
      </c>
      <c r="G98" s="3"/>
      <c r="H98" s="7">
        <v>0</v>
      </c>
      <c r="I98" s="3"/>
      <c r="J98" s="8">
        <f t="shared" si="77"/>
        <v>0</v>
      </c>
      <c r="K98" s="3"/>
      <c r="L98" s="7">
        <f t="shared" si="78"/>
        <v>0</v>
      </c>
      <c r="M98" s="3"/>
      <c r="N98" s="8">
        <f t="shared" si="79"/>
        <v>0</v>
      </c>
      <c r="O98" s="12"/>
      <c r="P98" s="7"/>
      <c r="Q98" s="3"/>
      <c r="R98" s="8">
        <f t="shared" si="80"/>
        <v>0</v>
      </c>
      <c r="S98" s="3"/>
      <c r="T98" s="7">
        <v>0</v>
      </c>
      <c r="U98" s="3"/>
      <c r="V98" s="8">
        <f t="shared" si="81"/>
        <v>0</v>
      </c>
      <c r="W98" s="3"/>
      <c r="X98" s="7">
        <f t="shared" si="82"/>
        <v>0</v>
      </c>
      <c r="Y98" s="3"/>
      <c r="Z98" s="8">
        <f t="shared" si="83"/>
        <v>0</v>
      </c>
    </row>
    <row r="99" spans="1:26" s="24" customFormat="1" hidden="1" outlineLevel="2" x14ac:dyDescent="0.25">
      <c r="A99" s="27"/>
      <c r="B99" s="12" t="str">
        <f>CONCATENATE("          ", "6298", " - ", "VEHICLE MILEAGE")</f>
        <v xml:space="preserve">          6298 - VEHICLE MILEAGE</v>
      </c>
      <c r="C99" s="12"/>
      <c r="D99" s="7">
        <v>179.69</v>
      </c>
      <c r="E99" s="3"/>
      <c r="F99" s="8">
        <f t="shared" si="76"/>
        <v>0.18431444953893181</v>
      </c>
      <c r="G99" s="3"/>
      <c r="H99" s="7"/>
      <c r="I99" s="3"/>
      <c r="J99" s="8">
        <f t="shared" si="77"/>
        <v>0</v>
      </c>
      <c r="K99" s="3"/>
      <c r="L99" s="7">
        <f t="shared" si="78"/>
        <v>179.69</v>
      </c>
      <c r="M99" s="3"/>
      <c r="N99" s="8">
        <f t="shared" si="79"/>
        <v>0</v>
      </c>
      <c r="O99" s="12"/>
      <c r="P99" s="7">
        <v>179.69</v>
      </c>
      <c r="Q99" s="3"/>
      <c r="R99" s="8">
        <f t="shared" si="80"/>
        <v>0.18431444953893181</v>
      </c>
      <c r="S99" s="3"/>
      <c r="T99" s="7"/>
      <c r="U99" s="3"/>
      <c r="V99" s="8">
        <f t="shared" si="81"/>
        <v>0</v>
      </c>
      <c r="W99" s="3"/>
      <c r="X99" s="7">
        <f t="shared" si="82"/>
        <v>179.69</v>
      </c>
      <c r="Y99" s="3"/>
      <c r="Z99" s="8">
        <f t="shared" si="83"/>
        <v>0</v>
      </c>
    </row>
    <row r="100" spans="1:26" s="29" customFormat="1" outlineLevel="1" collapsed="1" x14ac:dyDescent="0.25">
      <c r="A100" s="28"/>
      <c r="B100" s="14" t="str">
        <f>CONCATENATE("     ","Utilities                                         ")</f>
        <v xml:space="preserve">     Utilities                                         </v>
      </c>
      <c r="C100" s="14"/>
      <c r="D100" s="1">
        <f>SUM(OSRRefD22_20x_0)</f>
        <v>2300</v>
      </c>
      <c r="E100" s="1"/>
      <c r="F100" s="5">
        <f t="shared" ref="F100:F101" si="84">IF(D$12=0,0,D100/D$12)</f>
        <v>2.3591921305556411</v>
      </c>
      <c r="G100" s="1"/>
      <c r="H100" s="1">
        <f>SUM(OSRRefH22_20x_0)</f>
        <v>3300</v>
      </c>
      <c r="I100" s="1"/>
      <c r="J100" s="5">
        <f t="shared" ref="J100:J101" si="85">IF(H$12=0,0,H100/H$12)</f>
        <v>0.76124567474048443</v>
      </c>
      <c r="K100" s="1"/>
      <c r="L100" s="1">
        <f t="shared" ref="L100:L101" si="86">+D100-H100</f>
        <v>-1000</v>
      </c>
      <c r="M100" s="1"/>
      <c r="N100" s="5">
        <f t="shared" ref="N100:N101" si="87">IF(H100=0,0,L100/H100)</f>
        <v>-0.30303030303030304</v>
      </c>
      <c r="O100" s="14"/>
      <c r="P100" s="1">
        <f>SUM(OSRRefP22_20x_0)</f>
        <v>2300</v>
      </c>
      <c r="Q100" s="1"/>
      <c r="R100" s="5">
        <f t="shared" ref="R100:R101" si="88">IF(P$12=0,0,P100/P$12)</f>
        <v>2.3591921305556411</v>
      </c>
      <c r="S100" s="1"/>
      <c r="T100" s="1">
        <f>SUM(OSRRefT22_20x_0)</f>
        <v>3300</v>
      </c>
      <c r="U100" s="1"/>
      <c r="V100" s="5">
        <f t="shared" ref="V100:V101" si="89">IF(T$12=0,0,T100/T$12)</f>
        <v>0.76124567474048443</v>
      </c>
      <c r="W100" s="1"/>
      <c r="X100" s="1">
        <f t="shared" ref="X100:X101" si="90">+P100-T100</f>
        <v>-1000</v>
      </c>
      <c r="Y100" s="1"/>
      <c r="Z100" s="5">
        <f t="shared" ref="Z100:Z101" si="91">IF(T100=0,0,X100/T100)</f>
        <v>-0.30303030303030304</v>
      </c>
    </row>
    <row r="101" spans="1:26" s="24" customFormat="1" hidden="1" outlineLevel="2" x14ac:dyDescent="0.25">
      <c r="A101" s="27"/>
      <c r="B101" s="12" t="str">
        <f>CONCATENATE("          ", "6274", " - ", "UTILITIES")</f>
        <v xml:space="preserve">          6274 - UTILITIES</v>
      </c>
      <c r="C101" s="12"/>
      <c r="D101" s="7">
        <v>2300</v>
      </c>
      <c r="E101" s="3"/>
      <c r="F101" s="8">
        <f t="shared" si="84"/>
        <v>2.3591921305556411</v>
      </c>
      <c r="G101" s="3"/>
      <c r="H101" s="7">
        <v>3300</v>
      </c>
      <c r="I101" s="3"/>
      <c r="J101" s="8">
        <f t="shared" si="85"/>
        <v>0.76124567474048443</v>
      </c>
      <c r="K101" s="3"/>
      <c r="L101" s="7">
        <f t="shared" si="86"/>
        <v>-1000</v>
      </c>
      <c r="M101" s="3"/>
      <c r="N101" s="8">
        <f t="shared" si="87"/>
        <v>-0.30303030303030304</v>
      </c>
      <c r="O101" s="12"/>
      <c r="P101" s="7">
        <v>2300</v>
      </c>
      <c r="Q101" s="3"/>
      <c r="R101" s="8">
        <f t="shared" si="88"/>
        <v>2.3591921305556411</v>
      </c>
      <c r="S101" s="3"/>
      <c r="T101" s="7">
        <v>3300</v>
      </c>
      <c r="U101" s="3"/>
      <c r="V101" s="8">
        <f t="shared" si="89"/>
        <v>0.76124567474048443</v>
      </c>
      <c r="W101" s="3"/>
      <c r="X101" s="7">
        <f t="shared" si="90"/>
        <v>-1000</v>
      </c>
      <c r="Y101" s="3"/>
      <c r="Z101" s="8">
        <f t="shared" si="91"/>
        <v>-0.30303030303030304</v>
      </c>
    </row>
    <row r="102" spans="1:26" s="54" customFormat="1" x14ac:dyDescent="0.25">
      <c r="A102" s="36"/>
      <c r="B102" s="36"/>
      <c r="C102" s="36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6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2" customFormat="1" collapsed="1" x14ac:dyDescent="0.25">
      <c r="A103" s="10"/>
      <c r="B103" s="26" t="s">
        <v>0</v>
      </c>
      <c r="C103" s="10"/>
      <c r="D103" s="4">
        <f>SUM(OSRRefD25x_0)</f>
        <v>2076.54</v>
      </c>
      <c r="E103" s="4"/>
      <c r="F103" s="11">
        <f t="shared" ref="F103:F106" si="92">IF(D$12=0,0,D103/D$12)</f>
        <v>2.1299812290365265</v>
      </c>
      <c r="G103" s="4"/>
      <c r="H103" s="4">
        <f>SUM(OSRRefH25x_0)</f>
        <v>0</v>
      </c>
      <c r="I103" s="4"/>
      <c r="J103" s="11">
        <f t="shared" ref="J103:J106" si="93">IF(H$12=0,0,H103/H$12)</f>
        <v>0</v>
      </c>
      <c r="K103" s="4"/>
      <c r="L103" s="4">
        <f t="shared" ref="L103:L106" si="94">+D103-H103</f>
        <v>2076.54</v>
      </c>
      <c r="M103" s="4"/>
      <c r="N103" s="11">
        <f t="shared" ref="N103:N106" si="95">IF(H103=0,0,L103/H103)</f>
        <v>0</v>
      </c>
      <c r="O103" s="10"/>
      <c r="P103" s="4">
        <f>SUM(OSRRefP25x_0)</f>
        <v>2076.54</v>
      </c>
      <c r="Q103" s="4"/>
      <c r="R103" s="11">
        <f t="shared" ref="R103:R106" si="96">IF(P$12=0,0,P103/P$12)</f>
        <v>2.1299812290365265</v>
      </c>
      <c r="S103" s="4"/>
      <c r="T103" s="4">
        <f>SUM(OSRRefT25x_0)</f>
        <v>0</v>
      </c>
      <c r="U103" s="4"/>
      <c r="V103" s="11">
        <f t="shared" ref="V103:V106" si="97">IF(T$12=0,0,T103/T$12)</f>
        <v>0</v>
      </c>
      <c r="W103" s="4"/>
      <c r="X103" s="4">
        <f t="shared" ref="X103:X106" si="98">+P103-T103</f>
        <v>2076.54</v>
      </c>
      <c r="Y103" s="4"/>
      <c r="Z103" s="11">
        <f t="shared" ref="Z103:Z106" si="99">IF(T103=0,0,X103/T103)</f>
        <v>0</v>
      </c>
    </row>
    <row r="104" spans="1:26" s="24" customFormat="1" hidden="1" outlineLevel="1" x14ac:dyDescent="0.25">
      <c r="A104" s="51"/>
      <c r="B104" s="12" t="str">
        <f>CONCATENATE("          ", "9150", " - ", "MISC. INCOME")</f>
        <v xml:space="preserve">          9150 - MISC. INCOME</v>
      </c>
      <c r="C104" s="12"/>
      <c r="D104" s="3">
        <f>--512.41</f>
        <v>512.41</v>
      </c>
      <c r="E104" s="3"/>
      <c r="F104" s="23">
        <f t="shared" si="92"/>
        <v>0.52559723461652874</v>
      </c>
      <c r="G104" s="3"/>
      <c r="H104" s="3">
        <v>0</v>
      </c>
      <c r="I104" s="3"/>
      <c r="J104" s="23">
        <f t="shared" si="93"/>
        <v>0</v>
      </c>
      <c r="K104" s="3"/>
      <c r="L104" s="3">
        <f t="shared" si="94"/>
        <v>512.41</v>
      </c>
      <c r="M104" s="3"/>
      <c r="N104" s="23">
        <f t="shared" si="95"/>
        <v>0</v>
      </c>
      <c r="O104" s="12"/>
      <c r="P104" s="3">
        <f>--512.41</f>
        <v>512.41</v>
      </c>
      <c r="Q104" s="3"/>
      <c r="R104" s="23">
        <f t="shared" si="96"/>
        <v>0.52559723461652874</v>
      </c>
      <c r="S104" s="3"/>
      <c r="T104" s="3">
        <v>0</v>
      </c>
      <c r="U104" s="3"/>
      <c r="V104" s="23">
        <f t="shared" si="97"/>
        <v>0</v>
      </c>
      <c r="W104" s="3"/>
      <c r="X104" s="3">
        <f t="shared" si="98"/>
        <v>512.41</v>
      </c>
      <c r="Y104" s="3"/>
      <c r="Z104" s="23">
        <f t="shared" si="99"/>
        <v>0</v>
      </c>
    </row>
    <row r="105" spans="1:26" s="24" customFormat="1" hidden="1" outlineLevel="1" x14ac:dyDescent="0.25">
      <c r="A105" s="51"/>
      <c r="B105" s="12" t="str">
        <f>CONCATENATE("          ", "9160", " - ", "MISC. INCOME")</f>
        <v xml:space="preserve">          9160 - MISC. INCOME</v>
      </c>
      <c r="C105" s="12"/>
      <c r="D105" s="3">
        <f>--1363.63</f>
        <v>1363.63</v>
      </c>
      <c r="E105" s="3"/>
      <c r="F105" s="23">
        <f t="shared" si="92"/>
        <v>1.3987239847780821</v>
      </c>
      <c r="G105" s="3"/>
      <c r="H105" s="3"/>
      <c r="I105" s="3"/>
      <c r="J105" s="23">
        <f t="shared" si="93"/>
        <v>0</v>
      </c>
      <c r="K105" s="3"/>
      <c r="L105" s="3">
        <f t="shared" si="94"/>
        <v>1363.63</v>
      </c>
      <c r="M105" s="3"/>
      <c r="N105" s="23">
        <f t="shared" si="95"/>
        <v>0</v>
      </c>
      <c r="O105" s="12"/>
      <c r="P105" s="3">
        <f>--1363.63</f>
        <v>1363.63</v>
      </c>
      <c r="Q105" s="3"/>
      <c r="R105" s="23">
        <f t="shared" si="96"/>
        <v>1.3987239847780821</v>
      </c>
      <c r="S105" s="3"/>
      <c r="T105" s="3"/>
      <c r="U105" s="3"/>
      <c r="V105" s="23">
        <f t="shared" si="97"/>
        <v>0</v>
      </c>
      <c r="W105" s="3"/>
      <c r="X105" s="3">
        <f t="shared" si="98"/>
        <v>1363.63</v>
      </c>
      <c r="Y105" s="3"/>
      <c r="Z105" s="23">
        <f t="shared" si="99"/>
        <v>0</v>
      </c>
    </row>
    <row r="106" spans="1:26" s="24" customFormat="1" hidden="1" outlineLevel="1" x14ac:dyDescent="0.25">
      <c r="A106" s="51"/>
      <c r="B106" s="12" t="str">
        <f>CONCATENATE("          ", "9165", " - ", "OTHER INCOME")</f>
        <v xml:space="preserve">          9165 - OTHER INCOME</v>
      </c>
      <c r="C106" s="12"/>
      <c r="D106" s="3">
        <f>--200.5</f>
        <v>200.5</v>
      </c>
      <c r="E106" s="3"/>
      <c r="F106" s="23">
        <f t="shared" si="92"/>
        <v>0.20566000964191566</v>
      </c>
      <c r="G106" s="3"/>
      <c r="H106" s="3"/>
      <c r="I106" s="3"/>
      <c r="J106" s="23">
        <f t="shared" si="93"/>
        <v>0</v>
      </c>
      <c r="K106" s="3"/>
      <c r="L106" s="3">
        <f t="shared" si="94"/>
        <v>200.5</v>
      </c>
      <c r="M106" s="3"/>
      <c r="N106" s="23">
        <f t="shared" si="95"/>
        <v>0</v>
      </c>
      <c r="O106" s="12"/>
      <c r="P106" s="3">
        <f>--200.5</f>
        <v>200.5</v>
      </c>
      <c r="Q106" s="3"/>
      <c r="R106" s="23">
        <f t="shared" si="96"/>
        <v>0.20566000964191566</v>
      </c>
      <c r="S106" s="3"/>
      <c r="T106" s="3"/>
      <c r="U106" s="3"/>
      <c r="V106" s="23">
        <f t="shared" si="97"/>
        <v>0</v>
      </c>
      <c r="W106" s="3"/>
      <c r="X106" s="3">
        <f t="shared" si="98"/>
        <v>200.5</v>
      </c>
      <c r="Y106" s="3"/>
      <c r="Z106" s="23">
        <f t="shared" si="99"/>
        <v>0</v>
      </c>
    </row>
    <row r="107" spans="1:26" x14ac:dyDescent="0.25">
      <c r="A107" s="9"/>
      <c r="B107" s="10"/>
      <c r="C107" s="10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O107" s="10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s="22" customFormat="1" x14ac:dyDescent="0.25">
      <c r="A108" s="10"/>
      <c r="B108" s="25" t="s">
        <v>3</v>
      </c>
      <c r="C108" s="25"/>
      <c r="D108" s="21">
        <f>+D20-D22+D103</f>
        <v>-124073.70000000004</v>
      </c>
      <c r="E108" s="13"/>
      <c r="F108" s="20">
        <f>IF(D$12=0,0,D108/D$12)</f>
        <v>-127.26682462996588</v>
      </c>
      <c r="G108" s="13"/>
      <c r="H108" s="21">
        <f>+H20-H22+H103</f>
        <v>-107640.83185739101</v>
      </c>
      <c r="I108" s="13"/>
      <c r="J108" s="20">
        <f>IF(H$12=0,0,H108/H$12)</f>
        <v>-24.830641720274741</v>
      </c>
      <c r="K108" s="15"/>
      <c r="L108" s="21">
        <f>+D108-H108</f>
        <v>-16432.868142609033</v>
      </c>
      <c r="M108" s="15"/>
      <c r="N108" s="20">
        <f>IF(H108=0,0,L108/H108)</f>
        <v>0.15266389026406146</v>
      </c>
      <c r="O108" s="26"/>
      <c r="P108" s="21">
        <f>+P20-P22+P103</f>
        <v>-124073.70000000004</v>
      </c>
      <c r="Q108" s="13"/>
      <c r="R108" s="20">
        <f>IF(P$12=0,0,P108/P$12)</f>
        <v>-127.26682462996588</v>
      </c>
      <c r="S108" s="13"/>
      <c r="T108" s="21">
        <f>+T20-T22+T103</f>
        <v>-107640.83185739101</v>
      </c>
      <c r="U108" s="13"/>
      <c r="V108" s="20">
        <f>IF(T$12=0,0,T108/T$12)</f>
        <v>-24.830641720274741</v>
      </c>
      <c r="W108" s="15"/>
      <c r="X108" s="21">
        <f>+P108-T108</f>
        <v>-16432.868142609033</v>
      </c>
      <c r="Y108" s="15"/>
      <c r="Z108" s="20">
        <f>IF(T108=0,0,X108/T108)</f>
        <v>0.15266389026406146</v>
      </c>
    </row>
    <row r="109" spans="1:26" x14ac:dyDescent="0.25">
      <c r="A109" s="9"/>
      <c r="B109" s="10"/>
      <c r="C109" s="9"/>
      <c r="D109" s="2"/>
      <c r="E109" s="2"/>
      <c r="F109" s="6"/>
      <c r="G109" s="2"/>
      <c r="H109" s="2"/>
      <c r="I109" s="2"/>
      <c r="J109" s="6"/>
      <c r="K109" s="2"/>
      <c r="L109" s="2"/>
      <c r="M109" s="2"/>
      <c r="N109" s="6"/>
      <c r="P109" s="2"/>
      <c r="Q109" s="2"/>
      <c r="R109" s="6"/>
      <c r="S109" s="2"/>
      <c r="T109" s="2"/>
      <c r="U109" s="2"/>
      <c r="V109" s="6"/>
      <c r="W109" s="2"/>
      <c r="X109" s="2"/>
      <c r="Y109" s="2"/>
      <c r="Z109" s="6"/>
    </row>
    <row r="110" spans="1:26" s="22" customFormat="1" x14ac:dyDescent="0.25">
      <c r="A110" s="52"/>
      <c r="B110" s="10" t="s">
        <v>14</v>
      </c>
      <c r="C110" s="10"/>
      <c r="D110" s="4">
        <v>468.88</v>
      </c>
      <c r="E110" s="4"/>
      <c r="F110" s="11">
        <f>IF(D$12=0,0,D110/D$12)</f>
        <v>0.48094695920649089</v>
      </c>
      <c r="G110" s="4"/>
      <c r="H110" s="4">
        <v>2106</v>
      </c>
      <c r="I110" s="4"/>
      <c r="J110" s="11">
        <f>IF(H$12=0,0,H110/H$12)</f>
        <v>0.48581314878892734</v>
      </c>
      <c r="K110" s="4"/>
      <c r="L110" s="4">
        <f>+D110-H110</f>
        <v>-1637.12</v>
      </c>
      <c r="M110" s="4"/>
      <c r="N110" s="11">
        <f>IF(H110=0,0,L110/H110)</f>
        <v>-0.7773599240265906</v>
      </c>
      <c r="O110" s="10"/>
      <c r="P110" s="4">
        <v>468.88</v>
      </c>
      <c r="Q110" s="4"/>
      <c r="R110" s="11">
        <f>IF(P$12=0,0,P110/P$12)</f>
        <v>0.48094695920649089</v>
      </c>
      <c r="S110" s="4"/>
      <c r="T110" s="4">
        <v>2106</v>
      </c>
      <c r="U110" s="4"/>
      <c r="V110" s="11">
        <f>IF(T$12=0,0,T110/T$12)</f>
        <v>0.48581314878892734</v>
      </c>
      <c r="W110" s="4"/>
      <c r="X110" s="4">
        <f>+P110-T110</f>
        <v>-1637.12</v>
      </c>
      <c r="Y110" s="4"/>
      <c r="Z110" s="11">
        <f>IF(T110=0,0,X110/T110)</f>
        <v>-0.7773599240265906</v>
      </c>
    </row>
    <row r="111" spans="1:26" x14ac:dyDescent="0.25">
      <c r="A111" s="9"/>
      <c r="B111" s="10"/>
      <c r="C111" s="10"/>
      <c r="D111" s="2"/>
      <c r="E111" s="2"/>
      <c r="F111" s="6"/>
      <c r="G111" s="2"/>
      <c r="H111" s="2"/>
      <c r="I111" s="2"/>
      <c r="J111" s="6"/>
      <c r="K111" s="2"/>
      <c r="L111" s="2"/>
      <c r="M111" s="2"/>
      <c r="N111" s="6"/>
      <c r="O111" s="10"/>
      <c r="P111" s="2"/>
      <c r="Q111" s="2"/>
      <c r="R111" s="6"/>
      <c r="S111" s="2"/>
      <c r="T111" s="2"/>
      <c r="U111" s="2"/>
      <c r="V111" s="6"/>
      <c r="W111" s="2"/>
      <c r="X111" s="2"/>
      <c r="Y111" s="2"/>
      <c r="Z111" s="6"/>
    </row>
    <row r="112" spans="1:26" s="22" customFormat="1" ht="15.75" thickBot="1" x14ac:dyDescent="0.3">
      <c r="A112" s="10"/>
      <c r="B112" s="25" t="s">
        <v>4</v>
      </c>
      <c r="C112" s="25"/>
      <c r="D112" s="34">
        <f>+D108-D110</f>
        <v>-124542.58000000005</v>
      </c>
      <c r="E112" s="13"/>
      <c r="F112" s="30">
        <f>IF(D$12=0,0,D112/D$12)</f>
        <v>-127.74777158917239</v>
      </c>
      <c r="G112" s="13"/>
      <c r="H112" s="34">
        <f>+H108-H110</f>
        <v>-109746.83185739101</v>
      </c>
      <c r="I112" s="13"/>
      <c r="J112" s="30">
        <f>IF(H$12=0,0,H112/H$12)</f>
        <v>-25.316454869063669</v>
      </c>
      <c r="K112" s="15"/>
      <c r="L112" s="34">
        <f>D112-H112</f>
        <v>-14795.748142609038</v>
      </c>
      <c r="M112" s="15"/>
      <c r="N112" s="30">
        <f>IF(H112=0,0,L112/H112)</f>
        <v>0.13481708667303641</v>
      </c>
      <c r="O112" s="26"/>
      <c r="P112" s="34">
        <f>+P108-P110</f>
        <v>-124542.58000000005</v>
      </c>
      <c r="Q112" s="13"/>
      <c r="R112" s="30">
        <f>IF(P$12=0,0,P112/P$12)</f>
        <v>-127.74777158917239</v>
      </c>
      <c r="S112" s="13"/>
      <c r="T112" s="34">
        <f>+T108-T110</f>
        <v>-109746.83185739101</v>
      </c>
      <c r="U112" s="13"/>
      <c r="V112" s="30">
        <f>IF(T$12=0,0,T112/T$12)</f>
        <v>-25.316454869063669</v>
      </c>
      <c r="W112" s="15"/>
      <c r="X112" s="34">
        <f>P112-T112</f>
        <v>-14795.748142609038</v>
      </c>
      <c r="Y112" s="15"/>
      <c r="Z112" s="30">
        <f>IF(T112=0,0,X112/T112)</f>
        <v>0.13481708667303641</v>
      </c>
    </row>
    <row r="113" spans="1:26" ht="15.75" thickTop="1" x14ac:dyDescent="0.25">
      <c r="A113" s="9"/>
      <c r="B113" s="9"/>
      <c r="C113" s="9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x14ac:dyDescent="0.25">
      <c r="A114" s="9"/>
      <c r="B114" s="9"/>
      <c r="C114" s="9"/>
      <c r="D114" s="2"/>
      <c r="E114" s="2"/>
      <c r="F114" s="6"/>
      <c r="G114" s="2"/>
      <c r="H114" s="2"/>
      <c r="I114" s="2"/>
      <c r="J114" s="6"/>
      <c r="K114" s="2"/>
      <c r="L114" s="2"/>
      <c r="M114" s="2"/>
      <c r="N114" s="6"/>
      <c r="P114" s="2"/>
      <c r="Q114" s="2"/>
      <c r="R114" s="6"/>
      <c r="S114" s="2"/>
      <c r="T114" s="2"/>
      <c r="U114" s="2"/>
      <c r="V114" s="6"/>
      <c r="W114" s="2"/>
      <c r="X114" s="2"/>
      <c r="Y114" s="2"/>
      <c r="Z114" s="6"/>
    </row>
    <row r="115" spans="1:26" s="22" customFormat="1" ht="15.75" thickBot="1" x14ac:dyDescent="0.3">
      <c r="A115" s="10"/>
      <c r="B115" s="25" t="s">
        <v>5</v>
      </c>
      <c r="C115" s="25"/>
      <c r="D115" s="32">
        <f>SUM(D112:D114)</f>
        <v>-124542.58000000005</v>
      </c>
      <c r="E115" s="13"/>
      <c r="F115" s="33">
        <f>IF(D$12=0,0,D115/D$12)</f>
        <v>-127.74777158917239</v>
      </c>
      <c r="G115" s="13"/>
      <c r="H115" s="32">
        <f>SUM(H112:H114)</f>
        <v>-109746.83185739101</v>
      </c>
      <c r="I115" s="13"/>
      <c r="J115" s="33">
        <f>IF(H$12=0,0,H115/H$12)</f>
        <v>-25.316454869063669</v>
      </c>
      <c r="K115" s="15"/>
      <c r="L115" s="32">
        <f>+D115-H115</f>
        <v>-14795.748142609038</v>
      </c>
      <c r="M115" s="15"/>
      <c r="N115" s="33">
        <f>IF(H115=0,0,L115/H115)</f>
        <v>0.13481708667303641</v>
      </c>
      <c r="O115" s="26"/>
      <c r="P115" s="32">
        <f>SUM(P112:P114)</f>
        <v>-124542.58000000005</v>
      </c>
      <c r="Q115" s="13"/>
      <c r="R115" s="33">
        <f>IF(P$12=0,0,P115/P$12)</f>
        <v>-127.74777158917239</v>
      </c>
      <c r="S115" s="13"/>
      <c r="T115" s="32">
        <f>SUM(T112:T114)</f>
        <v>-109746.83185739101</v>
      </c>
      <c r="U115" s="13"/>
      <c r="V115" s="33">
        <f>IF(T$12=0,0,T115/T$12)</f>
        <v>-25.316454869063669</v>
      </c>
      <c r="W115" s="15"/>
      <c r="X115" s="32">
        <f>+P115-T115</f>
        <v>-14795.748142609038</v>
      </c>
      <c r="Y115" s="15"/>
      <c r="Z115" s="33">
        <f>IF(T115=0,0,X115/T115)</f>
        <v>0.13481708667303641</v>
      </c>
    </row>
    <row r="116" spans="1:26" ht="15.75" thickTop="1" x14ac:dyDescent="0.25">
      <c r="A116" s="9"/>
      <c r="C116" s="9"/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58">
        <v>44104.685609988424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6" t="s">
        <v>314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62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","405", " - ", "Library Starbucks")</f>
        <v>Department 405 - Library Starbucks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4" si="0">+D12-H12</f>
        <v>0</v>
      </c>
      <c r="M12" s="4"/>
      <c r="N12" s="11">
        <f t="shared" ref="N12:N14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4" si="2">+P12-T12</f>
        <v>0</v>
      </c>
      <c r="Y12" s="4"/>
      <c r="Z12" s="11">
        <f t="shared" ref="Z12:Z14" si="3">IF(T12=0,0,X12/T12)</f>
        <v>0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 t="shared" ref="D13:D14" si="4"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 t="shared" ref="P13:P14" si="5"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s="24" customFormat="1" hidden="1" outlineLevel="1" x14ac:dyDescent="0.25">
      <c r="A14" s="51"/>
      <c r="B14" s="12" t="str">
        <f>CONCATENATE("          ", "4100", " - ", "NON-TAXABLE SALES")</f>
        <v xml:space="preserve">          4100 - NON-TAXABLE SALES</v>
      </c>
      <c r="C14" s="12"/>
      <c r="D14" s="3">
        <f t="shared" si="4"/>
        <v>0</v>
      </c>
      <c r="E14" s="3"/>
      <c r="F14" s="23"/>
      <c r="G14" s="3"/>
      <c r="H14" s="3">
        <v>0</v>
      </c>
      <c r="I14" s="3"/>
      <c r="J14" s="23"/>
      <c r="K14" s="3"/>
      <c r="L14" s="3">
        <f t="shared" si="0"/>
        <v>0</v>
      </c>
      <c r="M14" s="3"/>
      <c r="N14" s="23">
        <f t="shared" si="1"/>
        <v>0</v>
      </c>
      <c r="O14" s="12"/>
      <c r="P14" s="3">
        <f t="shared" si="5"/>
        <v>0</v>
      </c>
      <c r="Q14" s="3"/>
      <c r="R14" s="23"/>
      <c r="S14" s="3"/>
      <c r="T14" s="3">
        <v>0</v>
      </c>
      <c r="U14" s="3"/>
      <c r="V14" s="23"/>
      <c r="W14" s="3"/>
      <c r="X14" s="3">
        <f t="shared" si="2"/>
        <v>0</v>
      </c>
      <c r="Y14" s="3"/>
      <c r="Z14" s="23">
        <f t="shared" si="3"/>
        <v>0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1">
        <f t="shared" ref="F16:F17" si="6">IF(D$12=0,0,D16/D$12)</f>
        <v>0</v>
      </c>
      <c r="G16" s="4"/>
      <c r="H16" s="4">
        <f>SUM(OSRRefH16x_0)</f>
        <v>0</v>
      </c>
      <c r="I16" s="4"/>
      <c r="J16" s="11">
        <f t="shared" ref="J16:J17" si="7">IF(H$12=0,0,H16/H$12)</f>
        <v>0</v>
      </c>
      <c r="K16" s="4"/>
      <c r="L16" s="4">
        <f t="shared" ref="L16:L17" si="8">+D16-H16</f>
        <v>0</v>
      </c>
      <c r="M16" s="4"/>
      <c r="N16" s="11">
        <f t="shared" ref="N16:N17" si="9">IF(H16=0,0,L16/H16)</f>
        <v>0</v>
      </c>
      <c r="O16" s="10"/>
      <c r="P16" s="4">
        <f>SUM(OSRRefP16x_0)</f>
        <v>0</v>
      </c>
      <c r="Q16" s="4"/>
      <c r="R16" s="11">
        <f t="shared" ref="R16:R17" si="10">IF(P$12=0,0,P16/P$12)</f>
        <v>0</v>
      </c>
      <c r="S16" s="4"/>
      <c r="T16" s="4">
        <f>SUM(OSRRefT16x_0)</f>
        <v>0</v>
      </c>
      <c r="U16" s="4"/>
      <c r="V16" s="11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1">
        <f t="shared" ref="Z16:Z17" si="13">IF(T16=0,0,X16/T16)</f>
        <v>0</v>
      </c>
    </row>
    <row r="17" spans="1:26" s="24" customFormat="1" hidden="1" outlineLevel="1" x14ac:dyDescent="0.25">
      <c r="A17" s="51"/>
      <c r="B17" s="12" t="str">
        <f>CONCATENATE("          ", "5000", " - ", "PURCHASES @ COST")</f>
        <v xml:space="preserve">          5000 - PURCHASES @ COST</v>
      </c>
      <c r="C17" s="12"/>
      <c r="D17" s="3"/>
      <c r="E17" s="3"/>
      <c r="F17" s="23">
        <f t="shared" si="6"/>
        <v>0</v>
      </c>
      <c r="G17" s="3"/>
      <c r="H17" s="3">
        <v>0</v>
      </c>
      <c r="I17" s="3"/>
      <c r="J17" s="23">
        <f t="shared" si="7"/>
        <v>0</v>
      </c>
      <c r="K17" s="3"/>
      <c r="L17" s="3">
        <f t="shared" si="8"/>
        <v>0</v>
      </c>
      <c r="M17" s="3"/>
      <c r="N17" s="23">
        <f t="shared" si="9"/>
        <v>0</v>
      </c>
      <c r="O17" s="12"/>
      <c r="P17" s="3"/>
      <c r="Q17" s="3"/>
      <c r="R17" s="23">
        <f t="shared" si="10"/>
        <v>0</v>
      </c>
      <c r="S17" s="3"/>
      <c r="T17" s="3">
        <v>0</v>
      </c>
      <c r="U17" s="3"/>
      <c r="V17" s="23">
        <f t="shared" si="11"/>
        <v>0</v>
      </c>
      <c r="W17" s="3"/>
      <c r="X17" s="3">
        <f t="shared" si="12"/>
        <v>0</v>
      </c>
      <c r="Y17" s="3"/>
      <c r="Z17" s="23">
        <f t="shared" si="13"/>
        <v>0</v>
      </c>
    </row>
    <row r="18" spans="1:26" x14ac:dyDescent="0.25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2" customFormat="1" x14ac:dyDescent="0.25">
      <c r="A19" s="10"/>
      <c r="B19" s="25" t="s">
        <v>6</v>
      </c>
      <c r="C19" s="25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0</v>
      </c>
      <c r="I19" s="13"/>
      <c r="J19" s="20">
        <f>IF(H$12=0,0,H19/H$12)</f>
        <v>0</v>
      </c>
      <c r="K19" s="15"/>
      <c r="L19" s="21">
        <f>+D19-H19</f>
        <v>0</v>
      </c>
      <c r="M19" s="15"/>
      <c r="N19" s="20">
        <f>IF(H19=0,0,L19/H19)</f>
        <v>0</v>
      </c>
      <c r="O19" s="26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0</v>
      </c>
      <c r="U19" s="13"/>
      <c r="V19" s="20">
        <f>IF(T$12=0,0,T19/T$12)</f>
        <v>0</v>
      </c>
      <c r="W19" s="15"/>
      <c r="X19" s="21">
        <f>+P19-T19</f>
        <v>0</v>
      </c>
      <c r="Y19" s="15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2" customFormat="1" x14ac:dyDescent="0.25">
      <c r="A21" s="10"/>
      <c r="B21" s="26" t="s">
        <v>9</v>
      </c>
      <c r="C21" s="10"/>
      <c r="D21" s="19">
        <f>SUM(OSRRefD22x_0)</f>
        <v>6467.6</v>
      </c>
      <c r="E21" s="19"/>
      <c r="F21" s="31">
        <f t="shared" ref="F21:F30" si="14">IF(D$12=0,0,D21/D$12)</f>
        <v>0</v>
      </c>
      <c r="G21" s="19"/>
      <c r="H21" s="19">
        <f>SUM(OSRRefH22x_0)</f>
        <v>7481.333333333333</v>
      </c>
      <c r="I21" s="19"/>
      <c r="J21" s="31">
        <f t="shared" ref="J21:J30" si="15">IF(H$12=0,0,H21/H$12)</f>
        <v>0</v>
      </c>
      <c r="K21" s="4"/>
      <c r="L21" s="19">
        <f t="shared" ref="L21:L30" si="16">+D21-H21</f>
        <v>-1013.7333333333327</v>
      </c>
      <c r="M21" s="4"/>
      <c r="N21" s="31">
        <f t="shared" ref="N21:N30" si="17">IF(H21=0,0,L21/H21)</f>
        <v>-0.13550169310283364</v>
      </c>
      <c r="O21" s="10"/>
      <c r="P21" s="19">
        <f>SUM(OSRRefP22x_0)</f>
        <v>6467.6</v>
      </c>
      <c r="Q21" s="19"/>
      <c r="R21" s="31">
        <f t="shared" ref="R21:R30" si="18">IF(P$12=0,0,P21/P$12)</f>
        <v>0</v>
      </c>
      <c r="S21" s="19"/>
      <c r="T21" s="19">
        <f>SUM(OSRRefT22x_0)</f>
        <v>7481.333333333333</v>
      </c>
      <c r="U21" s="19"/>
      <c r="V21" s="31">
        <f t="shared" ref="V21:V30" si="19">IF(T$12=0,0,T21/T$12)</f>
        <v>0</v>
      </c>
      <c r="W21" s="4"/>
      <c r="X21" s="19">
        <f t="shared" ref="X21:X30" si="20">+P21-T21</f>
        <v>-1013.7333333333327</v>
      </c>
      <c r="Y21" s="4"/>
      <c r="Z21" s="31">
        <f t="shared" ref="Z21:Z30" si="21">IF(T21=0,0,X21/T21)</f>
        <v>-0.13550169310283364</v>
      </c>
    </row>
    <row r="22" spans="1:26" s="29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0</v>
      </c>
      <c r="Y22" s="1"/>
      <c r="Z22" s="5">
        <f t="shared" si="21"/>
        <v>0</v>
      </c>
    </row>
    <row r="23" spans="1:26" s="24" customFormat="1" hidden="1" outlineLevel="2" x14ac:dyDescent="0.25">
      <c r="A23" s="27"/>
      <c r="B23" s="12" t="str">
        <f>CONCATENATE("          ", "6111", " - ", "F.I.C.A.")</f>
        <v xml:space="preserve">          6111 - F.I.C.A.</v>
      </c>
      <c r="C23" s="12"/>
      <c r="D23" s="7"/>
      <c r="E23" s="3"/>
      <c r="F23" s="8">
        <f t="shared" si="14"/>
        <v>0</v>
      </c>
      <c r="G23" s="3"/>
      <c r="H23" s="7">
        <v>0</v>
      </c>
      <c r="I23" s="3"/>
      <c r="J23" s="8">
        <f t="shared" si="15"/>
        <v>0</v>
      </c>
      <c r="K23" s="3"/>
      <c r="L23" s="7">
        <f t="shared" si="16"/>
        <v>0</v>
      </c>
      <c r="M23" s="3"/>
      <c r="N23" s="8">
        <f t="shared" si="17"/>
        <v>0</v>
      </c>
      <c r="O23" s="12"/>
      <c r="P23" s="7"/>
      <c r="Q23" s="3"/>
      <c r="R23" s="8">
        <f t="shared" si="18"/>
        <v>0</v>
      </c>
      <c r="S23" s="3"/>
      <c r="T23" s="7">
        <v>0</v>
      </c>
      <c r="U23" s="3"/>
      <c r="V23" s="8">
        <f t="shared" si="19"/>
        <v>0</v>
      </c>
      <c r="W23" s="3"/>
      <c r="X23" s="7">
        <f t="shared" si="20"/>
        <v>0</v>
      </c>
      <c r="Y23" s="3"/>
      <c r="Z23" s="8">
        <f t="shared" si="21"/>
        <v>0</v>
      </c>
    </row>
    <row r="24" spans="1:26" s="24" customFormat="1" hidden="1" outlineLevel="2" x14ac:dyDescent="0.25">
      <c r="A24" s="27"/>
      <c r="B24" s="12" t="str">
        <f>CONCATENATE("          ", "6112", " - ", "COMPENSATION INSURANCE")</f>
        <v xml:space="preserve">          6112 - COMPENSATION INSURANCE</v>
      </c>
      <c r="C24" s="12"/>
      <c r="D24" s="7"/>
      <c r="E24" s="3"/>
      <c r="F24" s="8">
        <f t="shared" si="14"/>
        <v>0</v>
      </c>
      <c r="G24" s="3"/>
      <c r="H24" s="7">
        <v>0</v>
      </c>
      <c r="I24" s="3"/>
      <c r="J24" s="8">
        <f t="shared" si="15"/>
        <v>0</v>
      </c>
      <c r="K24" s="3"/>
      <c r="L24" s="7">
        <f t="shared" si="16"/>
        <v>0</v>
      </c>
      <c r="M24" s="3"/>
      <c r="N24" s="8">
        <f t="shared" si="17"/>
        <v>0</v>
      </c>
      <c r="O24" s="12"/>
      <c r="P24" s="7"/>
      <c r="Q24" s="3"/>
      <c r="R24" s="8">
        <f t="shared" si="18"/>
        <v>0</v>
      </c>
      <c r="S24" s="3"/>
      <c r="T24" s="7">
        <v>0</v>
      </c>
      <c r="U24" s="3"/>
      <c r="V24" s="8">
        <f t="shared" si="19"/>
        <v>0</v>
      </c>
      <c r="W24" s="3"/>
      <c r="X24" s="7">
        <f t="shared" si="20"/>
        <v>0</v>
      </c>
      <c r="Y24" s="3"/>
      <c r="Z24" s="8">
        <f t="shared" si="21"/>
        <v>0</v>
      </c>
    </row>
    <row r="25" spans="1:26" s="24" customFormat="1" hidden="1" outlineLevel="2" x14ac:dyDescent="0.25">
      <c r="A25" s="27"/>
      <c r="B25" s="12" t="str">
        <f>CONCATENATE("          ", "6113", " - ", "GROUP INSURANCE")</f>
        <v xml:space="preserve">          6113 - GROUP INSURANCE</v>
      </c>
      <c r="C25" s="12"/>
      <c r="D25" s="7"/>
      <c r="E25" s="3"/>
      <c r="F25" s="8">
        <f t="shared" si="14"/>
        <v>0</v>
      </c>
      <c r="G25" s="3"/>
      <c r="H25" s="7">
        <v>0</v>
      </c>
      <c r="I25" s="3"/>
      <c r="J25" s="8">
        <f t="shared" si="15"/>
        <v>0</v>
      </c>
      <c r="K25" s="3"/>
      <c r="L25" s="7">
        <f t="shared" si="16"/>
        <v>0</v>
      </c>
      <c r="M25" s="3"/>
      <c r="N25" s="8">
        <f t="shared" si="17"/>
        <v>0</v>
      </c>
      <c r="O25" s="12"/>
      <c r="P25" s="7"/>
      <c r="Q25" s="3"/>
      <c r="R25" s="8">
        <f t="shared" si="18"/>
        <v>0</v>
      </c>
      <c r="S25" s="3"/>
      <c r="T25" s="7">
        <v>0</v>
      </c>
      <c r="U25" s="3"/>
      <c r="V25" s="8">
        <f t="shared" si="19"/>
        <v>0</v>
      </c>
      <c r="W25" s="3"/>
      <c r="X25" s="7">
        <f t="shared" si="20"/>
        <v>0</v>
      </c>
      <c r="Y25" s="3"/>
      <c r="Z25" s="8">
        <f t="shared" si="21"/>
        <v>0</v>
      </c>
    </row>
    <row r="26" spans="1:26" s="24" customFormat="1" hidden="1" outlineLevel="2" x14ac:dyDescent="0.25">
      <c r="A26" s="27"/>
      <c r="B26" s="12" t="str">
        <f>CONCATENATE("          ", "6114", " - ", "STATE UNEMPLOYMENT INSURANCE")</f>
        <v xml:space="preserve">          6114 - STATE UNEMPLOYMENT INSURANCE</v>
      </c>
      <c r="C26" s="12"/>
      <c r="D26" s="7"/>
      <c r="E26" s="3"/>
      <c r="F26" s="8">
        <f t="shared" si="14"/>
        <v>0</v>
      </c>
      <c r="G26" s="3"/>
      <c r="H26" s="7">
        <v>0</v>
      </c>
      <c r="I26" s="3"/>
      <c r="J26" s="8">
        <f t="shared" si="15"/>
        <v>0</v>
      </c>
      <c r="K26" s="3"/>
      <c r="L26" s="7">
        <f t="shared" si="16"/>
        <v>0</v>
      </c>
      <c r="M26" s="3"/>
      <c r="N26" s="8">
        <f t="shared" si="17"/>
        <v>0</v>
      </c>
      <c r="O26" s="12"/>
      <c r="P26" s="7"/>
      <c r="Q26" s="3"/>
      <c r="R26" s="8">
        <f t="shared" si="18"/>
        <v>0</v>
      </c>
      <c r="S26" s="3"/>
      <c r="T26" s="7">
        <v>0</v>
      </c>
      <c r="U26" s="3"/>
      <c r="V26" s="8">
        <f t="shared" si="19"/>
        <v>0</v>
      </c>
      <c r="W26" s="3"/>
      <c r="X26" s="7">
        <f t="shared" si="20"/>
        <v>0</v>
      </c>
      <c r="Y26" s="3"/>
      <c r="Z26" s="8">
        <f t="shared" si="21"/>
        <v>0</v>
      </c>
    </row>
    <row r="27" spans="1:26" s="24" customFormat="1" hidden="1" outlineLevel="2" x14ac:dyDescent="0.25">
      <c r="A27" s="27"/>
      <c r="B27" s="12" t="str">
        <f>CONCATENATE("          ", "6115", " - ", "P.E.R.S.")</f>
        <v xml:space="preserve">          6115 - P.E.R.S.</v>
      </c>
      <c r="C27" s="12"/>
      <c r="D27" s="7"/>
      <c r="E27" s="3"/>
      <c r="F27" s="8">
        <f t="shared" si="14"/>
        <v>0</v>
      </c>
      <c r="G27" s="3"/>
      <c r="H27" s="7">
        <v>0</v>
      </c>
      <c r="I27" s="3"/>
      <c r="J27" s="8">
        <f t="shared" si="15"/>
        <v>0</v>
      </c>
      <c r="K27" s="3"/>
      <c r="L27" s="7">
        <f t="shared" si="16"/>
        <v>0</v>
      </c>
      <c r="M27" s="3"/>
      <c r="N27" s="8">
        <f t="shared" si="17"/>
        <v>0</v>
      </c>
      <c r="O27" s="12"/>
      <c r="P27" s="7"/>
      <c r="Q27" s="3"/>
      <c r="R27" s="8">
        <f t="shared" si="18"/>
        <v>0</v>
      </c>
      <c r="S27" s="3"/>
      <c r="T27" s="7">
        <v>0</v>
      </c>
      <c r="U27" s="3"/>
      <c r="V27" s="8">
        <f t="shared" si="19"/>
        <v>0</v>
      </c>
      <c r="W27" s="3"/>
      <c r="X27" s="7">
        <f t="shared" si="20"/>
        <v>0</v>
      </c>
      <c r="Y27" s="3"/>
      <c r="Z27" s="8">
        <f t="shared" si="21"/>
        <v>0</v>
      </c>
    </row>
    <row r="28" spans="1:26" s="24" customFormat="1" hidden="1" outlineLevel="2" x14ac:dyDescent="0.25">
      <c r="A28" s="27"/>
      <c r="B28" s="12" t="str">
        <f>CONCATENATE("          ", "6116", " - ", "EDUCATIONAL BENEFITS")</f>
        <v xml:space="preserve">          6116 - EDUCATIONAL BENEFITS</v>
      </c>
      <c r="C28" s="12"/>
      <c r="D28" s="7"/>
      <c r="E28" s="3"/>
      <c r="F28" s="8">
        <f t="shared" si="14"/>
        <v>0</v>
      </c>
      <c r="G28" s="3"/>
      <c r="H28" s="7">
        <v>0</v>
      </c>
      <c r="I28" s="3"/>
      <c r="J28" s="8">
        <f t="shared" si="15"/>
        <v>0</v>
      </c>
      <c r="K28" s="3"/>
      <c r="L28" s="7">
        <f t="shared" si="16"/>
        <v>0</v>
      </c>
      <c r="M28" s="3"/>
      <c r="N28" s="8">
        <f t="shared" si="17"/>
        <v>0</v>
      </c>
      <c r="O28" s="12"/>
      <c r="P28" s="7"/>
      <c r="Q28" s="3"/>
      <c r="R28" s="8">
        <f t="shared" si="18"/>
        <v>0</v>
      </c>
      <c r="S28" s="3"/>
      <c r="T28" s="7">
        <v>0</v>
      </c>
      <c r="U28" s="3"/>
      <c r="V28" s="8">
        <f t="shared" si="19"/>
        <v>0</v>
      </c>
      <c r="W28" s="3"/>
      <c r="X28" s="7">
        <f t="shared" si="20"/>
        <v>0</v>
      </c>
      <c r="Y28" s="3"/>
      <c r="Z28" s="8">
        <f t="shared" si="21"/>
        <v>0</v>
      </c>
    </row>
    <row r="29" spans="1:26" s="24" customFormat="1" hidden="1" outlineLevel="2" x14ac:dyDescent="0.25">
      <c r="A29" s="27"/>
      <c r="B29" s="12" t="str">
        <f>CONCATENATE("          ", "6118", " - ", "VACATION")</f>
        <v xml:space="preserve">          6118 - VACATION</v>
      </c>
      <c r="C29" s="12"/>
      <c r="D29" s="7"/>
      <c r="E29" s="3"/>
      <c r="F29" s="8">
        <f t="shared" si="14"/>
        <v>0</v>
      </c>
      <c r="G29" s="3"/>
      <c r="H29" s="7">
        <v>0</v>
      </c>
      <c r="I29" s="3"/>
      <c r="J29" s="8">
        <f t="shared" si="15"/>
        <v>0</v>
      </c>
      <c r="K29" s="3"/>
      <c r="L29" s="7">
        <f t="shared" si="16"/>
        <v>0</v>
      </c>
      <c r="M29" s="3"/>
      <c r="N29" s="8">
        <f t="shared" si="17"/>
        <v>0</v>
      </c>
      <c r="O29" s="12"/>
      <c r="P29" s="7"/>
      <c r="Q29" s="3"/>
      <c r="R29" s="8">
        <f t="shared" si="18"/>
        <v>0</v>
      </c>
      <c r="S29" s="3"/>
      <c r="T29" s="7">
        <v>0</v>
      </c>
      <c r="U29" s="3"/>
      <c r="V29" s="8">
        <f t="shared" si="19"/>
        <v>0</v>
      </c>
      <c r="W29" s="3"/>
      <c r="X29" s="7">
        <f t="shared" si="20"/>
        <v>0</v>
      </c>
      <c r="Y29" s="3"/>
      <c r="Z29" s="8">
        <f t="shared" si="21"/>
        <v>0</v>
      </c>
    </row>
    <row r="30" spans="1:26" s="24" customFormat="1" hidden="1" outlineLevel="2" x14ac:dyDescent="0.25">
      <c r="A30" s="27"/>
      <c r="B30" s="12" t="str">
        <f>CONCATENATE("          ", "6119", " - ", "SICK LEAVE")</f>
        <v xml:space="preserve">          6119 - SICK LEAVE</v>
      </c>
      <c r="C30" s="12"/>
      <c r="D30" s="7"/>
      <c r="E30" s="3"/>
      <c r="F30" s="8">
        <f t="shared" si="14"/>
        <v>0</v>
      </c>
      <c r="G30" s="3"/>
      <c r="H30" s="7">
        <v>0</v>
      </c>
      <c r="I30" s="3"/>
      <c r="J30" s="8">
        <f t="shared" si="15"/>
        <v>0</v>
      </c>
      <c r="K30" s="3"/>
      <c r="L30" s="7">
        <f t="shared" si="16"/>
        <v>0</v>
      </c>
      <c r="M30" s="3"/>
      <c r="N30" s="8">
        <f t="shared" si="17"/>
        <v>0</v>
      </c>
      <c r="O30" s="12"/>
      <c r="P30" s="7"/>
      <c r="Q30" s="3"/>
      <c r="R30" s="8">
        <f t="shared" si="18"/>
        <v>0</v>
      </c>
      <c r="S30" s="3"/>
      <c r="T30" s="7">
        <v>0</v>
      </c>
      <c r="U30" s="3"/>
      <c r="V30" s="8">
        <f t="shared" si="19"/>
        <v>0</v>
      </c>
      <c r="W30" s="3"/>
      <c r="X30" s="7">
        <f t="shared" si="20"/>
        <v>0</v>
      </c>
      <c r="Y30" s="3"/>
      <c r="Z30" s="8">
        <f t="shared" si="21"/>
        <v>0</v>
      </c>
    </row>
    <row r="31" spans="1:26" s="29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0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7"/>
      <c r="B32" s="12" t="str">
        <f>CONCATENATE("          ", "6001", " - ", "ADMINISTRATIVE SALARIES")</f>
        <v xml:space="preserve">          6001 - ADMINISTRATIVE SALARIES</v>
      </c>
      <c r="C32" s="12"/>
      <c r="D32" s="7"/>
      <c r="E32" s="3"/>
      <c r="F32" s="8">
        <f t="shared" si="22"/>
        <v>0</v>
      </c>
      <c r="G32" s="3"/>
      <c r="H32" s="7">
        <v>0</v>
      </c>
      <c r="I32" s="3"/>
      <c r="J32" s="8">
        <f t="shared" si="23"/>
        <v>0</v>
      </c>
      <c r="K32" s="3"/>
      <c r="L32" s="7">
        <f t="shared" si="24"/>
        <v>0</v>
      </c>
      <c r="M32" s="3"/>
      <c r="N32" s="8">
        <f t="shared" si="25"/>
        <v>0</v>
      </c>
      <c r="O32" s="12"/>
      <c r="P32" s="7"/>
      <c r="Q32" s="3"/>
      <c r="R32" s="8">
        <f t="shared" si="26"/>
        <v>0</v>
      </c>
      <c r="S32" s="3"/>
      <c r="T32" s="7">
        <v>0</v>
      </c>
      <c r="U32" s="3"/>
      <c r="V32" s="8">
        <f t="shared" si="27"/>
        <v>0</v>
      </c>
      <c r="W32" s="3"/>
      <c r="X32" s="7">
        <f t="shared" si="28"/>
        <v>0</v>
      </c>
      <c r="Y32" s="3"/>
      <c r="Z32" s="8">
        <f t="shared" si="29"/>
        <v>0</v>
      </c>
    </row>
    <row r="33" spans="1:26" s="24" customFormat="1" hidden="1" outlineLevel="2" x14ac:dyDescent="0.25">
      <c r="A33" s="27"/>
      <c r="B33" s="12" t="str">
        <f>CONCATENATE("          ", "6002", " - ", "STAFF SALARIES")</f>
        <v xml:space="preserve">          6002 - STAFF SALARIES</v>
      </c>
      <c r="C33" s="12"/>
      <c r="D33" s="7"/>
      <c r="E33" s="3"/>
      <c r="F33" s="8">
        <f t="shared" si="22"/>
        <v>0</v>
      </c>
      <c r="G33" s="3"/>
      <c r="H33" s="7">
        <v>0</v>
      </c>
      <c r="I33" s="3"/>
      <c r="J33" s="8">
        <f t="shared" si="23"/>
        <v>0</v>
      </c>
      <c r="K33" s="3"/>
      <c r="L33" s="7">
        <f t="shared" si="24"/>
        <v>0</v>
      </c>
      <c r="M33" s="3"/>
      <c r="N33" s="8">
        <f t="shared" si="25"/>
        <v>0</v>
      </c>
      <c r="O33" s="12"/>
      <c r="P33" s="7"/>
      <c r="Q33" s="3"/>
      <c r="R33" s="8">
        <f t="shared" si="26"/>
        <v>0</v>
      </c>
      <c r="S33" s="3"/>
      <c r="T33" s="7">
        <v>0</v>
      </c>
      <c r="U33" s="3"/>
      <c r="V33" s="8">
        <f t="shared" si="27"/>
        <v>0</v>
      </c>
      <c r="W33" s="3"/>
      <c r="X33" s="7">
        <f t="shared" si="28"/>
        <v>0</v>
      </c>
      <c r="Y33" s="3"/>
      <c r="Z33" s="8">
        <f t="shared" si="29"/>
        <v>0</v>
      </c>
    </row>
    <row r="34" spans="1:26" s="24" customFormat="1" hidden="1" outlineLevel="2" x14ac:dyDescent="0.25">
      <c r="A34" s="27"/>
      <c r="B34" s="12" t="str">
        <f>CONCATENATE("          ", "6003", " - ", "STAFF HOURLY-9 MONTH")</f>
        <v xml:space="preserve">          6003 - STAFF HOURLY-9 MONTH</v>
      </c>
      <c r="C34" s="12"/>
      <c r="D34" s="7"/>
      <c r="E34" s="3"/>
      <c r="F34" s="8">
        <f t="shared" si="22"/>
        <v>0</v>
      </c>
      <c r="G34" s="3"/>
      <c r="H34" s="7">
        <v>0</v>
      </c>
      <c r="I34" s="3"/>
      <c r="J34" s="8">
        <f t="shared" si="23"/>
        <v>0</v>
      </c>
      <c r="K34" s="3"/>
      <c r="L34" s="7">
        <f t="shared" si="24"/>
        <v>0</v>
      </c>
      <c r="M34" s="3"/>
      <c r="N34" s="8">
        <f t="shared" si="25"/>
        <v>0</v>
      </c>
      <c r="O34" s="12"/>
      <c r="P34" s="7"/>
      <c r="Q34" s="3"/>
      <c r="R34" s="8">
        <f t="shared" si="26"/>
        <v>0</v>
      </c>
      <c r="S34" s="3"/>
      <c r="T34" s="7">
        <v>0</v>
      </c>
      <c r="U34" s="3"/>
      <c r="V34" s="8">
        <f t="shared" si="27"/>
        <v>0</v>
      </c>
      <c r="W34" s="3"/>
      <c r="X34" s="7">
        <f t="shared" si="28"/>
        <v>0</v>
      </c>
      <c r="Y34" s="3"/>
      <c r="Z34" s="8">
        <f t="shared" si="29"/>
        <v>0</v>
      </c>
    </row>
    <row r="35" spans="1:26" s="24" customFormat="1" hidden="1" outlineLevel="2" x14ac:dyDescent="0.25">
      <c r="A35" s="27"/>
      <c r="B35" s="12" t="str">
        <f>CONCATENATE("          ", "6004", " - ", "STAFF HOURLY")</f>
        <v xml:space="preserve">          6004 - STAFF HOURLY</v>
      </c>
      <c r="C35" s="12"/>
      <c r="D35" s="7"/>
      <c r="E35" s="3"/>
      <c r="F35" s="8">
        <f t="shared" si="22"/>
        <v>0</v>
      </c>
      <c r="G35" s="3"/>
      <c r="H35" s="7">
        <v>0</v>
      </c>
      <c r="I35" s="3"/>
      <c r="J35" s="8">
        <f t="shared" si="23"/>
        <v>0</v>
      </c>
      <c r="K35" s="3"/>
      <c r="L35" s="7">
        <f t="shared" si="24"/>
        <v>0</v>
      </c>
      <c r="M35" s="3"/>
      <c r="N35" s="8">
        <f t="shared" si="25"/>
        <v>0</v>
      </c>
      <c r="O35" s="12"/>
      <c r="P35" s="7"/>
      <c r="Q35" s="3"/>
      <c r="R35" s="8">
        <f t="shared" si="26"/>
        <v>0</v>
      </c>
      <c r="S35" s="3"/>
      <c r="T35" s="7">
        <v>0</v>
      </c>
      <c r="U35" s="3"/>
      <c r="V35" s="8">
        <f t="shared" si="27"/>
        <v>0</v>
      </c>
      <c r="W35" s="3"/>
      <c r="X35" s="7">
        <f t="shared" si="28"/>
        <v>0</v>
      </c>
      <c r="Y35" s="3"/>
      <c r="Z35" s="8">
        <f t="shared" si="29"/>
        <v>0</v>
      </c>
    </row>
    <row r="36" spans="1:26" s="24" customFormat="1" hidden="1" outlineLevel="2" x14ac:dyDescent="0.25">
      <c r="A36" s="27"/>
      <c r="B36" s="12" t="str">
        <f>CONCATENATE("          ", "6005", " - ", "TEMPORARY WAGES-HOURLY")</f>
        <v xml:space="preserve">          6005 - TEMPORARY WAGES-HOURLY</v>
      </c>
      <c r="C36" s="12"/>
      <c r="D36" s="7"/>
      <c r="E36" s="3"/>
      <c r="F36" s="8">
        <f t="shared" si="22"/>
        <v>0</v>
      </c>
      <c r="G36" s="3"/>
      <c r="H36" s="7">
        <v>0</v>
      </c>
      <c r="I36" s="3"/>
      <c r="J36" s="8">
        <f t="shared" si="23"/>
        <v>0</v>
      </c>
      <c r="K36" s="3"/>
      <c r="L36" s="7">
        <f t="shared" si="24"/>
        <v>0</v>
      </c>
      <c r="M36" s="3"/>
      <c r="N36" s="8">
        <f t="shared" si="25"/>
        <v>0</v>
      </c>
      <c r="O36" s="12"/>
      <c r="P36" s="7"/>
      <c r="Q36" s="3"/>
      <c r="R36" s="8">
        <f t="shared" si="26"/>
        <v>0</v>
      </c>
      <c r="S36" s="3"/>
      <c r="T36" s="7">
        <v>0</v>
      </c>
      <c r="U36" s="3"/>
      <c r="V36" s="8">
        <f t="shared" si="27"/>
        <v>0</v>
      </c>
      <c r="W36" s="3"/>
      <c r="X36" s="7">
        <f t="shared" si="28"/>
        <v>0</v>
      </c>
      <c r="Y36" s="3"/>
      <c r="Z36" s="8">
        <f t="shared" si="29"/>
        <v>0</v>
      </c>
    </row>
    <row r="37" spans="1:26" s="24" customFormat="1" hidden="1" outlineLevel="2" x14ac:dyDescent="0.25">
      <c r="A37" s="27"/>
      <c r="B37" s="12" t="str">
        <f>CONCATENATE("          ", "6006", " - ", "TEMPORARY PART TIME")</f>
        <v xml:space="preserve">          6006 - TEMPORARY PART TIME</v>
      </c>
      <c r="C37" s="12"/>
      <c r="D37" s="7"/>
      <c r="E37" s="3"/>
      <c r="F37" s="8">
        <f t="shared" si="22"/>
        <v>0</v>
      </c>
      <c r="G37" s="3"/>
      <c r="H37" s="7">
        <v>0</v>
      </c>
      <c r="I37" s="3"/>
      <c r="J37" s="8">
        <f t="shared" si="23"/>
        <v>0</v>
      </c>
      <c r="K37" s="3"/>
      <c r="L37" s="7">
        <f t="shared" si="24"/>
        <v>0</v>
      </c>
      <c r="M37" s="3"/>
      <c r="N37" s="8">
        <f t="shared" si="25"/>
        <v>0</v>
      </c>
      <c r="O37" s="12"/>
      <c r="P37" s="7"/>
      <c r="Q37" s="3"/>
      <c r="R37" s="8">
        <f t="shared" si="26"/>
        <v>0</v>
      </c>
      <c r="S37" s="3"/>
      <c r="T37" s="7">
        <v>0</v>
      </c>
      <c r="U37" s="3"/>
      <c r="V37" s="8">
        <f t="shared" si="27"/>
        <v>0</v>
      </c>
      <c r="W37" s="3"/>
      <c r="X37" s="7">
        <f t="shared" si="28"/>
        <v>0</v>
      </c>
      <c r="Y37" s="3"/>
      <c r="Z37" s="8">
        <f t="shared" si="29"/>
        <v>0</v>
      </c>
    </row>
    <row r="38" spans="1:26" s="24" customFormat="1" hidden="1" outlineLevel="2" x14ac:dyDescent="0.25">
      <c r="A38" s="27"/>
      <c r="B38" s="12" t="str">
        <f>CONCATENATE("          ", "6007", " - ", "STUDENT HOURLY")</f>
        <v xml:space="preserve">          6007 - STUDENT HOURLY</v>
      </c>
      <c r="C38" s="12"/>
      <c r="D38" s="7"/>
      <c r="E38" s="3"/>
      <c r="F38" s="8">
        <f t="shared" si="22"/>
        <v>0</v>
      </c>
      <c r="G38" s="3"/>
      <c r="H38" s="7">
        <v>0</v>
      </c>
      <c r="I38" s="3"/>
      <c r="J38" s="8">
        <f t="shared" si="23"/>
        <v>0</v>
      </c>
      <c r="K38" s="3"/>
      <c r="L38" s="7">
        <f t="shared" si="24"/>
        <v>0</v>
      </c>
      <c r="M38" s="3"/>
      <c r="N38" s="8">
        <f t="shared" si="25"/>
        <v>0</v>
      </c>
      <c r="O38" s="12"/>
      <c r="P38" s="7"/>
      <c r="Q38" s="3"/>
      <c r="R38" s="8">
        <f t="shared" si="26"/>
        <v>0</v>
      </c>
      <c r="S38" s="3"/>
      <c r="T38" s="7">
        <v>0</v>
      </c>
      <c r="U38" s="3"/>
      <c r="V38" s="8">
        <f t="shared" si="27"/>
        <v>0</v>
      </c>
      <c r="W38" s="3"/>
      <c r="X38" s="7">
        <f t="shared" si="28"/>
        <v>0</v>
      </c>
      <c r="Y38" s="3"/>
      <c r="Z38" s="8">
        <f t="shared" si="29"/>
        <v>0</v>
      </c>
    </row>
    <row r="39" spans="1:26" s="24" customFormat="1" hidden="1" outlineLevel="2" x14ac:dyDescent="0.25">
      <c r="A39" s="27"/>
      <c r="B39" s="12" t="str">
        <f>CONCATENATE("          ", "6008", " - ", "STUDENT HOURLY-FICA EXEMPT")</f>
        <v xml:space="preserve">          6008 - STUDENT HOURLY-FICA EXEMPT</v>
      </c>
      <c r="C39" s="12"/>
      <c r="D39" s="7"/>
      <c r="E39" s="3"/>
      <c r="F39" s="8">
        <f t="shared" si="22"/>
        <v>0</v>
      </c>
      <c r="G39" s="3"/>
      <c r="H39" s="7">
        <v>0</v>
      </c>
      <c r="I39" s="3"/>
      <c r="J39" s="8">
        <f t="shared" si="23"/>
        <v>0</v>
      </c>
      <c r="K39" s="3"/>
      <c r="L39" s="7">
        <f t="shared" si="24"/>
        <v>0</v>
      </c>
      <c r="M39" s="3"/>
      <c r="N39" s="8">
        <f t="shared" si="25"/>
        <v>0</v>
      </c>
      <c r="O39" s="12"/>
      <c r="P39" s="7"/>
      <c r="Q39" s="3"/>
      <c r="R39" s="8">
        <f t="shared" si="26"/>
        <v>0</v>
      </c>
      <c r="S39" s="3"/>
      <c r="T39" s="7">
        <v>0</v>
      </c>
      <c r="U39" s="3"/>
      <c r="V39" s="8">
        <f t="shared" si="27"/>
        <v>0</v>
      </c>
      <c r="W39" s="3"/>
      <c r="X39" s="7">
        <f t="shared" si="28"/>
        <v>0</v>
      </c>
      <c r="Y39" s="3"/>
      <c r="Z39" s="8">
        <f t="shared" si="29"/>
        <v>0</v>
      </c>
    </row>
    <row r="40" spans="1:26" s="24" customFormat="1" hidden="1" outlineLevel="2" x14ac:dyDescent="0.25">
      <c r="A40" s="27"/>
      <c r="B40" s="12" t="str">
        <f>CONCATENATE("          ", "6009", " - ", "TEMPORARY-SEASONAL")</f>
        <v xml:space="preserve">          6009 - TEMPORARY-SEASONAL</v>
      </c>
      <c r="C40" s="12"/>
      <c r="D40" s="7"/>
      <c r="E40" s="3"/>
      <c r="F40" s="8">
        <f t="shared" si="22"/>
        <v>0</v>
      </c>
      <c r="G40" s="3"/>
      <c r="H40" s="7">
        <v>0</v>
      </c>
      <c r="I40" s="3"/>
      <c r="J40" s="8">
        <f t="shared" si="23"/>
        <v>0</v>
      </c>
      <c r="K40" s="3"/>
      <c r="L40" s="7">
        <f t="shared" si="24"/>
        <v>0</v>
      </c>
      <c r="M40" s="3"/>
      <c r="N40" s="8">
        <f t="shared" si="25"/>
        <v>0</v>
      </c>
      <c r="O40" s="12"/>
      <c r="P40" s="7"/>
      <c r="Q40" s="3"/>
      <c r="R40" s="8">
        <f t="shared" si="26"/>
        <v>0</v>
      </c>
      <c r="S40" s="3"/>
      <c r="T40" s="7">
        <v>0</v>
      </c>
      <c r="U40" s="3"/>
      <c r="V40" s="8">
        <f t="shared" si="27"/>
        <v>0</v>
      </c>
      <c r="W40" s="3"/>
      <c r="X40" s="7">
        <f t="shared" si="28"/>
        <v>0</v>
      </c>
      <c r="Y40" s="3"/>
      <c r="Z40" s="8">
        <f t="shared" si="29"/>
        <v>0</v>
      </c>
    </row>
    <row r="41" spans="1:26" s="24" customFormat="1" hidden="1" outlineLevel="2" x14ac:dyDescent="0.25">
      <c r="A41" s="27"/>
      <c r="B41" s="12" t="str">
        <f>CONCATENATE("          ", "6010", " - ", "GRATUITY")</f>
        <v xml:space="preserve">          6010 - GRATUITY</v>
      </c>
      <c r="C41" s="12"/>
      <c r="D41" s="7"/>
      <c r="E41" s="3"/>
      <c r="F41" s="8">
        <f t="shared" si="22"/>
        <v>0</v>
      </c>
      <c r="G41" s="3"/>
      <c r="H41" s="7">
        <v>0</v>
      </c>
      <c r="I41" s="3"/>
      <c r="J41" s="8">
        <f t="shared" si="23"/>
        <v>0</v>
      </c>
      <c r="K41" s="3"/>
      <c r="L41" s="7">
        <f t="shared" si="24"/>
        <v>0</v>
      </c>
      <c r="M41" s="3"/>
      <c r="N41" s="8">
        <f t="shared" si="25"/>
        <v>0</v>
      </c>
      <c r="O41" s="12"/>
      <c r="P41" s="7"/>
      <c r="Q41" s="3"/>
      <c r="R41" s="8">
        <f t="shared" si="26"/>
        <v>0</v>
      </c>
      <c r="S41" s="3"/>
      <c r="T41" s="7">
        <v>0</v>
      </c>
      <c r="U41" s="3"/>
      <c r="V41" s="8">
        <f t="shared" si="27"/>
        <v>0</v>
      </c>
      <c r="W41" s="3"/>
      <c r="X41" s="7">
        <f t="shared" si="28"/>
        <v>0</v>
      </c>
      <c r="Y41" s="3"/>
      <c r="Z41" s="8">
        <f t="shared" si="29"/>
        <v>0</v>
      </c>
    </row>
    <row r="42" spans="1:26" s="29" customFormat="1" outlineLevel="1" collapsed="1" x14ac:dyDescent="0.25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7"/>
      <c r="B43" s="12" t="str">
        <f>CONCATENATE("          ", "6272", " - ", "CASH (OVER/SHORT)")</f>
        <v xml:space="preserve">          6272 - CASH (OVER/SHORT)</v>
      </c>
      <c r="C43" s="12"/>
      <c r="D43" s="7"/>
      <c r="E43" s="3"/>
      <c r="F43" s="8">
        <f t="shared" si="30"/>
        <v>0</v>
      </c>
      <c r="G43" s="3"/>
      <c r="H43" s="7">
        <v>0</v>
      </c>
      <c r="I43" s="3"/>
      <c r="J43" s="8">
        <f t="shared" si="31"/>
        <v>0</v>
      </c>
      <c r="K43" s="3"/>
      <c r="L43" s="7">
        <f t="shared" si="32"/>
        <v>0</v>
      </c>
      <c r="M43" s="3"/>
      <c r="N43" s="8">
        <f t="shared" si="33"/>
        <v>0</v>
      </c>
      <c r="O43" s="12"/>
      <c r="P43" s="7"/>
      <c r="Q43" s="3"/>
      <c r="R43" s="8">
        <f t="shared" si="34"/>
        <v>0</v>
      </c>
      <c r="S43" s="3"/>
      <c r="T43" s="7">
        <v>0</v>
      </c>
      <c r="U43" s="3"/>
      <c r="V43" s="8">
        <f t="shared" si="35"/>
        <v>0</v>
      </c>
      <c r="W43" s="3"/>
      <c r="X43" s="7">
        <f t="shared" si="36"/>
        <v>0</v>
      </c>
      <c r="Y43" s="3"/>
      <c r="Z43" s="8">
        <f t="shared" si="37"/>
        <v>0</v>
      </c>
    </row>
    <row r="44" spans="1:26" s="29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7"/>
      <c r="B45" s="12" t="str">
        <f>CONCATENATE("          ", "6381", " - ", "BANK/CREDIT CARD FEES")</f>
        <v xml:space="preserve">          6381 - BANK/CREDIT CARD FEES</v>
      </c>
      <c r="C45" s="12"/>
      <c r="D45" s="7"/>
      <c r="E45" s="3"/>
      <c r="F45" s="8">
        <f t="shared" si="30"/>
        <v>0</v>
      </c>
      <c r="G45" s="3"/>
      <c r="H45" s="7">
        <v>0</v>
      </c>
      <c r="I45" s="3"/>
      <c r="J45" s="8">
        <f t="shared" si="31"/>
        <v>0</v>
      </c>
      <c r="K45" s="3"/>
      <c r="L45" s="7">
        <f t="shared" si="32"/>
        <v>0</v>
      </c>
      <c r="M45" s="3"/>
      <c r="N45" s="8">
        <f t="shared" si="33"/>
        <v>0</v>
      </c>
      <c r="O45" s="12"/>
      <c r="P45" s="7"/>
      <c r="Q45" s="3"/>
      <c r="R45" s="8">
        <f t="shared" si="34"/>
        <v>0</v>
      </c>
      <c r="S45" s="3"/>
      <c r="T45" s="7">
        <v>0</v>
      </c>
      <c r="U45" s="3"/>
      <c r="V45" s="8">
        <f t="shared" si="35"/>
        <v>0</v>
      </c>
      <c r="W45" s="3"/>
      <c r="X45" s="7">
        <f t="shared" si="36"/>
        <v>0</v>
      </c>
      <c r="Y45" s="3"/>
      <c r="Z45" s="8">
        <f t="shared" si="37"/>
        <v>0</v>
      </c>
    </row>
    <row r="46" spans="1:26" s="29" customFormat="1" outlineLevel="1" collapsed="1" x14ac:dyDescent="0.25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5330.05</v>
      </c>
      <c r="E46" s="1"/>
      <c r="F46" s="5">
        <f t="shared" si="30"/>
        <v>0</v>
      </c>
      <c r="G46" s="1"/>
      <c r="H46" s="1">
        <f>SUM(OSRRefH22_4x_0)</f>
        <v>5330</v>
      </c>
      <c r="I46" s="1"/>
      <c r="J46" s="5">
        <f t="shared" si="31"/>
        <v>0</v>
      </c>
      <c r="K46" s="1"/>
      <c r="L46" s="1">
        <f t="shared" si="32"/>
        <v>5.0000000000181899E-2</v>
      </c>
      <c r="M46" s="1"/>
      <c r="N46" s="5">
        <f t="shared" si="33"/>
        <v>9.3808630394337517E-6</v>
      </c>
      <c r="O46" s="14"/>
      <c r="P46" s="1">
        <f>SUM(OSRRefP22_4x_0)</f>
        <v>5330.05</v>
      </c>
      <c r="Q46" s="1"/>
      <c r="R46" s="5">
        <f t="shared" si="34"/>
        <v>0</v>
      </c>
      <c r="S46" s="1"/>
      <c r="T46" s="1">
        <f>SUM(OSRRefT22_4x_0)</f>
        <v>5330</v>
      </c>
      <c r="U46" s="1"/>
      <c r="V46" s="5">
        <f t="shared" si="35"/>
        <v>0</v>
      </c>
      <c r="W46" s="1"/>
      <c r="X46" s="1">
        <f t="shared" si="36"/>
        <v>5.0000000000181899E-2</v>
      </c>
      <c r="Y46" s="1"/>
      <c r="Z46" s="5">
        <f t="shared" si="37"/>
        <v>9.3808630394337517E-6</v>
      </c>
    </row>
    <row r="47" spans="1:26" s="24" customFormat="1" hidden="1" outlineLevel="2" x14ac:dyDescent="0.25">
      <c r="A47" s="27"/>
      <c r="B47" s="12" t="str">
        <f>CONCATENATE("          ", "6321", " - ", "BUILDING DEPRECIATION")</f>
        <v xml:space="preserve">          6321 - BUILDING DEPRECIATION</v>
      </c>
      <c r="C47" s="12"/>
      <c r="D47" s="7">
        <v>4626.5</v>
      </c>
      <c r="E47" s="3"/>
      <c r="F47" s="8">
        <f t="shared" si="30"/>
        <v>0</v>
      </c>
      <c r="G47" s="3"/>
      <c r="H47" s="7"/>
      <c r="I47" s="3"/>
      <c r="J47" s="8">
        <f t="shared" si="31"/>
        <v>0</v>
      </c>
      <c r="K47" s="3"/>
      <c r="L47" s="7">
        <f t="shared" si="32"/>
        <v>4626.5</v>
      </c>
      <c r="M47" s="3"/>
      <c r="N47" s="8">
        <f t="shared" si="33"/>
        <v>0</v>
      </c>
      <c r="O47" s="12"/>
      <c r="P47" s="7">
        <v>4626.5</v>
      </c>
      <c r="Q47" s="3"/>
      <c r="R47" s="8">
        <f t="shared" si="34"/>
        <v>0</v>
      </c>
      <c r="S47" s="3"/>
      <c r="T47" s="7"/>
      <c r="U47" s="3"/>
      <c r="V47" s="8">
        <f t="shared" si="35"/>
        <v>0</v>
      </c>
      <c r="W47" s="3"/>
      <c r="X47" s="7">
        <f t="shared" si="36"/>
        <v>4626.5</v>
      </c>
      <c r="Y47" s="3"/>
      <c r="Z47" s="8">
        <f t="shared" si="37"/>
        <v>0</v>
      </c>
    </row>
    <row r="48" spans="1:26" s="24" customFormat="1" hidden="1" outlineLevel="2" x14ac:dyDescent="0.25">
      <c r="A48" s="27"/>
      <c r="B48" s="12" t="str">
        <f>CONCATENATE("          ", "6322", " - ", "EQUIPMENT DEPRECIATION EXPENSE")</f>
        <v xml:space="preserve">          6322 - EQUIPMENT DEPRECIATION EXPENSE</v>
      </c>
      <c r="C48" s="12"/>
      <c r="D48" s="7">
        <v>703.55</v>
      </c>
      <c r="E48" s="3"/>
      <c r="F48" s="8">
        <f t="shared" si="30"/>
        <v>0</v>
      </c>
      <c r="G48" s="3"/>
      <c r="H48" s="7">
        <v>5330</v>
      </c>
      <c r="I48" s="3"/>
      <c r="J48" s="8">
        <f t="shared" si="31"/>
        <v>0</v>
      </c>
      <c r="K48" s="3"/>
      <c r="L48" s="7">
        <f t="shared" si="32"/>
        <v>-4626.45</v>
      </c>
      <c r="M48" s="3"/>
      <c r="N48" s="8">
        <f t="shared" si="33"/>
        <v>-0.86800187617260782</v>
      </c>
      <c r="O48" s="12"/>
      <c r="P48" s="7">
        <v>703.55</v>
      </c>
      <c r="Q48" s="3"/>
      <c r="R48" s="8">
        <f t="shared" si="34"/>
        <v>0</v>
      </c>
      <c r="S48" s="3"/>
      <c r="T48" s="7">
        <v>5330</v>
      </c>
      <c r="U48" s="3"/>
      <c r="V48" s="8">
        <f t="shared" si="35"/>
        <v>0</v>
      </c>
      <c r="W48" s="3"/>
      <c r="X48" s="7">
        <f t="shared" si="36"/>
        <v>-4626.45</v>
      </c>
      <c r="Y48" s="3"/>
      <c r="Z48" s="8">
        <f t="shared" si="37"/>
        <v>-0.86800187617260782</v>
      </c>
    </row>
    <row r="49" spans="1:26" s="29" customFormat="1" outlineLevel="1" collapsed="1" x14ac:dyDescent="0.25">
      <c r="A49" s="28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SUM(OSRRefD22_5x_0)</f>
        <v>0</v>
      </c>
      <c r="E49" s="1"/>
      <c r="F49" s="5">
        <f t="shared" ref="F49:F57" si="38">IF(D$12=0,0,D49/D$12)</f>
        <v>0</v>
      </c>
      <c r="G49" s="1"/>
      <c r="H49" s="1">
        <f>SUM(OSRRefH22_5x_0)</f>
        <v>208.333333333333</v>
      </c>
      <c r="I49" s="1"/>
      <c r="J49" s="5">
        <f t="shared" ref="J49:J57" si="39">IF(H$12=0,0,H49/H$12)</f>
        <v>0</v>
      </c>
      <c r="K49" s="1"/>
      <c r="L49" s="1">
        <f t="shared" ref="L49:L57" si="40">+D49-H49</f>
        <v>-208.333333333333</v>
      </c>
      <c r="M49" s="1"/>
      <c r="N49" s="5">
        <f t="shared" ref="N49:N57" si="41">IF(H49=0,0,L49/H49)</f>
        <v>-1</v>
      </c>
      <c r="O49" s="14"/>
      <c r="P49" s="1">
        <f>SUM(OSRRefP22_5x_0)</f>
        <v>0</v>
      </c>
      <c r="Q49" s="1"/>
      <c r="R49" s="5">
        <f t="shared" ref="R49:R57" si="42">IF(P$12=0,0,P49/P$12)</f>
        <v>0</v>
      </c>
      <c r="S49" s="1"/>
      <c r="T49" s="1">
        <f>SUM(OSRRefT22_5x_0)</f>
        <v>208.333333333333</v>
      </c>
      <c r="U49" s="1"/>
      <c r="V49" s="5">
        <f t="shared" ref="V49:V57" si="43">IF(T$12=0,0,T49/T$12)</f>
        <v>0</v>
      </c>
      <c r="W49" s="1"/>
      <c r="X49" s="1">
        <f t="shared" ref="X49:X57" si="44">+P49-T49</f>
        <v>-208.333333333333</v>
      </c>
      <c r="Y49" s="1"/>
      <c r="Z49" s="5">
        <f t="shared" ref="Z49:Z57" si="45">IF(T49=0,0,X49/T49)</f>
        <v>-1</v>
      </c>
    </row>
    <row r="50" spans="1:26" s="24" customFormat="1" hidden="1" outlineLevel="2" x14ac:dyDescent="0.25">
      <c r="A50" s="27"/>
      <c r="B50" s="12" t="str">
        <f>CONCATENATE("          ", "6351", " - ", "EQUIPMENT RENTAL")</f>
        <v xml:space="preserve">          6351 - EQUIPMENT RENTAL</v>
      </c>
      <c r="C50" s="12"/>
      <c r="D50" s="7"/>
      <c r="E50" s="3"/>
      <c r="F50" s="8">
        <f t="shared" si="38"/>
        <v>0</v>
      </c>
      <c r="G50" s="3"/>
      <c r="H50" s="7">
        <v>208.333333333333</v>
      </c>
      <c r="I50" s="3"/>
      <c r="J50" s="8">
        <f t="shared" si="39"/>
        <v>0</v>
      </c>
      <c r="K50" s="3"/>
      <c r="L50" s="7">
        <f t="shared" si="40"/>
        <v>-208.333333333333</v>
      </c>
      <c r="M50" s="3"/>
      <c r="N50" s="8">
        <f t="shared" si="41"/>
        <v>-1</v>
      </c>
      <c r="O50" s="12"/>
      <c r="P50" s="7"/>
      <c r="Q50" s="3"/>
      <c r="R50" s="8">
        <f t="shared" si="42"/>
        <v>0</v>
      </c>
      <c r="S50" s="3"/>
      <c r="T50" s="7">
        <v>208.333333333333</v>
      </c>
      <c r="U50" s="3"/>
      <c r="V50" s="8">
        <f t="shared" si="43"/>
        <v>0</v>
      </c>
      <c r="W50" s="3"/>
      <c r="X50" s="7">
        <f t="shared" si="44"/>
        <v>-208.333333333333</v>
      </c>
      <c r="Y50" s="3"/>
      <c r="Z50" s="8">
        <f t="shared" si="45"/>
        <v>-1</v>
      </c>
    </row>
    <row r="51" spans="1:26" s="29" customFormat="1" outlineLevel="1" collapsed="1" x14ac:dyDescent="0.25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1114.55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1114.55</v>
      </c>
      <c r="M51" s="1"/>
      <c r="N51" s="5">
        <f t="shared" si="41"/>
        <v>0</v>
      </c>
      <c r="O51" s="14"/>
      <c r="P51" s="1">
        <f>SUM(OSRRefP22_6x_0)</f>
        <v>1114.55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1114.55</v>
      </c>
      <c r="Y51" s="1"/>
      <c r="Z51" s="5">
        <f t="shared" si="45"/>
        <v>0</v>
      </c>
    </row>
    <row r="52" spans="1:26" s="24" customFormat="1" hidden="1" outlineLevel="2" x14ac:dyDescent="0.25">
      <c r="A52" s="27"/>
      <c r="B52" s="12" t="str">
        <f>CONCATENATE("          ", "6279", " - ", "GENERAL EXPENSE")</f>
        <v xml:space="preserve">          6279 - GENERAL EXPENSE</v>
      </c>
      <c r="C52" s="12"/>
      <c r="D52" s="7">
        <v>1114.55</v>
      </c>
      <c r="E52" s="3"/>
      <c r="F52" s="8">
        <f t="shared" si="38"/>
        <v>0</v>
      </c>
      <c r="G52" s="3"/>
      <c r="H52" s="7">
        <v>0</v>
      </c>
      <c r="I52" s="3"/>
      <c r="J52" s="8">
        <f t="shared" si="39"/>
        <v>0</v>
      </c>
      <c r="K52" s="3"/>
      <c r="L52" s="7">
        <f t="shared" si="40"/>
        <v>1114.55</v>
      </c>
      <c r="M52" s="3"/>
      <c r="N52" s="8">
        <f t="shared" si="41"/>
        <v>0</v>
      </c>
      <c r="O52" s="12"/>
      <c r="P52" s="7">
        <v>1114.55</v>
      </c>
      <c r="Q52" s="3"/>
      <c r="R52" s="8">
        <f t="shared" si="42"/>
        <v>0</v>
      </c>
      <c r="S52" s="3"/>
      <c r="T52" s="7">
        <v>0</v>
      </c>
      <c r="U52" s="3"/>
      <c r="V52" s="8">
        <f t="shared" si="43"/>
        <v>0</v>
      </c>
      <c r="W52" s="3"/>
      <c r="X52" s="7">
        <f t="shared" si="44"/>
        <v>1114.55</v>
      </c>
      <c r="Y52" s="3"/>
      <c r="Z52" s="8">
        <f t="shared" si="45"/>
        <v>0</v>
      </c>
    </row>
    <row r="53" spans="1:26" s="29" customFormat="1" outlineLevel="1" collapsed="1" x14ac:dyDescent="0.25">
      <c r="A53" s="28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1943</v>
      </c>
      <c r="I53" s="1"/>
      <c r="J53" s="5">
        <f t="shared" si="39"/>
        <v>0</v>
      </c>
      <c r="K53" s="1"/>
      <c r="L53" s="1">
        <f t="shared" si="40"/>
        <v>-1943</v>
      </c>
      <c r="M53" s="1"/>
      <c r="N53" s="5">
        <f t="shared" si="41"/>
        <v>-1</v>
      </c>
      <c r="O53" s="14"/>
      <c r="P53" s="1">
        <f>SUM(OSRRefP22_7x_0)</f>
        <v>0</v>
      </c>
      <c r="Q53" s="1"/>
      <c r="R53" s="5">
        <f t="shared" si="42"/>
        <v>0</v>
      </c>
      <c r="S53" s="1"/>
      <c r="T53" s="1">
        <f>SUM(OSRRefT22_7x_0)</f>
        <v>1943</v>
      </c>
      <c r="U53" s="1"/>
      <c r="V53" s="5">
        <f t="shared" si="43"/>
        <v>0</v>
      </c>
      <c r="W53" s="1"/>
      <c r="X53" s="1">
        <f t="shared" si="44"/>
        <v>-1943</v>
      </c>
      <c r="Y53" s="1"/>
      <c r="Z53" s="5">
        <f t="shared" si="45"/>
        <v>-1</v>
      </c>
    </row>
    <row r="54" spans="1:26" s="24" customFormat="1" hidden="1" outlineLevel="2" x14ac:dyDescent="0.25">
      <c r="A54" s="27"/>
      <c r="B54" s="12" t="str">
        <f>CONCATENATE("          ", "6273", " - ", "RENT")</f>
        <v xml:space="preserve">          6273 - RENT</v>
      </c>
      <c r="C54" s="12"/>
      <c r="D54" s="7"/>
      <c r="E54" s="3"/>
      <c r="F54" s="8">
        <f t="shared" si="38"/>
        <v>0</v>
      </c>
      <c r="G54" s="3"/>
      <c r="H54" s="7">
        <v>1943</v>
      </c>
      <c r="I54" s="3"/>
      <c r="J54" s="8">
        <f t="shared" si="39"/>
        <v>0</v>
      </c>
      <c r="K54" s="3"/>
      <c r="L54" s="7">
        <f t="shared" si="40"/>
        <v>-1943</v>
      </c>
      <c r="M54" s="3"/>
      <c r="N54" s="8">
        <f t="shared" si="41"/>
        <v>-1</v>
      </c>
      <c r="O54" s="12"/>
      <c r="P54" s="7"/>
      <c r="Q54" s="3"/>
      <c r="R54" s="8">
        <f t="shared" si="42"/>
        <v>0</v>
      </c>
      <c r="S54" s="3"/>
      <c r="T54" s="7">
        <v>1943</v>
      </c>
      <c r="U54" s="3"/>
      <c r="V54" s="8">
        <f t="shared" si="43"/>
        <v>0</v>
      </c>
      <c r="W54" s="3"/>
      <c r="X54" s="7">
        <f t="shared" si="44"/>
        <v>-1943</v>
      </c>
      <c r="Y54" s="3"/>
      <c r="Z54" s="8">
        <f t="shared" si="45"/>
        <v>-1</v>
      </c>
    </row>
    <row r="55" spans="1:26" s="29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SUM(OSRRefP22_8x_0)</f>
        <v>0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0</v>
      </c>
      <c r="Y55" s="1"/>
      <c r="Z55" s="5">
        <f t="shared" si="45"/>
        <v>0</v>
      </c>
    </row>
    <row r="56" spans="1:26" s="24" customFormat="1" hidden="1" outlineLevel="2" x14ac:dyDescent="0.25">
      <c r="A56" s="27"/>
      <c r="B56" s="12" t="str">
        <f>CONCATENATE("          ", "6373", " - ", "MAINTENANCE CONTRACTS")</f>
        <v xml:space="preserve">          6373 - MAINTENANCE CONTRACTS</v>
      </c>
      <c r="C56" s="12"/>
      <c r="D56" s="7"/>
      <c r="E56" s="3"/>
      <c r="F56" s="8">
        <f t="shared" si="38"/>
        <v>0</v>
      </c>
      <c r="G56" s="3"/>
      <c r="H56" s="7">
        <v>0</v>
      </c>
      <c r="I56" s="3"/>
      <c r="J56" s="8">
        <f t="shared" si="39"/>
        <v>0</v>
      </c>
      <c r="K56" s="3"/>
      <c r="L56" s="7">
        <f t="shared" si="40"/>
        <v>0</v>
      </c>
      <c r="M56" s="3"/>
      <c r="N56" s="8">
        <f t="shared" si="41"/>
        <v>0</v>
      </c>
      <c r="O56" s="12"/>
      <c r="P56" s="7"/>
      <c r="Q56" s="3"/>
      <c r="R56" s="8">
        <f t="shared" si="42"/>
        <v>0</v>
      </c>
      <c r="S56" s="3"/>
      <c r="T56" s="7">
        <v>0</v>
      </c>
      <c r="U56" s="3"/>
      <c r="V56" s="8">
        <f t="shared" si="43"/>
        <v>0</v>
      </c>
      <c r="W56" s="3"/>
      <c r="X56" s="7">
        <f t="shared" si="44"/>
        <v>0</v>
      </c>
      <c r="Y56" s="3"/>
      <c r="Z56" s="8">
        <f t="shared" si="45"/>
        <v>0</v>
      </c>
    </row>
    <row r="57" spans="1:26" s="24" customFormat="1" hidden="1" outlineLevel="2" x14ac:dyDescent="0.25">
      <c r="A57" s="27"/>
      <c r="B57" s="12" t="str">
        <f>CONCATENATE("          ", "6375", " - ", "OUTSIDE REPAIRS &amp; MAINTENANCE")</f>
        <v xml:space="preserve">          6375 - OUTSIDE REPAIRS &amp; MAINTENANCE</v>
      </c>
      <c r="C57" s="12"/>
      <c r="D57" s="7"/>
      <c r="E57" s="3"/>
      <c r="F57" s="8">
        <f t="shared" si="38"/>
        <v>0</v>
      </c>
      <c r="G57" s="3"/>
      <c r="H57" s="7">
        <v>0</v>
      </c>
      <c r="I57" s="3"/>
      <c r="J57" s="8">
        <f t="shared" si="39"/>
        <v>0</v>
      </c>
      <c r="K57" s="3"/>
      <c r="L57" s="7">
        <f t="shared" si="40"/>
        <v>0</v>
      </c>
      <c r="M57" s="3"/>
      <c r="N57" s="8">
        <f t="shared" si="41"/>
        <v>0</v>
      </c>
      <c r="O57" s="12"/>
      <c r="P57" s="7"/>
      <c r="Q57" s="3"/>
      <c r="R57" s="8">
        <f t="shared" si="42"/>
        <v>0</v>
      </c>
      <c r="S57" s="3"/>
      <c r="T57" s="7">
        <v>0</v>
      </c>
      <c r="U57" s="3"/>
      <c r="V57" s="8">
        <f t="shared" si="43"/>
        <v>0</v>
      </c>
      <c r="W57" s="3"/>
      <c r="X57" s="7">
        <f t="shared" si="44"/>
        <v>0</v>
      </c>
      <c r="Y57" s="3"/>
      <c r="Z57" s="8">
        <f t="shared" si="45"/>
        <v>0</v>
      </c>
    </row>
    <row r="58" spans="1:26" s="29" customFormat="1" outlineLevel="1" collapsed="1" x14ac:dyDescent="0.25">
      <c r="A58" s="28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SUM(OSRRefD22_9x_0)</f>
        <v>0</v>
      </c>
      <c r="E58" s="1"/>
      <c r="F58" s="5">
        <f t="shared" ref="F58:F62" si="46">IF(D$12=0,0,D58/D$12)</f>
        <v>0</v>
      </c>
      <c r="G58" s="1"/>
      <c r="H58" s="1">
        <f>SUM(OSRRefH22_9x_0)</f>
        <v>0</v>
      </c>
      <c r="I58" s="1"/>
      <c r="J58" s="5">
        <f t="shared" ref="J58:J62" si="47">IF(H$12=0,0,H58/H$12)</f>
        <v>0</v>
      </c>
      <c r="K58" s="1"/>
      <c r="L58" s="1">
        <f t="shared" ref="L58:L62" si="48">+D58-H58</f>
        <v>0</v>
      </c>
      <c r="M58" s="1"/>
      <c r="N58" s="5">
        <f t="shared" ref="N58:N62" si="49">IF(H58=0,0,L58/H58)</f>
        <v>0</v>
      </c>
      <c r="O58" s="14"/>
      <c r="P58" s="1">
        <f>SUM(OSRRefP22_9x_0)</f>
        <v>0</v>
      </c>
      <c r="Q58" s="1"/>
      <c r="R58" s="5">
        <f t="shared" ref="R58:R62" si="50">IF(P$12=0,0,P58/P$12)</f>
        <v>0</v>
      </c>
      <c r="S58" s="1"/>
      <c r="T58" s="1">
        <f>SUM(OSRRefT22_9x_0)</f>
        <v>0</v>
      </c>
      <c r="U58" s="1"/>
      <c r="V58" s="5">
        <f t="shared" ref="V58:V62" si="51">IF(T$12=0,0,T58/T$12)</f>
        <v>0</v>
      </c>
      <c r="W58" s="1"/>
      <c r="X58" s="1">
        <f t="shared" ref="X58:X62" si="52">+P58-T58</f>
        <v>0</v>
      </c>
      <c r="Y58" s="1"/>
      <c r="Z58" s="5">
        <f t="shared" ref="Z58:Z62" si="53">IF(T58=0,0,X58/T58)</f>
        <v>0</v>
      </c>
    </row>
    <row r="59" spans="1:26" s="24" customFormat="1" hidden="1" outlineLevel="2" x14ac:dyDescent="0.25">
      <c r="A59" s="27"/>
      <c r="B59" s="12" t="str">
        <f>CONCATENATE("          ", "6282", " - ", "JANITORIAL/EXTERMINATOR EXPENS")</f>
        <v xml:space="preserve">          6282 - JANITORIAL/EXTERMINATOR EXPENS</v>
      </c>
      <c r="C59" s="12"/>
      <c r="D59" s="7"/>
      <c r="E59" s="3"/>
      <c r="F59" s="8">
        <f t="shared" si="46"/>
        <v>0</v>
      </c>
      <c r="G59" s="3"/>
      <c r="H59" s="7">
        <v>0</v>
      </c>
      <c r="I59" s="3"/>
      <c r="J59" s="8">
        <f t="shared" si="47"/>
        <v>0</v>
      </c>
      <c r="K59" s="3"/>
      <c r="L59" s="7">
        <f t="shared" si="48"/>
        <v>0</v>
      </c>
      <c r="M59" s="3"/>
      <c r="N59" s="8">
        <f t="shared" si="49"/>
        <v>0</v>
      </c>
      <c r="O59" s="12"/>
      <c r="P59" s="7"/>
      <c r="Q59" s="3"/>
      <c r="R59" s="8">
        <f t="shared" si="50"/>
        <v>0</v>
      </c>
      <c r="S59" s="3"/>
      <c r="T59" s="7">
        <v>0</v>
      </c>
      <c r="U59" s="3"/>
      <c r="V59" s="8">
        <f t="shared" si="51"/>
        <v>0</v>
      </c>
      <c r="W59" s="3"/>
      <c r="X59" s="7">
        <f t="shared" si="52"/>
        <v>0</v>
      </c>
      <c r="Y59" s="3"/>
      <c r="Z59" s="8">
        <f t="shared" si="53"/>
        <v>0</v>
      </c>
    </row>
    <row r="60" spans="1:26" s="24" customFormat="1" hidden="1" outlineLevel="2" x14ac:dyDescent="0.25">
      <c r="A60" s="27"/>
      <c r="B60" s="12" t="str">
        <f>CONCATENATE("          ", "6284", " - ", "TRASH REMOVAL EXPENSE")</f>
        <v xml:space="preserve">          6284 - TRASH REMOVAL EXPENSE</v>
      </c>
      <c r="C60" s="12"/>
      <c r="D60" s="7"/>
      <c r="E60" s="3"/>
      <c r="F60" s="8">
        <f t="shared" si="46"/>
        <v>0</v>
      </c>
      <c r="G60" s="3"/>
      <c r="H60" s="7">
        <v>0</v>
      </c>
      <c r="I60" s="3"/>
      <c r="J60" s="8">
        <f t="shared" si="47"/>
        <v>0</v>
      </c>
      <c r="K60" s="3"/>
      <c r="L60" s="7">
        <f t="shared" si="48"/>
        <v>0</v>
      </c>
      <c r="M60" s="3"/>
      <c r="N60" s="8">
        <f t="shared" si="49"/>
        <v>0</v>
      </c>
      <c r="O60" s="12"/>
      <c r="P60" s="7"/>
      <c r="Q60" s="3"/>
      <c r="R60" s="8">
        <f t="shared" si="50"/>
        <v>0</v>
      </c>
      <c r="S60" s="3"/>
      <c r="T60" s="7">
        <v>0</v>
      </c>
      <c r="U60" s="3"/>
      <c r="V60" s="8">
        <f t="shared" si="51"/>
        <v>0</v>
      </c>
      <c r="W60" s="3"/>
      <c r="X60" s="7">
        <f t="shared" si="52"/>
        <v>0</v>
      </c>
      <c r="Y60" s="3"/>
      <c r="Z60" s="8">
        <f t="shared" si="53"/>
        <v>0</v>
      </c>
    </row>
    <row r="61" spans="1:26" s="24" customFormat="1" hidden="1" outlineLevel="2" x14ac:dyDescent="0.25">
      <c r="A61" s="27"/>
      <c r="B61" s="12" t="str">
        <f>CONCATENATE("          ", "6285", " - ", "JANITORIAL SERVICES")</f>
        <v xml:space="preserve">          6285 - JANITORIAL SERVICES</v>
      </c>
      <c r="C61" s="12"/>
      <c r="D61" s="7"/>
      <c r="E61" s="3"/>
      <c r="F61" s="8">
        <f t="shared" si="46"/>
        <v>0</v>
      </c>
      <c r="G61" s="3"/>
      <c r="H61" s="7">
        <v>0</v>
      </c>
      <c r="I61" s="3"/>
      <c r="J61" s="8">
        <f t="shared" si="47"/>
        <v>0</v>
      </c>
      <c r="K61" s="3"/>
      <c r="L61" s="7">
        <f t="shared" si="48"/>
        <v>0</v>
      </c>
      <c r="M61" s="3"/>
      <c r="N61" s="8">
        <f t="shared" si="49"/>
        <v>0</v>
      </c>
      <c r="O61" s="12"/>
      <c r="P61" s="7"/>
      <c r="Q61" s="3"/>
      <c r="R61" s="8">
        <f t="shared" si="50"/>
        <v>0</v>
      </c>
      <c r="S61" s="3"/>
      <c r="T61" s="7">
        <v>0</v>
      </c>
      <c r="U61" s="3"/>
      <c r="V61" s="8">
        <f t="shared" si="51"/>
        <v>0</v>
      </c>
      <c r="W61" s="3"/>
      <c r="X61" s="7">
        <f t="shared" si="52"/>
        <v>0</v>
      </c>
      <c r="Y61" s="3"/>
      <c r="Z61" s="8">
        <f t="shared" si="53"/>
        <v>0</v>
      </c>
    </row>
    <row r="62" spans="1:26" s="24" customFormat="1" hidden="1" outlineLevel="2" x14ac:dyDescent="0.25">
      <c r="A62" s="27"/>
      <c r="B62" s="12" t="str">
        <f>CONCATENATE("          ", "6286", " - ", "LAUNDRY EXPENSE")</f>
        <v xml:space="preserve">          6286 - LAUNDRY EXPENSE</v>
      </c>
      <c r="C62" s="12"/>
      <c r="D62" s="7"/>
      <c r="E62" s="3"/>
      <c r="F62" s="8">
        <f t="shared" si="46"/>
        <v>0</v>
      </c>
      <c r="G62" s="3"/>
      <c r="H62" s="7">
        <v>0</v>
      </c>
      <c r="I62" s="3"/>
      <c r="J62" s="8">
        <f t="shared" si="47"/>
        <v>0</v>
      </c>
      <c r="K62" s="3"/>
      <c r="L62" s="7">
        <f t="shared" si="48"/>
        <v>0</v>
      </c>
      <c r="M62" s="3"/>
      <c r="N62" s="8">
        <f t="shared" si="49"/>
        <v>0</v>
      </c>
      <c r="O62" s="12"/>
      <c r="P62" s="7"/>
      <c r="Q62" s="3"/>
      <c r="R62" s="8">
        <f t="shared" si="50"/>
        <v>0</v>
      </c>
      <c r="S62" s="3"/>
      <c r="T62" s="7">
        <v>0</v>
      </c>
      <c r="U62" s="3"/>
      <c r="V62" s="8">
        <f t="shared" si="51"/>
        <v>0</v>
      </c>
      <c r="W62" s="3"/>
      <c r="X62" s="7">
        <f t="shared" si="52"/>
        <v>0</v>
      </c>
      <c r="Y62" s="3"/>
      <c r="Z62" s="8">
        <f t="shared" si="53"/>
        <v>0</v>
      </c>
    </row>
    <row r="63" spans="1:26" s="29" customFormat="1" outlineLevel="1" collapsed="1" x14ac:dyDescent="0.25">
      <c r="A63" s="28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SUM(OSRRefD22_10x_0)</f>
        <v>0</v>
      </c>
      <c r="E63" s="1"/>
      <c r="F63" s="5">
        <f t="shared" ref="F63:F74" si="54">IF(D$12=0,0,D63/D$12)</f>
        <v>0</v>
      </c>
      <c r="G63" s="1"/>
      <c r="H63" s="1">
        <f>SUM(OSRRefH22_10x_0)</f>
        <v>0</v>
      </c>
      <c r="I63" s="1"/>
      <c r="J63" s="5">
        <f t="shared" ref="J63:J74" si="55">IF(H$12=0,0,H63/H$12)</f>
        <v>0</v>
      </c>
      <c r="K63" s="1"/>
      <c r="L63" s="1">
        <f t="shared" ref="L63:L74" si="56">+D63-H63</f>
        <v>0</v>
      </c>
      <c r="M63" s="1"/>
      <c r="N63" s="5">
        <f t="shared" ref="N63:N74" si="57">IF(H63=0,0,L63/H63)</f>
        <v>0</v>
      </c>
      <c r="O63" s="14"/>
      <c r="P63" s="1">
        <f>SUM(OSRRefP22_10x_0)</f>
        <v>0</v>
      </c>
      <c r="Q63" s="1"/>
      <c r="R63" s="5">
        <f t="shared" ref="R63:R74" si="58">IF(P$12=0,0,P63/P$12)</f>
        <v>0</v>
      </c>
      <c r="S63" s="1"/>
      <c r="T63" s="1">
        <f>SUM(OSRRefT22_10x_0)</f>
        <v>0</v>
      </c>
      <c r="U63" s="1"/>
      <c r="V63" s="5">
        <f t="shared" ref="V63:V74" si="59">IF(T$12=0,0,T63/T$12)</f>
        <v>0</v>
      </c>
      <c r="W63" s="1"/>
      <c r="X63" s="1">
        <f t="shared" ref="X63:X74" si="60">+P63-T63</f>
        <v>0</v>
      </c>
      <c r="Y63" s="1"/>
      <c r="Z63" s="5">
        <f t="shared" ref="Z63:Z74" si="61">IF(T63=0,0,X63/T63)</f>
        <v>0</v>
      </c>
    </row>
    <row r="64" spans="1:26" s="24" customFormat="1" hidden="1" outlineLevel="2" x14ac:dyDescent="0.25">
      <c r="A64" s="27"/>
      <c r="B64" s="12" t="str">
        <f>CONCATENATE("          ", "6275", " - ", "SUBSCRIPTIONS")</f>
        <v xml:space="preserve">          6275 - SUBSCRIPTIONS</v>
      </c>
      <c r="C64" s="12"/>
      <c r="D64" s="7"/>
      <c r="E64" s="3"/>
      <c r="F64" s="8">
        <f t="shared" si="54"/>
        <v>0</v>
      </c>
      <c r="G64" s="3"/>
      <c r="H64" s="7">
        <v>0</v>
      </c>
      <c r="I64" s="3"/>
      <c r="J64" s="8">
        <f t="shared" si="55"/>
        <v>0</v>
      </c>
      <c r="K64" s="3"/>
      <c r="L64" s="7">
        <f t="shared" si="56"/>
        <v>0</v>
      </c>
      <c r="M64" s="3"/>
      <c r="N64" s="8">
        <f t="shared" si="57"/>
        <v>0</v>
      </c>
      <c r="O64" s="12"/>
      <c r="P64" s="7"/>
      <c r="Q64" s="3"/>
      <c r="R64" s="8">
        <f t="shared" si="58"/>
        <v>0</v>
      </c>
      <c r="S64" s="3"/>
      <c r="T64" s="7">
        <v>0</v>
      </c>
      <c r="U64" s="3"/>
      <c r="V64" s="8">
        <f t="shared" si="59"/>
        <v>0</v>
      </c>
      <c r="W64" s="3"/>
      <c r="X64" s="7">
        <f t="shared" si="60"/>
        <v>0</v>
      </c>
      <c r="Y64" s="3"/>
      <c r="Z64" s="8">
        <f t="shared" si="61"/>
        <v>0</v>
      </c>
    </row>
    <row r="65" spans="1:26" s="29" customFormat="1" outlineLevel="1" collapsed="1" x14ac:dyDescent="0.25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SUM(OSRRefD22_11x_0)</f>
        <v>0</v>
      </c>
      <c r="E65" s="1"/>
      <c r="F65" s="5">
        <f t="shared" si="54"/>
        <v>0</v>
      </c>
      <c r="G65" s="1"/>
      <c r="H65" s="1">
        <f>SUM(OSRRefH22_11x_0)</f>
        <v>0</v>
      </c>
      <c r="I65" s="1"/>
      <c r="J65" s="5">
        <f t="shared" si="55"/>
        <v>0</v>
      </c>
      <c r="K65" s="1"/>
      <c r="L65" s="1">
        <f t="shared" si="56"/>
        <v>0</v>
      </c>
      <c r="M65" s="1"/>
      <c r="N65" s="5">
        <f t="shared" si="57"/>
        <v>0</v>
      </c>
      <c r="O65" s="14"/>
      <c r="P65" s="1">
        <f>SUM(OSRRefP22_11x_0)</f>
        <v>0</v>
      </c>
      <c r="Q65" s="1"/>
      <c r="R65" s="5">
        <f t="shared" si="58"/>
        <v>0</v>
      </c>
      <c r="S65" s="1"/>
      <c r="T65" s="1">
        <f>SUM(OSRRefT22_11x_0)</f>
        <v>0</v>
      </c>
      <c r="U65" s="1"/>
      <c r="V65" s="5">
        <f t="shared" si="59"/>
        <v>0</v>
      </c>
      <c r="W65" s="1"/>
      <c r="X65" s="1">
        <f t="shared" si="60"/>
        <v>0</v>
      </c>
      <c r="Y65" s="1"/>
      <c r="Z65" s="5">
        <f t="shared" si="61"/>
        <v>0</v>
      </c>
    </row>
    <row r="66" spans="1:26" s="24" customFormat="1" hidden="1" outlineLevel="2" x14ac:dyDescent="0.25">
      <c r="A66" s="27"/>
      <c r="B66" s="12" t="str">
        <f>CONCATENATE("          ", "6235", " - ", "COVID-19 EXPENSES")</f>
        <v xml:space="preserve">          6235 - COVID-19 EXPENSES</v>
      </c>
      <c r="C66" s="12"/>
      <c r="D66" s="7"/>
      <c r="E66" s="3"/>
      <c r="F66" s="8">
        <f t="shared" si="54"/>
        <v>0</v>
      </c>
      <c r="G66" s="3"/>
      <c r="H66" s="7">
        <v>0</v>
      </c>
      <c r="I66" s="3"/>
      <c r="J66" s="8">
        <f t="shared" si="55"/>
        <v>0</v>
      </c>
      <c r="K66" s="3"/>
      <c r="L66" s="7">
        <f t="shared" si="56"/>
        <v>0</v>
      </c>
      <c r="M66" s="3"/>
      <c r="N66" s="8">
        <f t="shared" si="57"/>
        <v>0</v>
      </c>
      <c r="O66" s="12"/>
      <c r="P66" s="7"/>
      <c r="Q66" s="3"/>
      <c r="R66" s="8">
        <f t="shared" si="58"/>
        <v>0</v>
      </c>
      <c r="S66" s="3"/>
      <c r="T66" s="7">
        <v>0</v>
      </c>
      <c r="U66" s="3"/>
      <c r="V66" s="8">
        <f t="shared" si="59"/>
        <v>0</v>
      </c>
      <c r="W66" s="3"/>
      <c r="X66" s="7">
        <f t="shared" si="60"/>
        <v>0</v>
      </c>
      <c r="Y66" s="3"/>
      <c r="Z66" s="8">
        <f t="shared" si="61"/>
        <v>0</v>
      </c>
    </row>
    <row r="67" spans="1:26" s="24" customFormat="1" hidden="1" outlineLevel="2" x14ac:dyDescent="0.25">
      <c r="A67" s="27"/>
      <c r="B67" s="12" t="str">
        <f>CONCATENATE("          ", "6237", " - ", "JANITORIAL SUPPLIES")</f>
        <v xml:space="preserve">          6237 - JANITORIAL SUPPLIES</v>
      </c>
      <c r="C67" s="12"/>
      <c r="D67" s="7"/>
      <c r="E67" s="3"/>
      <c r="F67" s="8">
        <f t="shared" si="54"/>
        <v>0</v>
      </c>
      <c r="G67" s="3"/>
      <c r="H67" s="7">
        <v>0</v>
      </c>
      <c r="I67" s="3"/>
      <c r="J67" s="8">
        <f t="shared" si="55"/>
        <v>0</v>
      </c>
      <c r="K67" s="3"/>
      <c r="L67" s="7">
        <f t="shared" si="56"/>
        <v>0</v>
      </c>
      <c r="M67" s="3"/>
      <c r="N67" s="8">
        <f t="shared" si="57"/>
        <v>0</v>
      </c>
      <c r="O67" s="12"/>
      <c r="P67" s="7"/>
      <c r="Q67" s="3"/>
      <c r="R67" s="8">
        <f t="shared" si="58"/>
        <v>0</v>
      </c>
      <c r="S67" s="3"/>
      <c r="T67" s="7">
        <v>0</v>
      </c>
      <c r="U67" s="3"/>
      <c r="V67" s="8">
        <f t="shared" si="59"/>
        <v>0</v>
      </c>
      <c r="W67" s="3"/>
      <c r="X67" s="7">
        <f t="shared" si="60"/>
        <v>0</v>
      </c>
      <c r="Y67" s="3"/>
      <c r="Z67" s="8">
        <f t="shared" si="61"/>
        <v>0</v>
      </c>
    </row>
    <row r="68" spans="1:26" s="24" customFormat="1" hidden="1" outlineLevel="2" x14ac:dyDescent="0.25">
      <c r="A68" s="27"/>
      <c r="B68" s="12" t="str">
        <f>CONCATENATE("          ", "6239", " - ", "KITCHEN SUPPLIES")</f>
        <v xml:space="preserve">          6239 - KITCHEN SUPPLIES</v>
      </c>
      <c r="C68" s="12"/>
      <c r="D68" s="7"/>
      <c r="E68" s="3"/>
      <c r="F68" s="8">
        <f t="shared" si="54"/>
        <v>0</v>
      </c>
      <c r="G68" s="3"/>
      <c r="H68" s="7">
        <v>0</v>
      </c>
      <c r="I68" s="3"/>
      <c r="J68" s="8">
        <f t="shared" si="55"/>
        <v>0</v>
      </c>
      <c r="K68" s="3"/>
      <c r="L68" s="7">
        <f t="shared" si="56"/>
        <v>0</v>
      </c>
      <c r="M68" s="3"/>
      <c r="N68" s="8">
        <f t="shared" si="57"/>
        <v>0</v>
      </c>
      <c r="O68" s="12"/>
      <c r="P68" s="7"/>
      <c r="Q68" s="3"/>
      <c r="R68" s="8">
        <f t="shared" si="58"/>
        <v>0</v>
      </c>
      <c r="S68" s="3"/>
      <c r="T68" s="7">
        <v>0</v>
      </c>
      <c r="U68" s="3"/>
      <c r="V68" s="8">
        <f t="shared" si="59"/>
        <v>0</v>
      </c>
      <c r="W68" s="3"/>
      <c r="X68" s="7">
        <f t="shared" si="60"/>
        <v>0</v>
      </c>
      <c r="Y68" s="3"/>
      <c r="Z68" s="8">
        <f t="shared" si="61"/>
        <v>0</v>
      </c>
    </row>
    <row r="69" spans="1:26" s="24" customFormat="1" hidden="1" outlineLevel="2" x14ac:dyDescent="0.25">
      <c r="A69" s="27"/>
      <c r="B69" s="12" t="str">
        <f>CONCATENATE("          ", "6241", " - ", "OFFICE EXPENSE")</f>
        <v xml:space="preserve">          6241 - OFFICE EXPENSE</v>
      </c>
      <c r="C69" s="12"/>
      <c r="D69" s="7"/>
      <c r="E69" s="3"/>
      <c r="F69" s="8">
        <f t="shared" si="54"/>
        <v>0</v>
      </c>
      <c r="G69" s="3"/>
      <c r="H69" s="7">
        <v>0</v>
      </c>
      <c r="I69" s="3"/>
      <c r="J69" s="8">
        <f t="shared" si="55"/>
        <v>0</v>
      </c>
      <c r="K69" s="3"/>
      <c r="L69" s="7">
        <f t="shared" si="56"/>
        <v>0</v>
      </c>
      <c r="M69" s="3"/>
      <c r="N69" s="8">
        <f t="shared" si="57"/>
        <v>0</v>
      </c>
      <c r="O69" s="12"/>
      <c r="P69" s="7"/>
      <c r="Q69" s="3"/>
      <c r="R69" s="8">
        <f t="shared" si="58"/>
        <v>0</v>
      </c>
      <c r="S69" s="3"/>
      <c r="T69" s="7">
        <v>0</v>
      </c>
      <c r="U69" s="3"/>
      <c r="V69" s="8">
        <f t="shared" si="59"/>
        <v>0</v>
      </c>
      <c r="W69" s="3"/>
      <c r="X69" s="7">
        <f t="shared" si="60"/>
        <v>0</v>
      </c>
      <c r="Y69" s="3"/>
      <c r="Z69" s="8">
        <f t="shared" si="61"/>
        <v>0</v>
      </c>
    </row>
    <row r="70" spans="1:26" s="24" customFormat="1" hidden="1" outlineLevel="2" x14ac:dyDescent="0.25">
      <c r="A70" s="27"/>
      <c r="B70" s="12" t="str">
        <f>CONCATENATE("          ", "6243", " - ", "PAPER SUPPLIES")</f>
        <v xml:space="preserve">          6243 - PAPER SUPPLIES</v>
      </c>
      <c r="C70" s="12"/>
      <c r="D70" s="7"/>
      <c r="E70" s="3"/>
      <c r="F70" s="8">
        <f t="shared" si="54"/>
        <v>0</v>
      </c>
      <c r="G70" s="3"/>
      <c r="H70" s="7">
        <v>0</v>
      </c>
      <c r="I70" s="3"/>
      <c r="J70" s="8">
        <f t="shared" si="55"/>
        <v>0</v>
      </c>
      <c r="K70" s="3"/>
      <c r="L70" s="7">
        <f t="shared" si="56"/>
        <v>0</v>
      </c>
      <c r="M70" s="3"/>
      <c r="N70" s="8">
        <f t="shared" si="57"/>
        <v>0</v>
      </c>
      <c r="O70" s="12"/>
      <c r="P70" s="7"/>
      <c r="Q70" s="3"/>
      <c r="R70" s="8">
        <f t="shared" si="58"/>
        <v>0</v>
      </c>
      <c r="S70" s="3"/>
      <c r="T70" s="7">
        <v>0</v>
      </c>
      <c r="U70" s="3"/>
      <c r="V70" s="8">
        <f t="shared" si="59"/>
        <v>0</v>
      </c>
      <c r="W70" s="3"/>
      <c r="X70" s="7">
        <f t="shared" si="60"/>
        <v>0</v>
      </c>
      <c r="Y70" s="3"/>
      <c r="Z70" s="8">
        <f t="shared" si="61"/>
        <v>0</v>
      </c>
    </row>
    <row r="71" spans="1:26" s="24" customFormat="1" hidden="1" outlineLevel="2" x14ac:dyDescent="0.25">
      <c r="A71" s="27"/>
      <c r="B71" s="12" t="str">
        <f>CONCATENATE("          ", "6245", " - ", "PRINTING")</f>
        <v xml:space="preserve">          6245 - PRINTING</v>
      </c>
      <c r="C71" s="12"/>
      <c r="D71" s="7"/>
      <c r="E71" s="3"/>
      <c r="F71" s="8">
        <f t="shared" si="54"/>
        <v>0</v>
      </c>
      <c r="G71" s="3"/>
      <c r="H71" s="7">
        <v>0</v>
      </c>
      <c r="I71" s="3"/>
      <c r="J71" s="8">
        <f t="shared" si="55"/>
        <v>0</v>
      </c>
      <c r="K71" s="3"/>
      <c r="L71" s="7">
        <f t="shared" si="56"/>
        <v>0</v>
      </c>
      <c r="M71" s="3"/>
      <c r="N71" s="8">
        <f t="shared" si="57"/>
        <v>0</v>
      </c>
      <c r="O71" s="12"/>
      <c r="P71" s="7"/>
      <c r="Q71" s="3"/>
      <c r="R71" s="8">
        <f t="shared" si="58"/>
        <v>0</v>
      </c>
      <c r="S71" s="3"/>
      <c r="T71" s="7">
        <v>0</v>
      </c>
      <c r="U71" s="3"/>
      <c r="V71" s="8">
        <f t="shared" si="59"/>
        <v>0</v>
      </c>
      <c r="W71" s="3"/>
      <c r="X71" s="7">
        <f t="shared" si="60"/>
        <v>0</v>
      </c>
      <c r="Y71" s="3"/>
      <c r="Z71" s="8">
        <f t="shared" si="61"/>
        <v>0</v>
      </c>
    </row>
    <row r="72" spans="1:26" s="24" customFormat="1" hidden="1" outlineLevel="2" x14ac:dyDescent="0.25">
      <c r="A72" s="27"/>
      <c r="B72" s="12" t="str">
        <f>CONCATENATE("          ", "6246", " - ", "REPLACEMENTS")</f>
        <v xml:space="preserve">          6246 - REPLACEMENTS</v>
      </c>
      <c r="C72" s="12"/>
      <c r="D72" s="7"/>
      <c r="E72" s="3"/>
      <c r="F72" s="8">
        <f t="shared" si="54"/>
        <v>0</v>
      </c>
      <c r="G72" s="3"/>
      <c r="H72" s="7">
        <v>0</v>
      </c>
      <c r="I72" s="3"/>
      <c r="J72" s="8">
        <f t="shared" si="55"/>
        <v>0</v>
      </c>
      <c r="K72" s="3"/>
      <c r="L72" s="7">
        <f t="shared" si="56"/>
        <v>0</v>
      </c>
      <c r="M72" s="3"/>
      <c r="N72" s="8">
        <f t="shared" si="57"/>
        <v>0</v>
      </c>
      <c r="O72" s="12"/>
      <c r="P72" s="7"/>
      <c r="Q72" s="3"/>
      <c r="R72" s="8">
        <f t="shared" si="58"/>
        <v>0</v>
      </c>
      <c r="S72" s="3"/>
      <c r="T72" s="7">
        <v>0</v>
      </c>
      <c r="U72" s="3"/>
      <c r="V72" s="8">
        <f t="shared" si="59"/>
        <v>0</v>
      </c>
      <c r="W72" s="3"/>
      <c r="X72" s="7">
        <f t="shared" si="60"/>
        <v>0</v>
      </c>
      <c r="Y72" s="3"/>
      <c r="Z72" s="8">
        <f t="shared" si="61"/>
        <v>0</v>
      </c>
    </row>
    <row r="73" spans="1:26" s="24" customFormat="1" hidden="1" outlineLevel="2" x14ac:dyDescent="0.25">
      <c r="A73" s="27"/>
      <c r="B73" s="12" t="str">
        <f>CONCATENATE("          ", "6247", " - ", "STORE SUPPLIES")</f>
        <v xml:space="preserve">          6247 - STORE SUPPLIES</v>
      </c>
      <c r="C73" s="12"/>
      <c r="D73" s="7"/>
      <c r="E73" s="3"/>
      <c r="F73" s="8">
        <f t="shared" si="54"/>
        <v>0</v>
      </c>
      <c r="G73" s="3"/>
      <c r="H73" s="7">
        <v>0</v>
      </c>
      <c r="I73" s="3"/>
      <c r="J73" s="8">
        <f t="shared" si="55"/>
        <v>0</v>
      </c>
      <c r="K73" s="3"/>
      <c r="L73" s="7">
        <f t="shared" si="56"/>
        <v>0</v>
      </c>
      <c r="M73" s="3"/>
      <c r="N73" s="8">
        <f t="shared" si="57"/>
        <v>0</v>
      </c>
      <c r="O73" s="12"/>
      <c r="P73" s="7"/>
      <c r="Q73" s="3"/>
      <c r="R73" s="8">
        <f t="shared" si="58"/>
        <v>0</v>
      </c>
      <c r="S73" s="3"/>
      <c r="T73" s="7">
        <v>0</v>
      </c>
      <c r="U73" s="3"/>
      <c r="V73" s="8">
        <f t="shared" si="59"/>
        <v>0</v>
      </c>
      <c r="W73" s="3"/>
      <c r="X73" s="7">
        <f t="shared" si="60"/>
        <v>0</v>
      </c>
      <c r="Y73" s="3"/>
      <c r="Z73" s="8">
        <f t="shared" si="61"/>
        <v>0</v>
      </c>
    </row>
    <row r="74" spans="1:26" s="24" customFormat="1" hidden="1" outlineLevel="2" x14ac:dyDescent="0.25">
      <c r="A74" s="27"/>
      <c r="B74" s="12" t="str">
        <f>CONCATENATE("          ", "6248", " - ", "UNIFORMS")</f>
        <v xml:space="preserve">          6248 - UNIFORMS</v>
      </c>
      <c r="C74" s="12"/>
      <c r="D74" s="7"/>
      <c r="E74" s="3"/>
      <c r="F74" s="8">
        <f t="shared" si="54"/>
        <v>0</v>
      </c>
      <c r="G74" s="3"/>
      <c r="H74" s="7">
        <v>0</v>
      </c>
      <c r="I74" s="3"/>
      <c r="J74" s="8">
        <f t="shared" si="55"/>
        <v>0</v>
      </c>
      <c r="K74" s="3"/>
      <c r="L74" s="7">
        <f t="shared" si="56"/>
        <v>0</v>
      </c>
      <c r="M74" s="3"/>
      <c r="N74" s="8">
        <f t="shared" si="57"/>
        <v>0</v>
      </c>
      <c r="O74" s="12"/>
      <c r="P74" s="7"/>
      <c r="Q74" s="3"/>
      <c r="R74" s="8">
        <f t="shared" si="58"/>
        <v>0</v>
      </c>
      <c r="S74" s="3"/>
      <c r="T74" s="7">
        <v>0</v>
      </c>
      <c r="U74" s="3"/>
      <c r="V74" s="8">
        <f t="shared" si="59"/>
        <v>0</v>
      </c>
      <c r="W74" s="3"/>
      <c r="X74" s="7">
        <f t="shared" si="60"/>
        <v>0</v>
      </c>
      <c r="Y74" s="3"/>
      <c r="Z74" s="8">
        <f t="shared" si="61"/>
        <v>0</v>
      </c>
    </row>
    <row r="75" spans="1:26" s="29" customFormat="1" outlineLevel="1" collapsed="1" x14ac:dyDescent="0.25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23</v>
      </c>
      <c r="E75" s="1"/>
      <c r="F75" s="5">
        <f t="shared" ref="F75:F80" si="62">IF(D$12=0,0,D75/D$12)</f>
        <v>0</v>
      </c>
      <c r="G75" s="1"/>
      <c r="H75" s="1">
        <f>SUM(OSRRefH22_12x_0)</f>
        <v>0</v>
      </c>
      <c r="I75" s="1"/>
      <c r="J75" s="5">
        <f t="shared" ref="J75:J80" si="63">IF(H$12=0,0,H75/H$12)</f>
        <v>0</v>
      </c>
      <c r="K75" s="1"/>
      <c r="L75" s="1">
        <f t="shared" ref="L75:L80" si="64">+D75-H75</f>
        <v>23</v>
      </c>
      <c r="M75" s="1"/>
      <c r="N75" s="5">
        <f t="shared" ref="N75:N80" si="65">IF(H75=0,0,L75/H75)</f>
        <v>0</v>
      </c>
      <c r="O75" s="14"/>
      <c r="P75" s="1">
        <f>SUM(OSRRefP22_12x_0)</f>
        <v>23</v>
      </c>
      <c r="Q75" s="1"/>
      <c r="R75" s="5">
        <f t="shared" ref="R75:R80" si="66">IF(P$12=0,0,P75/P$12)</f>
        <v>0</v>
      </c>
      <c r="S75" s="1"/>
      <c r="T75" s="1">
        <f>SUM(OSRRefT22_12x_0)</f>
        <v>0</v>
      </c>
      <c r="U75" s="1"/>
      <c r="V75" s="5">
        <f t="shared" ref="V75:V80" si="67">IF(T$12=0,0,T75/T$12)</f>
        <v>0</v>
      </c>
      <c r="W75" s="1"/>
      <c r="X75" s="1">
        <f t="shared" ref="X75:X80" si="68">+P75-T75</f>
        <v>23</v>
      </c>
      <c r="Y75" s="1"/>
      <c r="Z75" s="5">
        <f t="shared" ref="Z75:Z80" si="69">IF(T75=0,0,X75/T75)</f>
        <v>0</v>
      </c>
    </row>
    <row r="76" spans="1:26" s="24" customFormat="1" hidden="1" outlineLevel="2" x14ac:dyDescent="0.25">
      <c r="A76" s="27"/>
      <c r="B76" s="12" t="str">
        <f>CONCATENATE("          ", "6309", " - ", "TELEPHONE")</f>
        <v xml:space="preserve">          6309 - TELEPHONE</v>
      </c>
      <c r="C76" s="12"/>
      <c r="D76" s="7">
        <v>23</v>
      </c>
      <c r="E76" s="3"/>
      <c r="F76" s="8">
        <f t="shared" si="62"/>
        <v>0</v>
      </c>
      <c r="G76" s="3"/>
      <c r="H76" s="7">
        <v>0</v>
      </c>
      <c r="I76" s="3"/>
      <c r="J76" s="8">
        <f t="shared" si="63"/>
        <v>0</v>
      </c>
      <c r="K76" s="3"/>
      <c r="L76" s="7">
        <f t="shared" si="64"/>
        <v>23</v>
      </c>
      <c r="M76" s="3"/>
      <c r="N76" s="8">
        <f t="shared" si="65"/>
        <v>0</v>
      </c>
      <c r="O76" s="12"/>
      <c r="P76" s="7">
        <v>23</v>
      </c>
      <c r="Q76" s="3"/>
      <c r="R76" s="8">
        <f t="shared" si="66"/>
        <v>0</v>
      </c>
      <c r="S76" s="3"/>
      <c r="T76" s="7">
        <v>0</v>
      </c>
      <c r="U76" s="3"/>
      <c r="V76" s="8">
        <f t="shared" si="67"/>
        <v>0</v>
      </c>
      <c r="W76" s="3"/>
      <c r="X76" s="7">
        <f t="shared" si="68"/>
        <v>23</v>
      </c>
      <c r="Y76" s="3"/>
      <c r="Z76" s="8">
        <f t="shared" si="69"/>
        <v>0</v>
      </c>
    </row>
    <row r="77" spans="1:26" s="29" customFormat="1" outlineLevel="1" collapsed="1" x14ac:dyDescent="0.25">
      <c r="A77" s="28"/>
      <c r="B77" s="14" t="str">
        <f>CONCATENATE("     ","Travel                                            ")</f>
        <v xml:space="preserve">     Travel                                            </v>
      </c>
      <c r="C77" s="14"/>
      <c r="D77" s="1">
        <f>SUM(OSRRefD22_13x_0)</f>
        <v>0</v>
      </c>
      <c r="E77" s="1"/>
      <c r="F77" s="5">
        <f t="shared" si="62"/>
        <v>0</v>
      </c>
      <c r="G77" s="1"/>
      <c r="H77" s="1">
        <f>SUM(OSRRefH22_13x_0)</f>
        <v>0</v>
      </c>
      <c r="I77" s="1"/>
      <c r="J77" s="5">
        <f t="shared" si="63"/>
        <v>0</v>
      </c>
      <c r="K77" s="1"/>
      <c r="L77" s="1">
        <f t="shared" si="64"/>
        <v>0</v>
      </c>
      <c r="M77" s="1"/>
      <c r="N77" s="5">
        <f t="shared" si="65"/>
        <v>0</v>
      </c>
      <c r="O77" s="14"/>
      <c r="P77" s="1">
        <f>SUM(OSRRefP22_13x_0)</f>
        <v>0</v>
      </c>
      <c r="Q77" s="1"/>
      <c r="R77" s="5">
        <f t="shared" si="66"/>
        <v>0</v>
      </c>
      <c r="S77" s="1"/>
      <c r="T77" s="1">
        <f>SUM(OSRRefT22_13x_0)</f>
        <v>0</v>
      </c>
      <c r="U77" s="1"/>
      <c r="V77" s="5">
        <f t="shared" si="67"/>
        <v>0</v>
      </c>
      <c r="W77" s="1"/>
      <c r="X77" s="1">
        <f t="shared" si="68"/>
        <v>0</v>
      </c>
      <c r="Y77" s="1"/>
      <c r="Z77" s="5">
        <f t="shared" si="69"/>
        <v>0</v>
      </c>
    </row>
    <row r="78" spans="1:26" s="24" customFormat="1" hidden="1" outlineLevel="2" x14ac:dyDescent="0.25">
      <c r="A78" s="27"/>
      <c r="B78" s="12" t="str">
        <f>CONCATENATE("          ", "6292", " - ", "TRAVEL/CONFERENCE")</f>
        <v xml:space="preserve">          6292 - TRAVEL/CONFERENCE</v>
      </c>
      <c r="C78" s="12"/>
      <c r="D78" s="7"/>
      <c r="E78" s="3"/>
      <c r="F78" s="8">
        <f t="shared" si="62"/>
        <v>0</v>
      </c>
      <c r="G78" s="3"/>
      <c r="H78" s="7">
        <v>0</v>
      </c>
      <c r="I78" s="3"/>
      <c r="J78" s="8">
        <f t="shared" si="63"/>
        <v>0</v>
      </c>
      <c r="K78" s="3"/>
      <c r="L78" s="7">
        <f t="shared" si="64"/>
        <v>0</v>
      </c>
      <c r="M78" s="3"/>
      <c r="N78" s="8">
        <f t="shared" si="65"/>
        <v>0</v>
      </c>
      <c r="O78" s="12"/>
      <c r="P78" s="7"/>
      <c r="Q78" s="3"/>
      <c r="R78" s="8">
        <f t="shared" si="66"/>
        <v>0</v>
      </c>
      <c r="S78" s="3"/>
      <c r="T78" s="7">
        <v>0</v>
      </c>
      <c r="U78" s="3"/>
      <c r="V78" s="8">
        <f t="shared" si="67"/>
        <v>0</v>
      </c>
      <c r="W78" s="3"/>
      <c r="X78" s="7">
        <f t="shared" si="68"/>
        <v>0</v>
      </c>
      <c r="Y78" s="3"/>
      <c r="Z78" s="8">
        <f t="shared" si="69"/>
        <v>0</v>
      </c>
    </row>
    <row r="79" spans="1:26" s="29" customFormat="1" outlineLevel="1" collapsed="1" x14ac:dyDescent="0.25">
      <c r="A79" s="28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SUM(OSRRefD22_14x_0)</f>
        <v>0</v>
      </c>
      <c r="E79" s="1"/>
      <c r="F79" s="5">
        <f t="shared" si="62"/>
        <v>0</v>
      </c>
      <c r="G79" s="1"/>
      <c r="H79" s="1">
        <f>SUM(OSRRefH22_14x_0)</f>
        <v>0</v>
      </c>
      <c r="I79" s="1"/>
      <c r="J79" s="5">
        <f t="shared" si="63"/>
        <v>0</v>
      </c>
      <c r="K79" s="1"/>
      <c r="L79" s="1">
        <f t="shared" si="64"/>
        <v>0</v>
      </c>
      <c r="M79" s="1"/>
      <c r="N79" s="5">
        <f t="shared" si="65"/>
        <v>0</v>
      </c>
      <c r="O79" s="14"/>
      <c r="P79" s="1">
        <f>SUM(OSRRefP22_14x_0)</f>
        <v>0</v>
      </c>
      <c r="Q79" s="1"/>
      <c r="R79" s="5">
        <f t="shared" si="66"/>
        <v>0</v>
      </c>
      <c r="S79" s="1"/>
      <c r="T79" s="1">
        <f>SUM(OSRRefT22_14x_0)</f>
        <v>0</v>
      </c>
      <c r="U79" s="1"/>
      <c r="V79" s="5">
        <f t="shared" si="67"/>
        <v>0</v>
      </c>
      <c r="W79" s="1"/>
      <c r="X79" s="1">
        <f t="shared" si="68"/>
        <v>0</v>
      </c>
      <c r="Y79" s="1"/>
      <c r="Z79" s="5">
        <f t="shared" si="69"/>
        <v>0</v>
      </c>
    </row>
    <row r="80" spans="1:26" s="24" customFormat="1" hidden="1" outlineLevel="2" x14ac:dyDescent="0.25">
      <c r="A80" s="27"/>
      <c r="B80" s="12" t="str">
        <f>CONCATENATE("          ", "6274", " - ", "UTILITIES")</f>
        <v xml:space="preserve">          6274 - UTILITIES</v>
      </c>
      <c r="C80" s="12"/>
      <c r="D80" s="7"/>
      <c r="E80" s="3"/>
      <c r="F80" s="8">
        <f t="shared" si="62"/>
        <v>0</v>
      </c>
      <c r="G80" s="3"/>
      <c r="H80" s="7">
        <v>0</v>
      </c>
      <c r="I80" s="3"/>
      <c r="J80" s="8">
        <f t="shared" si="63"/>
        <v>0</v>
      </c>
      <c r="K80" s="3"/>
      <c r="L80" s="7">
        <f t="shared" si="64"/>
        <v>0</v>
      </c>
      <c r="M80" s="3"/>
      <c r="N80" s="8">
        <f t="shared" si="65"/>
        <v>0</v>
      </c>
      <c r="O80" s="12"/>
      <c r="P80" s="7"/>
      <c r="Q80" s="3"/>
      <c r="R80" s="8">
        <f t="shared" si="66"/>
        <v>0</v>
      </c>
      <c r="S80" s="3"/>
      <c r="T80" s="7">
        <v>0</v>
      </c>
      <c r="U80" s="3"/>
      <c r="V80" s="8">
        <f t="shared" si="67"/>
        <v>0</v>
      </c>
      <c r="W80" s="3"/>
      <c r="X80" s="7">
        <f t="shared" si="68"/>
        <v>0</v>
      </c>
      <c r="Y80" s="3"/>
      <c r="Z80" s="8">
        <f t="shared" si="69"/>
        <v>0</v>
      </c>
    </row>
    <row r="81" spans="1:26" s="54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2" customFormat="1" x14ac:dyDescent="0.25">
      <c r="A82" s="10"/>
      <c r="B82" s="26" t="s">
        <v>0</v>
      </c>
      <c r="C82" s="10"/>
      <c r="D82" s="4">
        <f>SUM(0)</f>
        <v>0</v>
      </c>
      <c r="E82" s="4"/>
      <c r="F82" s="11">
        <f>IF(D$12=0,0,D82/D$12)</f>
        <v>0</v>
      </c>
      <c r="G82" s="4"/>
      <c r="H82" s="4">
        <f>SUM(0)</f>
        <v>0</v>
      </c>
      <c r="I82" s="4"/>
      <c r="J82" s="11">
        <f>IF(H$12=0,0,H82/H$12)</f>
        <v>0</v>
      </c>
      <c r="K82" s="4"/>
      <c r="L82" s="4">
        <f>+D82-H82</f>
        <v>0</v>
      </c>
      <c r="M82" s="4"/>
      <c r="N82" s="11">
        <f>IF(H82=0,0,L82/H82)</f>
        <v>0</v>
      </c>
      <c r="O82" s="10"/>
      <c r="P82" s="4">
        <f>SUM(0)</f>
        <v>0</v>
      </c>
      <c r="Q82" s="4"/>
      <c r="R82" s="11">
        <f>IF(P$12=0,0,P82/P$12)</f>
        <v>0</v>
      </c>
      <c r="S82" s="4"/>
      <c r="T82" s="4">
        <f>SUM(0)</f>
        <v>0</v>
      </c>
      <c r="U82" s="4"/>
      <c r="V82" s="11">
        <f>IF(T$12=0,0,T82/T$12)</f>
        <v>0</v>
      </c>
      <c r="W82" s="4"/>
      <c r="X82" s="4">
        <f>+P82-T82</f>
        <v>0</v>
      </c>
      <c r="Y82" s="4"/>
      <c r="Z82" s="11">
        <f>IF(T82=0,0,X82/T82)</f>
        <v>0</v>
      </c>
    </row>
    <row r="83" spans="1:26" x14ac:dyDescent="0.25">
      <c r="A83" s="9"/>
      <c r="B83" s="10"/>
      <c r="C83" s="10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O83" s="10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22" customFormat="1" x14ac:dyDescent="0.25">
      <c r="A84" s="10"/>
      <c r="B84" s="25" t="s">
        <v>3</v>
      </c>
      <c r="C84" s="25"/>
      <c r="D84" s="21">
        <f>+D19-D21+D82</f>
        <v>-6467.6</v>
      </c>
      <c r="E84" s="13"/>
      <c r="F84" s="20">
        <f>IF(D$12=0,0,D84/D$12)</f>
        <v>0</v>
      </c>
      <c r="G84" s="13"/>
      <c r="H84" s="21">
        <f>+H19-H21+H82</f>
        <v>-7481.333333333333</v>
      </c>
      <c r="I84" s="13"/>
      <c r="J84" s="20">
        <f>IF(H$12=0,0,H84/H$12)</f>
        <v>0</v>
      </c>
      <c r="K84" s="15"/>
      <c r="L84" s="21">
        <f>+D84-H84</f>
        <v>1013.7333333333327</v>
      </c>
      <c r="M84" s="15"/>
      <c r="N84" s="20">
        <f>IF(H84=0,0,L84/H84)</f>
        <v>-0.13550169310283364</v>
      </c>
      <c r="O84" s="26"/>
      <c r="P84" s="21">
        <f>+P19-P21+P82</f>
        <v>-6467.6</v>
      </c>
      <c r="Q84" s="13"/>
      <c r="R84" s="20">
        <f>IF(P$12=0,0,P84/P$12)</f>
        <v>0</v>
      </c>
      <c r="S84" s="13"/>
      <c r="T84" s="21">
        <f>+T19-T21+T82</f>
        <v>-7481.333333333333</v>
      </c>
      <c r="U84" s="13"/>
      <c r="V84" s="20">
        <f>IF(T$12=0,0,T84/T$12)</f>
        <v>0</v>
      </c>
      <c r="W84" s="15"/>
      <c r="X84" s="21">
        <f>+P84-T84</f>
        <v>1013.7333333333327</v>
      </c>
      <c r="Y84" s="15"/>
      <c r="Z84" s="20">
        <f>IF(T84=0,0,X84/T84)</f>
        <v>-0.13550169310283364</v>
      </c>
    </row>
    <row r="85" spans="1:26" x14ac:dyDescent="0.25">
      <c r="A85" s="9"/>
      <c r="B85" s="10"/>
      <c r="C85" s="9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2" customFormat="1" x14ac:dyDescent="0.25">
      <c r="A86" s="52"/>
      <c r="B86" s="10" t="s">
        <v>14</v>
      </c>
      <c r="C86" s="10"/>
      <c r="D86" s="4"/>
      <c r="E86" s="4"/>
      <c r="F86" s="11">
        <f>IF(D$12=0,0,D86/D$12)</f>
        <v>0</v>
      </c>
      <c r="G86" s="4"/>
      <c r="H86" s="4"/>
      <c r="I86" s="4"/>
      <c r="J86" s="11">
        <f>IF(H$12=0,0,H86/H$12)</f>
        <v>0</v>
      </c>
      <c r="K86" s="4"/>
      <c r="L86" s="4">
        <f>+D86-H86</f>
        <v>0</v>
      </c>
      <c r="M86" s="4"/>
      <c r="N86" s="11">
        <f>IF(H86=0,0,L86/H86)</f>
        <v>0</v>
      </c>
      <c r="O86" s="10"/>
      <c r="P86" s="4"/>
      <c r="Q86" s="4"/>
      <c r="R86" s="11">
        <f>IF(P$12=0,0,P86/P$12)</f>
        <v>0</v>
      </c>
      <c r="S86" s="4"/>
      <c r="T86" s="4"/>
      <c r="U86" s="4"/>
      <c r="V86" s="11">
        <f>IF(T$12=0,0,T86/T$12)</f>
        <v>0</v>
      </c>
      <c r="W86" s="4"/>
      <c r="X86" s="4">
        <f>+P86-T86</f>
        <v>0</v>
      </c>
      <c r="Y86" s="4"/>
      <c r="Z86" s="11">
        <f>IF(T86=0,0,X86/T86)</f>
        <v>0</v>
      </c>
    </row>
    <row r="87" spans="1:26" x14ac:dyDescent="0.25">
      <c r="A87" s="9"/>
      <c r="B87" s="10"/>
      <c r="C87" s="10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10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2" customFormat="1" ht="15.75" thickBot="1" x14ac:dyDescent="0.3">
      <c r="A88" s="10"/>
      <c r="B88" s="25" t="s">
        <v>4</v>
      </c>
      <c r="C88" s="25"/>
      <c r="D88" s="34">
        <f>+D84-D86</f>
        <v>-6467.6</v>
      </c>
      <c r="E88" s="13"/>
      <c r="F88" s="30">
        <f>IF(D$12=0,0,D88/D$12)</f>
        <v>0</v>
      </c>
      <c r="G88" s="13"/>
      <c r="H88" s="34">
        <f>+H84-H86</f>
        <v>-7481.333333333333</v>
      </c>
      <c r="I88" s="13"/>
      <c r="J88" s="30">
        <f>IF(H$12=0,0,H88/H$12)</f>
        <v>0</v>
      </c>
      <c r="K88" s="15"/>
      <c r="L88" s="34">
        <f>D88-H88</f>
        <v>1013.7333333333327</v>
      </c>
      <c r="M88" s="15"/>
      <c r="N88" s="30">
        <f>IF(H88=0,0,L88/H88)</f>
        <v>-0.13550169310283364</v>
      </c>
      <c r="O88" s="26"/>
      <c r="P88" s="34">
        <f>+P84-P86</f>
        <v>-6467.6</v>
      </c>
      <c r="Q88" s="13"/>
      <c r="R88" s="30">
        <f>IF(P$12=0,0,P88/P$12)</f>
        <v>0</v>
      </c>
      <c r="S88" s="13"/>
      <c r="T88" s="34">
        <f>+T84-T86</f>
        <v>-7481.333333333333</v>
      </c>
      <c r="U88" s="13"/>
      <c r="V88" s="30">
        <f>IF(T$12=0,0,T88/T$12)</f>
        <v>0</v>
      </c>
      <c r="W88" s="15"/>
      <c r="X88" s="34">
        <f>P88-T88</f>
        <v>1013.7333333333327</v>
      </c>
      <c r="Y88" s="15"/>
      <c r="Z88" s="30">
        <f>IF(T88=0,0,X88/T88)</f>
        <v>-0.13550169310283364</v>
      </c>
    </row>
    <row r="89" spans="1:26" ht="15.75" thickTop="1" x14ac:dyDescent="0.25">
      <c r="A89" s="9"/>
      <c r="B89" s="9"/>
      <c r="C89" s="9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x14ac:dyDescent="0.25">
      <c r="A90" s="9"/>
      <c r="B90" s="9"/>
      <c r="C90" s="9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22" customFormat="1" ht="15.75" thickBot="1" x14ac:dyDescent="0.3">
      <c r="A91" s="10"/>
      <c r="B91" s="25" t="s">
        <v>5</v>
      </c>
      <c r="C91" s="25"/>
      <c r="D91" s="32">
        <f>SUM(D88:D90)</f>
        <v>-6467.6</v>
      </c>
      <c r="E91" s="13"/>
      <c r="F91" s="33">
        <f>IF(D$12=0,0,D91/D$12)</f>
        <v>0</v>
      </c>
      <c r="G91" s="13"/>
      <c r="H91" s="32">
        <f>SUM(H88:H90)</f>
        <v>-7481.333333333333</v>
      </c>
      <c r="I91" s="13"/>
      <c r="J91" s="33">
        <f>IF(H$12=0,0,H91/H$12)</f>
        <v>0</v>
      </c>
      <c r="K91" s="15"/>
      <c r="L91" s="32">
        <f>+D91-H91</f>
        <v>1013.7333333333327</v>
      </c>
      <c r="M91" s="15"/>
      <c r="N91" s="33">
        <f>IF(H91=0,0,L91/H91)</f>
        <v>-0.13550169310283364</v>
      </c>
      <c r="O91" s="26"/>
      <c r="P91" s="32">
        <f>SUM(P88:P90)</f>
        <v>-6467.6</v>
      </c>
      <c r="Q91" s="13"/>
      <c r="R91" s="33">
        <f>IF(P$12=0,0,P91/P$12)</f>
        <v>0</v>
      </c>
      <c r="S91" s="13"/>
      <c r="T91" s="32">
        <f>SUM(T88:T90)</f>
        <v>-7481.333333333333</v>
      </c>
      <c r="U91" s="13"/>
      <c r="V91" s="33">
        <f>IF(T$12=0,0,T91/T$12)</f>
        <v>0</v>
      </c>
      <c r="W91" s="15"/>
      <c r="X91" s="32">
        <f>+P91-T91</f>
        <v>1013.7333333333327</v>
      </c>
      <c r="Y91" s="15"/>
      <c r="Z91" s="33">
        <f>IF(T91=0,0,X91/T91)</f>
        <v>-0.13550169310283364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8">
        <v>44104.686217442133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6" t="s">
        <v>314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2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","406", " - ", "OPA! Greek")</f>
        <v>Department 406 - OPA! Greek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880.36999999999989</v>
      </c>
      <c r="E18" s="19"/>
      <c r="F18" s="31">
        <f t="shared" ref="F18:F26" si="0">IF(D$12=0,0,D18/D$12)</f>
        <v>0</v>
      </c>
      <c r="G18" s="19"/>
      <c r="H18" s="19">
        <f>SUM(OSRRefH22x_0)</f>
        <v>435</v>
      </c>
      <c r="I18" s="19"/>
      <c r="J18" s="31">
        <f t="shared" ref="J18:J26" si="1">IF(H$12=0,0,H18/H$12)</f>
        <v>0</v>
      </c>
      <c r="K18" s="4"/>
      <c r="L18" s="19">
        <f t="shared" ref="L18:L26" si="2">+D18-H18</f>
        <v>445.36999999999989</v>
      </c>
      <c r="M18" s="4"/>
      <c r="N18" s="31">
        <f t="shared" ref="N18:N26" si="3">IF(H18=0,0,L18/H18)</f>
        <v>1.0238390804597699</v>
      </c>
      <c r="O18" s="10"/>
      <c r="P18" s="19">
        <f>SUM(OSRRefP22x_0)</f>
        <v>880.36999999999989</v>
      </c>
      <c r="Q18" s="19"/>
      <c r="R18" s="31">
        <f t="shared" ref="R18:R26" si="4">IF(P$12=0,0,P18/P$12)</f>
        <v>0</v>
      </c>
      <c r="S18" s="19"/>
      <c r="T18" s="19">
        <f>SUM(OSRRefT22x_0)</f>
        <v>435</v>
      </c>
      <c r="U18" s="19"/>
      <c r="V18" s="31">
        <f t="shared" ref="V18:V26" si="5">IF(T$12=0,0,T18/T$12)</f>
        <v>0</v>
      </c>
      <c r="W18" s="4"/>
      <c r="X18" s="19">
        <f t="shared" ref="X18:X26" si="6">+P18-T18</f>
        <v>445.36999999999989</v>
      </c>
      <c r="Y18" s="4"/>
      <c r="Z18" s="31">
        <f t="shared" ref="Z18:Z26" si="7">IF(T18=0,0,X18/T18)</f>
        <v>1.0238390804597699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660.8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660.8</v>
      </c>
      <c r="M19" s="1"/>
      <c r="N19" s="5">
        <f t="shared" si="3"/>
        <v>0</v>
      </c>
      <c r="O19" s="14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2" t="str">
        <f>CONCATENATE("          ", "6113", " - ", "GROUP INSURANCE")</f>
        <v xml:space="preserve">          6113 - GROUP INSURANCE</v>
      </c>
      <c r="C20" s="12"/>
      <c r="D20" s="7">
        <v>660.8</v>
      </c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660.8</v>
      </c>
      <c r="M20" s="3"/>
      <c r="N20" s="8">
        <f t="shared" si="3"/>
        <v>0</v>
      </c>
      <c r="O20" s="12"/>
      <c r="P20" s="7">
        <v>660.8</v>
      </c>
      <c r="Q20" s="3"/>
      <c r="R20" s="8">
        <f t="shared" si="4"/>
        <v>0</v>
      </c>
      <c r="S20" s="3"/>
      <c r="T20" s="7"/>
      <c r="U20" s="3"/>
      <c r="V20" s="8">
        <f t="shared" si="5"/>
        <v>0</v>
      </c>
      <c r="W20" s="3"/>
      <c r="X20" s="7">
        <f t="shared" si="6"/>
        <v>660.8</v>
      </c>
      <c r="Y20" s="3"/>
      <c r="Z20" s="8">
        <f t="shared" si="7"/>
        <v>0</v>
      </c>
    </row>
    <row r="21" spans="1:26" s="29" customFormat="1" outlineLevel="1" collapsed="1" x14ac:dyDescent="0.25">
      <c r="A21" s="28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4"/>
      <c r="P21" s="1">
        <f>SUM(OSRRefP22_1x_0)</f>
        <v>119.55</v>
      </c>
      <c r="Q21" s="1"/>
      <c r="R21" s="5">
        <f t="shared" si="4"/>
        <v>0</v>
      </c>
      <c r="S21" s="1"/>
      <c r="T21" s="1">
        <f>SUM(OSRRefT22_1x_0)</f>
        <v>435</v>
      </c>
      <c r="U21" s="1"/>
      <c r="V21" s="5">
        <f t="shared" si="5"/>
        <v>0</v>
      </c>
      <c r="W21" s="1"/>
      <c r="X21" s="1">
        <f t="shared" si="6"/>
        <v>-315.45</v>
      </c>
      <c r="Y21" s="1"/>
      <c r="Z21" s="5">
        <f t="shared" si="7"/>
        <v>-0.72517241379310338</v>
      </c>
    </row>
    <row r="22" spans="1:26" s="24" customFormat="1" hidden="1" outlineLevel="2" x14ac:dyDescent="0.25">
      <c r="A22" s="27"/>
      <c r="B22" s="12" t="str">
        <f>CONCATENATE("          ", "6322", " - ", "EQUIPMENT DEPRECIATION EXPENSE")</f>
        <v xml:space="preserve">          6322 - EQUIPMENT DEPRECIATION EXPENSE</v>
      </c>
      <c r="C22" s="12"/>
      <c r="D22" s="7">
        <v>119.55</v>
      </c>
      <c r="E22" s="3"/>
      <c r="F22" s="8">
        <f t="shared" si="0"/>
        <v>0</v>
      </c>
      <c r="G22" s="3"/>
      <c r="H22" s="7">
        <v>435</v>
      </c>
      <c r="I22" s="3"/>
      <c r="J22" s="8">
        <f t="shared" si="1"/>
        <v>0</v>
      </c>
      <c r="K22" s="3"/>
      <c r="L22" s="7">
        <f t="shared" si="2"/>
        <v>-315.45</v>
      </c>
      <c r="M22" s="3"/>
      <c r="N22" s="8">
        <f t="shared" si="3"/>
        <v>-0.72517241379310338</v>
      </c>
      <c r="O22" s="12"/>
      <c r="P22" s="7">
        <v>119.55</v>
      </c>
      <c r="Q22" s="3"/>
      <c r="R22" s="8">
        <f t="shared" si="4"/>
        <v>0</v>
      </c>
      <c r="S22" s="3"/>
      <c r="T22" s="7">
        <v>435</v>
      </c>
      <c r="U22" s="3"/>
      <c r="V22" s="8">
        <f t="shared" si="5"/>
        <v>0</v>
      </c>
      <c r="W22" s="3"/>
      <c r="X22" s="7">
        <f t="shared" si="6"/>
        <v>-315.45</v>
      </c>
      <c r="Y22" s="3"/>
      <c r="Z22" s="8">
        <f t="shared" si="7"/>
        <v>-0.72517241379310338</v>
      </c>
    </row>
    <row r="23" spans="1:26" s="29" customFormat="1" outlineLevel="1" collapsed="1" x14ac:dyDescent="0.25">
      <c r="A23" s="28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64.02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64.02</v>
      </c>
      <c r="M23" s="1"/>
      <c r="N23" s="5">
        <f t="shared" si="3"/>
        <v>0</v>
      </c>
      <c r="O23" s="14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7"/>
      <c r="B24" s="12" t="str">
        <f>CONCATENATE("          ", "6351", " - ", "EQUIPMENT RENTAL")</f>
        <v xml:space="preserve">          6351 - EQUIPMENT RENTAL</v>
      </c>
      <c r="C24" s="12"/>
      <c r="D24" s="7">
        <v>64.02</v>
      </c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64.02</v>
      </c>
      <c r="M24" s="3"/>
      <c r="N24" s="8">
        <f t="shared" si="3"/>
        <v>0</v>
      </c>
      <c r="O24" s="12"/>
      <c r="P24" s="7">
        <v>64.02</v>
      </c>
      <c r="Q24" s="3"/>
      <c r="R24" s="8">
        <f t="shared" si="4"/>
        <v>0</v>
      </c>
      <c r="S24" s="3"/>
      <c r="T24" s="7"/>
      <c r="U24" s="3"/>
      <c r="V24" s="8">
        <f t="shared" si="5"/>
        <v>0</v>
      </c>
      <c r="W24" s="3"/>
      <c r="X24" s="7">
        <f t="shared" si="6"/>
        <v>64.02</v>
      </c>
      <c r="Y24" s="3"/>
      <c r="Z24" s="8">
        <f t="shared" si="7"/>
        <v>0</v>
      </c>
    </row>
    <row r="25" spans="1:26" s="29" customFormat="1" outlineLevel="1" collapsed="1" x14ac:dyDescent="0.25">
      <c r="A25" s="28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36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36</v>
      </c>
      <c r="M25" s="1"/>
      <c r="N25" s="5">
        <f t="shared" si="3"/>
        <v>0</v>
      </c>
      <c r="O25" s="14"/>
      <c r="P25" s="1">
        <f>SUM(OSRRefP22_3x_0)</f>
        <v>36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36</v>
      </c>
      <c r="Y25" s="1"/>
      <c r="Z25" s="5">
        <f t="shared" si="7"/>
        <v>0</v>
      </c>
    </row>
    <row r="26" spans="1:26" s="24" customFormat="1" hidden="1" outlineLevel="2" x14ac:dyDescent="0.25">
      <c r="A26" s="27"/>
      <c r="B26" s="12" t="str">
        <f>CONCATENATE("          ", "6309", " - ", "TELEPHONE")</f>
        <v xml:space="preserve">          6309 - TELEPHONE</v>
      </c>
      <c r="C26" s="12"/>
      <c r="D26" s="7">
        <v>36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36</v>
      </c>
      <c r="M26" s="3"/>
      <c r="N26" s="8">
        <f t="shared" si="3"/>
        <v>0</v>
      </c>
      <c r="O26" s="12"/>
      <c r="P26" s="7">
        <v>36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36</v>
      </c>
      <c r="Y26" s="3"/>
      <c r="Z26" s="8">
        <f t="shared" si="7"/>
        <v>0</v>
      </c>
    </row>
    <row r="27" spans="1:26" s="54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2" customFormat="1" x14ac:dyDescent="0.25">
      <c r="A28" s="10"/>
      <c r="B28" s="26" t="s">
        <v>0</v>
      </c>
      <c r="C28" s="10"/>
      <c r="D28" s="4">
        <f>SUM(0)</f>
        <v>0</v>
      </c>
      <c r="E28" s="4"/>
      <c r="F28" s="11">
        <f>IF(D$12=0,0,D28/D$12)</f>
        <v>0</v>
      </c>
      <c r="G28" s="4"/>
      <c r="H28" s="4">
        <f>SUM(0)</f>
        <v>0</v>
      </c>
      <c r="I28" s="4"/>
      <c r="J28" s="11">
        <f>IF(H$12=0,0,H28/H$12)</f>
        <v>0</v>
      </c>
      <c r="K28" s="4"/>
      <c r="L28" s="4">
        <f>+D28-H28</f>
        <v>0</v>
      </c>
      <c r="M28" s="4"/>
      <c r="N28" s="11">
        <f>IF(H28=0,0,L28/H28)</f>
        <v>0</v>
      </c>
      <c r="O28" s="10"/>
      <c r="P28" s="4">
        <f>SUM(0)</f>
        <v>0</v>
      </c>
      <c r="Q28" s="4"/>
      <c r="R28" s="11">
        <f>IF(P$12=0,0,P28/P$12)</f>
        <v>0</v>
      </c>
      <c r="S28" s="4"/>
      <c r="T28" s="4">
        <f>SUM(0)</f>
        <v>0</v>
      </c>
      <c r="U28" s="4"/>
      <c r="V28" s="11">
        <f>IF(T$12=0,0,T28/T$12)</f>
        <v>0</v>
      </c>
      <c r="W28" s="4"/>
      <c r="X28" s="4">
        <f>+P28-T28</f>
        <v>0</v>
      </c>
      <c r="Y28" s="4"/>
      <c r="Z28" s="11">
        <f>IF(T28=0,0,X28/T28)</f>
        <v>0</v>
      </c>
    </row>
    <row r="29" spans="1:26" x14ac:dyDescent="0.25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2" customFormat="1" x14ac:dyDescent="0.25">
      <c r="A30" s="10"/>
      <c r="B30" s="25" t="s">
        <v>3</v>
      </c>
      <c r="C30" s="25"/>
      <c r="D30" s="21">
        <f>+D16-D18+D28</f>
        <v>-880.36999999999989</v>
      </c>
      <c r="E30" s="13"/>
      <c r="F30" s="20">
        <f>IF(D$12=0,0,D30/D$12)</f>
        <v>0</v>
      </c>
      <c r="G30" s="13"/>
      <c r="H30" s="21">
        <f>+H16-H18+H28</f>
        <v>-435</v>
      </c>
      <c r="I30" s="13"/>
      <c r="J30" s="20">
        <f>IF(H$12=0,0,H30/H$12)</f>
        <v>0</v>
      </c>
      <c r="K30" s="15"/>
      <c r="L30" s="21">
        <f>+D30-H30</f>
        <v>-445.36999999999989</v>
      </c>
      <c r="M30" s="15"/>
      <c r="N30" s="20">
        <f>IF(H30=0,0,L30/H30)</f>
        <v>1.0238390804597699</v>
      </c>
      <c r="O30" s="26"/>
      <c r="P30" s="21">
        <f>+P16-P18+P28</f>
        <v>-880.36999999999989</v>
      </c>
      <c r="Q30" s="13"/>
      <c r="R30" s="20">
        <f>IF(P$12=0,0,P30/P$12)</f>
        <v>0</v>
      </c>
      <c r="S30" s="13"/>
      <c r="T30" s="21">
        <f>+T16-T18+T28</f>
        <v>-435</v>
      </c>
      <c r="U30" s="13"/>
      <c r="V30" s="20">
        <f>IF(T$12=0,0,T30/T$12)</f>
        <v>0</v>
      </c>
      <c r="W30" s="15"/>
      <c r="X30" s="21">
        <f>+P30-T30</f>
        <v>-445.36999999999989</v>
      </c>
      <c r="Y30" s="15"/>
      <c r="Z30" s="20">
        <f>IF(T30=0,0,X30/T30)</f>
        <v>1.0238390804597699</v>
      </c>
    </row>
    <row r="31" spans="1:26" x14ac:dyDescent="0.25">
      <c r="A31" s="9"/>
      <c r="B31" s="10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2" customFormat="1" x14ac:dyDescent="0.25">
      <c r="A32" s="52"/>
      <c r="B32" s="10" t="s">
        <v>14</v>
      </c>
      <c r="C32" s="10"/>
      <c r="D32" s="4"/>
      <c r="E32" s="4"/>
      <c r="F32" s="11">
        <f>IF(D$12=0,0,D32/D$12)</f>
        <v>0</v>
      </c>
      <c r="G32" s="4"/>
      <c r="H32" s="4"/>
      <c r="I32" s="4"/>
      <c r="J32" s="11">
        <f>IF(H$12=0,0,H32/H$12)</f>
        <v>0</v>
      </c>
      <c r="K32" s="4"/>
      <c r="L32" s="4">
        <f>+D32-H32</f>
        <v>0</v>
      </c>
      <c r="M32" s="4"/>
      <c r="N32" s="11">
        <f>IF(H32=0,0,L32/H32)</f>
        <v>0</v>
      </c>
      <c r="O32" s="10"/>
      <c r="P32" s="4"/>
      <c r="Q32" s="4"/>
      <c r="R32" s="11">
        <f>IF(P$12=0,0,P32/P$12)</f>
        <v>0</v>
      </c>
      <c r="S32" s="4"/>
      <c r="T32" s="4"/>
      <c r="U32" s="4"/>
      <c r="V32" s="11">
        <f>IF(T$12=0,0,T32/T$12)</f>
        <v>0</v>
      </c>
      <c r="W32" s="4"/>
      <c r="X32" s="4">
        <f>+P32-T32</f>
        <v>0</v>
      </c>
      <c r="Y32" s="4"/>
      <c r="Z32" s="11">
        <f>IF(T32=0,0,X32/T32)</f>
        <v>0</v>
      </c>
    </row>
    <row r="33" spans="1:26" x14ac:dyDescent="0.25">
      <c r="A33" s="9"/>
      <c r="B33" s="10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10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2" customFormat="1" ht="15.75" thickBot="1" x14ac:dyDescent="0.3">
      <c r="A34" s="10"/>
      <c r="B34" s="25" t="s">
        <v>4</v>
      </c>
      <c r="C34" s="25"/>
      <c r="D34" s="34">
        <f>+D30-D32</f>
        <v>-880.36999999999989</v>
      </c>
      <c r="E34" s="13"/>
      <c r="F34" s="30">
        <f>IF(D$12=0,0,D34/D$12)</f>
        <v>0</v>
      </c>
      <c r="G34" s="13"/>
      <c r="H34" s="34">
        <f>+H30-H32</f>
        <v>-435</v>
      </c>
      <c r="I34" s="13"/>
      <c r="J34" s="30">
        <f>IF(H$12=0,0,H34/H$12)</f>
        <v>0</v>
      </c>
      <c r="K34" s="15"/>
      <c r="L34" s="34">
        <f>D34-H34</f>
        <v>-445.36999999999989</v>
      </c>
      <c r="M34" s="15"/>
      <c r="N34" s="30">
        <f>IF(H34=0,0,L34/H34)</f>
        <v>1.0238390804597699</v>
      </c>
      <c r="O34" s="26"/>
      <c r="P34" s="34">
        <f>+P30-P32</f>
        <v>-880.36999999999989</v>
      </c>
      <c r="Q34" s="13"/>
      <c r="R34" s="30">
        <f>IF(P$12=0,0,P34/P$12)</f>
        <v>0</v>
      </c>
      <c r="S34" s="13"/>
      <c r="T34" s="34">
        <f>+T30-T32</f>
        <v>-435</v>
      </c>
      <c r="U34" s="13"/>
      <c r="V34" s="30">
        <f>IF(T$12=0,0,T34/T$12)</f>
        <v>0</v>
      </c>
      <c r="W34" s="15"/>
      <c r="X34" s="34">
        <f>P34-T34</f>
        <v>-445.36999999999989</v>
      </c>
      <c r="Y34" s="15"/>
      <c r="Z34" s="30">
        <f>IF(T34=0,0,X34/T34)</f>
        <v>1.0238390804597699</v>
      </c>
    </row>
    <row r="35" spans="1:26" ht="15.75" thickTop="1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x14ac:dyDescent="0.25">
      <c r="A36" s="9"/>
      <c r="B36" s="9"/>
      <c r="C36" s="9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s="22" customFormat="1" ht="15.75" thickBot="1" x14ac:dyDescent="0.3">
      <c r="A37" s="10"/>
      <c r="B37" s="25" t="s">
        <v>5</v>
      </c>
      <c r="C37" s="25"/>
      <c r="D37" s="32">
        <f>SUM(D34:D36)</f>
        <v>-880.36999999999989</v>
      </c>
      <c r="E37" s="13"/>
      <c r="F37" s="33">
        <f>IF(D$12=0,0,D37/D$12)</f>
        <v>0</v>
      </c>
      <c r="G37" s="13"/>
      <c r="H37" s="32">
        <f>SUM(H34:H36)</f>
        <v>-435</v>
      </c>
      <c r="I37" s="13"/>
      <c r="J37" s="33">
        <f>IF(H$12=0,0,H37/H$12)</f>
        <v>0</v>
      </c>
      <c r="K37" s="15"/>
      <c r="L37" s="32">
        <f>+D37-H37</f>
        <v>-445.36999999999989</v>
      </c>
      <c r="M37" s="15"/>
      <c r="N37" s="33">
        <f>IF(H37=0,0,L37/H37)</f>
        <v>1.0238390804597699</v>
      </c>
      <c r="O37" s="26"/>
      <c r="P37" s="32">
        <f>SUM(P34:P36)</f>
        <v>-880.36999999999989</v>
      </c>
      <c r="Q37" s="13"/>
      <c r="R37" s="33">
        <f>IF(P$12=0,0,P37/P$12)</f>
        <v>0</v>
      </c>
      <c r="S37" s="13"/>
      <c r="T37" s="32">
        <f>SUM(T34:T36)</f>
        <v>-435</v>
      </c>
      <c r="U37" s="13"/>
      <c r="V37" s="33">
        <f>IF(T$12=0,0,T37/T$12)</f>
        <v>0</v>
      </c>
      <c r="W37" s="15"/>
      <c r="X37" s="32">
        <f>+P37-T37</f>
        <v>-445.36999999999989</v>
      </c>
      <c r="Y37" s="15"/>
      <c r="Z37" s="33">
        <f>IF(T37=0,0,X37/T37)</f>
        <v>1.0238390804597699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8">
        <v>44104.686234953704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 t="s">
        <v>314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62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","411", " - ", "University Dining")</f>
        <v>Department 411 - University Dining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30652.21</v>
      </c>
      <c r="E18" s="19"/>
      <c r="F18" s="31">
        <f t="shared" ref="F18:F28" si="0">IF(D$12=0,0,D18/D$12)</f>
        <v>0</v>
      </c>
      <c r="G18" s="19"/>
      <c r="H18" s="19">
        <f>SUM(OSRRefH22x_0)</f>
        <v>17075.076923076922</v>
      </c>
      <c r="I18" s="19"/>
      <c r="J18" s="31">
        <f t="shared" ref="J18:J28" si="1">IF(H$12=0,0,H18/H$12)</f>
        <v>0</v>
      </c>
      <c r="K18" s="4"/>
      <c r="L18" s="19">
        <f t="shared" ref="L18:L28" si="2">+D18-H18</f>
        <v>13577.133076923077</v>
      </c>
      <c r="M18" s="4"/>
      <c r="N18" s="31">
        <f t="shared" ref="N18:N28" si="3">IF(H18=0,0,L18/H18)</f>
        <v>0.79514330378058895</v>
      </c>
      <c r="O18" s="10"/>
      <c r="P18" s="19">
        <f>SUM(OSRRefP22x_0)</f>
        <v>30652.21</v>
      </c>
      <c r="Q18" s="19"/>
      <c r="R18" s="31">
        <f t="shared" ref="R18:R28" si="4">IF(P$12=0,0,P18/P$12)</f>
        <v>0</v>
      </c>
      <c r="S18" s="19"/>
      <c r="T18" s="19">
        <f>SUM(OSRRefT22x_0)</f>
        <v>17075.076923076922</v>
      </c>
      <c r="U18" s="19"/>
      <c r="V18" s="31">
        <f t="shared" ref="V18:V28" si="5">IF(T$12=0,0,T18/T$12)</f>
        <v>0</v>
      </c>
      <c r="W18" s="4"/>
      <c r="X18" s="19">
        <f t="shared" ref="X18:X28" si="6">+P18-T18</f>
        <v>13577.133076923077</v>
      </c>
      <c r="Y18" s="4"/>
      <c r="Z18" s="31">
        <f t="shared" ref="Z18:Z28" si="7">IF(T18=0,0,X18/T18)</f>
        <v>0.79514330378058895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5378.3899999999994</v>
      </c>
      <c r="E19" s="1"/>
      <c r="F19" s="5">
        <f t="shared" si="0"/>
        <v>0</v>
      </c>
      <c r="G19" s="1"/>
      <c r="H19" s="1">
        <f>SUM(OSRRefH22_0x_0)</f>
        <v>3333.0769230769201</v>
      </c>
      <c r="I19" s="1"/>
      <c r="J19" s="5">
        <f t="shared" si="1"/>
        <v>0</v>
      </c>
      <c r="K19" s="1"/>
      <c r="L19" s="1">
        <f t="shared" si="2"/>
        <v>2045.3130769230793</v>
      </c>
      <c r="M19" s="1"/>
      <c r="N19" s="5">
        <f t="shared" si="3"/>
        <v>0.61364112624048128</v>
      </c>
      <c r="O19" s="14"/>
      <c r="P19" s="1">
        <f>SUM(OSRRefP22_0x_0)</f>
        <v>5378.3899999999994</v>
      </c>
      <c r="Q19" s="1"/>
      <c r="R19" s="5">
        <f t="shared" si="4"/>
        <v>0</v>
      </c>
      <c r="S19" s="1"/>
      <c r="T19" s="1">
        <f>SUM(OSRRefT22_0x_0)</f>
        <v>3333.0769230769201</v>
      </c>
      <c r="U19" s="1"/>
      <c r="V19" s="5">
        <f t="shared" si="5"/>
        <v>0</v>
      </c>
      <c r="W19" s="1"/>
      <c r="X19" s="1">
        <f t="shared" si="6"/>
        <v>2045.3130769230793</v>
      </c>
      <c r="Y19" s="1"/>
      <c r="Z19" s="5">
        <f t="shared" si="7"/>
        <v>0.61364112624048128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1005.92</v>
      </c>
      <c r="E20" s="3"/>
      <c r="F20" s="8">
        <f t="shared" si="0"/>
        <v>0</v>
      </c>
      <c r="G20" s="3"/>
      <c r="H20" s="7">
        <v>0</v>
      </c>
      <c r="I20" s="3"/>
      <c r="J20" s="8">
        <f t="shared" si="1"/>
        <v>0</v>
      </c>
      <c r="K20" s="3"/>
      <c r="L20" s="7">
        <f t="shared" si="2"/>
        <v>1005.92</v>
      </c>
      <c r="M20" s="3"/>
      <c r="N20" s="8">
        <f t="shared" si="3"/>
        <v>0</v>
      </c>
      <c r="O20" s="12"/>
      <c r="P20" s="7">
        <v>1005.92</v>
      </c>
      <c r="Q20" s="3"/>
      <c r="R20" s="8">
        <f t="shared" si="4"/>
        <v>0</v>
      </c>
      <c r="S20" s="3"/>
      <c r="T20" s="7">
        <v>0</v>
      </c>
      <c r="U20" s="3"/>
      <c r="V20" s="8">
        <f t="shared" si="5"/>
        <v>0</v>
      </c>
      <c r="W20" s="3"/>
      <c r="X20" s="7">
        <f t="shared" si="6"/>
        <v>1005.92</v>
      </c>
      <c r="Y20" s="3"/>
      <c r="Z20" s="8">
        <f t="shared" si="7"/>
        <v>0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125.76</v>
      </c>
      <c r="E21" s="3"/>
      <c r="F21" s="8">
        <f t="shared" si="0"/>
        <v>0</v>
      </c>
      <c r="G21" s="3"/>
      <c r="H21" s="7">
        <v>0</v>
      </c>
      <c r="I21" s="3"/>
      <c r="J21" s="8">
        <f t="shared" si="1"/>
        <v>0</v>
      </c>
      <c r="K21" s="3"/>
      <c r="L21" s="7">
        <f t="shared" si="2"/>
        <v>125.76</v>
      </c>
      <c r="M21" s="3"/>
      <c r="N21" s="8">
        <f t="shared" si="3"/>
        <v>0</v>
      </c>
      <c r="O21" s="12"/>
      <c r="P21" s="7">
        <v>125.76</v>
      </c>
      <c r="Q21" s="3"/>
      <c r="R21" s="8">
        <f t="shared" si="4"/>
        <v>0</v>
      </c>
      <c r="S21" s="3"/>
      <c r="T21" s="7">
        <v>0</v>
      </c>
      <c r="U21" s="3"/>
      <c r="V21" s="8">
        <f t="shared" si="5"/>
        <v>0</v>
      </c>
      <c r="W21" s="3"/>
      <c r="X21" s="7">
        <f t="shared" si="6"/>
        <v>125.76</v>
      </c>
      <c r="Y21" s="3"/>
      <c r="Z21" s="8">
        <f t="shared" si="7"/>
        <v>0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816.72</v>
      </c>
      <c r="E22" s="3"/>
      <c r="F22" s="8">
        <f t="shared" si="0"/>
        <v>0</v>
      </c>
      <c r="G22" s="3"/>
      <c r="H22" s="7">
        <v>2983.0769230769201</v>
      </c>
      <c r="I22" s="3"/>
      <c r="J22" s="8">
        <f t="shared" si="1"/>
        <v>0</v>
      </c>
      <c r="K22" s="3"/>
      <c r="L22" s="7">
        <f t="shared" si="2"/>
        <v>-2166.3569230769199</v>
      </c>
      <c r="M22" s="3"/>
      <c r="N22" s="8">
        <f t="shared" si="3"/>
        <v>-0.7262155750386794</v>
      </c>
      <c r="O22" s="12"/>
      <c r="P22" s="7">
        <v>816.72</v>
      </c>
      <c r="Q22" s="3"/>
      <c r="R22" s="8">
        <f t="shared" si="4"/>
        <v>0</v>
      </c>
      <c r="S22" s="3"/>
      <c r="T22" s="7">
        <v>2983.0769230769201</v>
      </c>
      <c r="U22" s="3"/>
      <c r="V22" s="8">
        <f t="shared" si="5"/>
        <v>0</v>
      </c>
      <c r="W22" s="3"/>
      <c r="X22" s="7">
        <f t="shared" si="6"/>
        <v>-2166.3569230769199</v>
      </c>
      <c r="Y22" s="3"/>
      <c r="Z22" s="8">
        <f t="shared" si="7"/>
        <v>-0.7262155750386794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34.19</v>
      </c>
      <c r="E23" s="3"/>
      <c r="F23" s="8">
        <f t="shared" si="0"/>
        <v>0</v>
      </c>
      <c r="G23" s="3"/>
      <c r="H23" s="7">
        <v>0</v>
      </c>
      <c r="I23" s="3"/>
      <c r="J23" s="8">
        <f t="shared" si="1"/>
        <v>0</v>
      </c>
      <c r="K23" s="3"/>
      <c r="L23" s="7">
        <f t="shared" si="2"/>
        <v>34.19</v>
      </c>
      <c r="M23" s="3"/>
      <c r="N23" s="8">
        <f t="shared" si="3"/>
        <v>0</v>
      </c>
      <c r="O23" s="12"/>
      <c r="P23" s="7">
        <v>34.19</v>
      </c>
      <c r="Q23" s="3"/>
      <c r="R23" s="8">
        <f t="shared" si="4"/>
        <v>0</v>
      </c>
      <c r="S23" s="3"/>
      <c r="T23" s="7">
        <v>0</v>
      </c>
      <c r="U23" s="3"/>
      <c r="V23" s="8">
        <f t="shared" si="5"/>
        <v>0</v>
      </c>
      <c r="W23" s="3"/>
      <c r="X23" s="7">
        <f t="shared" si="6"/>
        <v>34.19</v>
      </c>
      <c r="Y23" s="3"/>
      <c r="Z23" s="8">
        <f t="shared" si="7"/>
        <v>0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1542.62</v>
      </c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1542.62</v>
      </c>
      <c r="M24" s="3"/>
      <c r="N24" s="8">
        <f t="shared" si="3"/>
        <v>0</v>
      </c>
      <c r="O24" s="12"/>
      <c r="P24" s="7">
        <v>1542.62</v>
      </c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1542.62</v>
      </c>
      <c r="Y24" s="3"/>
      <c r="Z24" s="8">
        <f t="shared" si="7"/>
        <v>0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"6118", " - ", "VACATION")</f>
        <v xml:space="preserve">          6118 - VACATION</v>
      </c>
      <c r="C26" s="12"/>
      <c r="D26" s="7">
        <v>1214.6600000000001</v>
      </c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1214.6600000000001</v>
      </c>
      <c r="M26" s="3"/>
      <c r="N26" s="8">
        <f t="shared" si="3"/>
        <v>0</v>
      </c>
      <c r="O26" s="12"/>
      <c r="P26" s="7">
        <v>1214.6600000000001</v>
      </c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1214.6600000000001</v>
      </c>
      <c r="Y26" s="3"/>
      <c r="Z26" s="8">
        <f t="shared" si="7"/>
        <v>0</v>
      </c>
    </row>
    <row r="27" spans="1:26" s="24" customFormat="1" hidden="1" outlineLevel="2" x14ac:dyDescent="0.25">
      <c r="A27" s="27"/>
      <c r="B27" s="12" t="str">
        <f>CONCATENATE("          ", "6119", " - ", "SICK LEAVE")</f>
        <v xml:space="preserve">          6119 - SICK LEAVE</v>
      </c>
      <c r="C27" s="12"/>
      <c r="D27" s="7">
        <v>606.52</v>
      </c>
      <c r="E27" s="3"/>
      <c r="F27" s="8">
        <f t="shared" si="0"/>
        <v>0</v>
      </c>
      <c r="G27" s="3"/>
      <c r="H27" s="7">
        <v>0</v>
      </c>
      <c r="I27" s="3"/>
      <c r="J27" s="8">
        <f t="shared" si="1"/>
        <v>0</v>
      </c>
      <c r="K27" s="3"/>
      <c r="L27" s="7">
        <f t="shared" si="2"/>
        <v>606.52</v>
      </c>
      <c r="M27" s="3"/>
      <c r="N27" s="8">
        <f t="shared" si="3"/>
        <v>0</v>
      </c>
      <c r="O27" s="12"/>
      <c r="P27" s="7">
        <v>606.52</v>
      </c>
      <c r="Q27" s="3"/>
      <c r="R27" s="8">
        <f t="shared" si="4"/>
        <v>0</v>
      </c>
      <c r="S27" s="3"/>
      <c r="T27" s="7">
        <v>0</v>
      </c>
      <c r="U27" s="3"/>
      <c r="V27" s="8">
        <f t="shared" si="5"/>
        <v>0</v>
      </c>
      <c r="W27" s="3"/>
      <c r="X27" s="7">
        <f t="shared" si="6"/>
        <v>606.52</v>
      </c>
      <c r="Y27" s="3"/>
      <c r="Z27" s="8">
        <f t="shared" si="7"/>
        <v>0</v>
      </c>
    </row>
    <row r="28" spans="1:26" s="24" customFormat="1" hidden="1" outlineLevel="2" x14ac:dyDescent="0.25">
      <c r="A28" s="27"/>
      <c r="B28" s="12" t="str">
        <f>CONCATENATE("          ", "6156", " - ", "EMPLOYEE MEALS")</f>
        <v xml:space="preserve">          6156 - EMPLOYEE MEALS</v>
      </c>
      <c r="C28" s="12"/>
      <c r="D28" s="7">
        <v>32</v>
      </c>
      <c r="E28" s="3"/>
      <c r="F28" s="8">
        <f t="shared" si="0"/>
        <v>0</v>
      </c>
      <c r="G28" s="3"/>
      <c r="H28" s="7">
        <v>350</v>
      </c>
      <c r="I28" s="3"/>
      <c r="J28" s="8">
        <f t="shared" si="1"/>
        <v>0</v>
      </c>
      <c r="K28" s="3"/>
      <c r="L28" s="7">
        <f t="shared" si="2"/>
        <v>-318</v>
      </c>
      <c r="M28" s="3"/>
      <c r="N28" s="8">
        <f t="shared" si="3"/>
        <v>-0.90857142857142859</v>
      </c>
      <c r="O28" s="12"/>
      <c r="P28" s="7">
        <v>32</v>
      </c>
      <c r="Q28" s="3"/>
      <c r="R28" s="8">
        <f t="shared" si="4"/>
        <v>0</v>
      </c>
      <c r="S28" s="3"/>
      <c r="T28" s="7">
        <v>350</v>
      </c>
      <c r="U28" s="3"/>
      <c r="V28" s="8">
        <f t="shared" si="5"/>
        <v>0</v>
      </c>
      <c r="W28" s="3"/>
      <c r="X28" s="7">
        <f t="shared" si="6"/>
        <v>-318</v>
      </c>
      <c r="Y28" s="3"/>
      <c r="Z28" s="8">
        <f t="shared" si="7"/>
        <v>-0.90857142857142859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13287.33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13287.33</v>
      </c>
      <c r="M29" s="1"/>
      <c r="N29" s="5">
        <f t="shared" ref="N29:N39" si="11">IF(H29=0,0,L29/H29)</f>
        <v>0</v>
      </c>
      <c r="O29" s="14"/>
      <c r="P29" s="1">
        <f>SUM(OSRRefP22_1x_0)</f>
        <v>13287.33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13287.33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7"/>
      <c r="B30" s="12" t="str">
        <f>CONCATENATE("          ", "6001", " - ", "ADMINISTRATIVE SALARIES")</f>
        <v xml:space="preserve">          6001 - ADMINISTRATIVE SALARIES</v>
      </c>
      <c r="C30" s="12"/>
      <c r="D30" s="7">
        <v>11207.33</v>
      </c>
      <c r="E30" s="3"/>
      <c r="F30" s="8">
        <f t="shared" si="8"/>
        <v>0</v>
      </c>
      <c r="G30" s="3"/>
      <c r="H30" s="7">
        <v>0</v>
      </c>
      <c r="I30" s="3"/>
      <c r="J30" s="8">
        <f t="shared" si="9"/>
        <v>0</v>
      </c>
      <c r="K30" s="3"/>
      <c r="L30" s="7">
        <f t="shared" si="10"/>
        <v>11207.33</v>
      </c>
      <c r="M30" s="3"/>
      <c r="N30" s="8">
        <f t="shared" si="11"/>
        <v>0</v>
      </c>
      <c r="O30" s="12"/>
      <c r="P30" s="7">
        <v>11207.33</v>
      </c>
      <c r="Q30" s="3"/>
      <c r="R30" s="8">
        <f t="shared" si="12"/>
        <v>0</v>
      </c>
      <c r="S30" s="3"/>
      <c r="T30" s="7">
        <v>0</v>
      </c>
      <c r="U30" s="3"/>
      <c r="V30" s="8">
        <f t="shared" si="13"/>
        <v>0</v>
      </c>
      <c r="W30" s="3"/>
      <c r="X30" s="7">
        <f t="shared" si="14"/>
        <v>11207.33</v>
      </c>
      <c r="Y30" s="3"/>
      <c r="Z30" s="8">
        <f t="shared" si="15"/>
        <v>0</v>
      </c>
    </row>
    <row r="31" spans="1:26" s="24" customFormat="1" hidden="1" outlineLevel="2" x14ac:dyDescent="0.25">
      <c r="A31" s="27"/>
      <c r="B31" s="12" t="str">
        <f>CONCATENATE("          ", "6002", " - ", "STAFF SALARIES")</f>
        <v xml:space="preserve">          6002 - STAFF SALARIES</v>
      </c>
      <c r="C31" s="12"/>
      <c r="D31" s="7">
        <v>2080</v>
      </c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2080</v>
      </c>
      <c r="M31" s="3"/>
      <c r="N31" s="8">
        <f t="shared" si="11"/>
        <v>0</v>
      </c>
      <c r="O31" s="12"/>
      <c r="P31" s="7">
        <v>2080</v>
      </c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2080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"6003", " - ", "STAFF HOURLY-9 MONTH")</f>
        <v xml:space="preserve">          6003 - STAFF HOURLY-9 MONTH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"6004", " - ", "STAFF HOURLY")</f>
        <v xml:space="preserve">          6004 - STAFF HOURLY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"6005", " - ", "TEMPORARY WAGES-HOURLY")</f>
        <v xml:space="preserve">          6005 - TEMPORARY WAGES-HOURLY</v>
      </c>
      <c r="C34" s="12"/>
      <c r="D34" s="7"/>
      <c r="E34" s="3"/>
      <c r="F34" s="8">
        <f t="shared" si="8"/>
        <v>0</v>
      </c>
      <c r="G34" s="3"/>
      <c r="H34" s="7">
        <v>0</v>
      </c>
      <c r="I34" s="3"/>
      <c r="J34" s="8">
        <f t="shared" si="9"/>
        <v>0</v>
      </c>
      <c r="K34" s="3"/>
      <c r="L34" s="7">
        <f t="shared" si="10"/>
        <v>0</v>
      </c>
      <c r="M34" s="3"/>
      <c r="N34" s="8">
        <f t="shared" si="11"/>
        <v>0</v>
      </c>
      <c r="O34" s="12"/>
      <c r="P34" s="7"/>
      <c r="Q34" s="3"/>
      <c r="R34" s="8">
        <f t="shared" si="12"/>
        <v>0</v>
      </c>
      <c r="S34" s="3"/>
      <c r="T34" s="7">
        <v>0</v>
      </c>
      <c r="U34" s="3"/>
      <c r="V34" s="8">
        <f t="shared" si="13"/>
        <v>0</v>
      </c>
      <c r="W34" s="3"/>
      <c r="X34" s="7">
        <f t="shared" si="14"/>
        <v>0</v>
      </c>
      <c r="Y34" s="3"/>
      <c r="Z34" s="8">
        <f t="shared" si="15"/>
        <v>0</v>
      </c>
    </row>
    <row r="35" spans="1:26" s="24" customFormat="1" hidden="1" outlineLevel="2" x14ac:dyDescent="0.25">
      <c r="A35" s="27"/>
      <c r="B35" s="12" t="str">
        <f>CONCATENATE("          ", "6006", " - ", "TEMPORARY PART TIME")</f>
        <v xml:space="preserve">          6006 - TEMPORARY PART TIME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"6007", " - ", "STUDENT HOURLY")</f>
        <v xml:space="preserve">          6007 - STUDENT HOURLY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"6008", " - ", "STUDENT HOURLY-FICA EXEMPT")</f>
        <v xml:space="preserve">          6008 - STUDENT HOURLY-FICA EXEMPT</v>
      </c>
      <c r="C37" s="12"/>
      <c r="D37" s="7"/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0</v>
      </c>
      <c r="M37" s="3"/>
      <c r="N37" s="8">
        <f t="shared" si="11"/>
        <v>0</v>
      </c>
      <c r="O37" s="12"/>
      <c r="P37" s="7"/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0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"6009", " - ", "TEMPORARY-SEASONAL")</f>
        <v xml:space="preserve">          6009 - TEMPORARY-SEASONAL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4" customFormat="1" hidden="1" outlineLevel="2" x14ac:dyDescent="0.25">
      <c r="A39" s="27"/>
      <c r="B39" s="12" t="str">
        <f>CONCATENATE("          ", "6010", " - ", "GRATUITY")</f>
        <v xml:space="preserve">          6010 - GRATUITY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29" customFormat="1" outlineLevel="1" collapsed="1" x14ac:dyDescent="0.25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SUM(OSRRefD22_2x_0)</f>
        <v>282.82</v>
      </c>
      <c r="E40" s="1"/>
      <c r="F40" s="5">
        <f t="shared" ref="F40:F44" si="16">IF(D$12=0,0,D40/D$12)</f>
        <v>0</v>
      </c>
      <c r="G40" s="1"/>
      <c r="H40" s="1">
        <f>SUM(OSRRefH22_2x_0)</f>
        <v>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282.82</v>
      </c>
      <c r="M40" s="1"/>
      <c r="N40" s="5">
        <f t="shared" ref="N40:N44" si="19">IF(H40=0,0,L40/H40)</f>
        <v>0</v>
      </c>
      <c r="O40" s="14"/>
      <c r="P40" s="1">
        <f>SUM(OSRRefP22_2x_0)</f>
        <v>282.82</v>
      </c>
      <c r="Q40" s="1"/>
      <c r="R40" s="5">
        <f t="shared" ref="R40:R44" si="20">IF(P$12=0,0,P40/P$12)</f>
        <v>0</v>
      </c>
      <c r="S40" s="1"/>
      <c r="T40" s="1">
        <f>SUM(OSRRefT22_2x_0)</f>
        <v>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282.82</v>
      </c>
      <c r="Y40" s="1"/>
      <c r="Z40" s="5">
        <f t="shared" ref="Z40:Z44" si="23">IF(T40=0,0,X40/T40)</f>
        <v>0</v>
      </c>
    </row>
    <row r="41" spans="1:26" s="24" customFormat="1" hidden="1" outlineLevel="2" x14ac:dyDescent="0.25">
      <c r="A41" s="27"/>
      <c r="B41" s="12" t="str">
        <f>CONCATENATE("          ", "6381", " - ", "BANK/CREDIT CARD FEES")</f>
        <v xml:space="preserve">          6381 - BANK/CREDIT CARD FEES</v>
      </c>
      <c r="C41" s="12"/>
      <c r="D41" s="7">
        <v>282.82</v>
      </c>
      <c r="E41" s="3"/>
      <c r="F41" s="8">
        <f t="shared" si="16"/>
        <v>0</v>
      </c>
      <c r="G41" s="3"/>
      <c r="H41" s="7"/>
      <c r="I41" s="3"/>
      <c r="J41" s="8">
        <f t="shared" si="17"/>
        <v>0</v>
      </c>
      <c r="K41" s="3"/>
      <c r="L41" s="7">
        <f t="shared" si="18"/>
        <v>282.82</v>
      </c>
      <c r="M41" s="3"/>
      <c r="N41" s="8">
        <f t="shared" si="19"/>
        <v>0</v>
      </c>
      <c r="O41" s="12"/>
      <c r="P41" s="7">
        <v>282.82</v>
      </c>
      <c r="Q41" s="3"/>
      <c r="R41" s="8">
        <f t="shared" si="20"/>
        <v>0</v>
      </c>
      <c r="S41" s="3"/>
      <c r="T41" s="7"/>
      <c r="U41" s="3"/>
      <c r="V41" s="8">
        <f t="shared" si="21"/>
        <v>0</v>
      </c>
      <c r="W41" s="3"/>
      <c r="X41" s="7">
        <f t="shared" si="22"/>
        <v>282.82</v>
      </c>
      <c r="Y41" s="3"/>
      <c r="Z41" s="8">
        <f t="shared" si="23"/>
        <v>0</v>
      </c>
    </row>
    <row r="42" spans="1:26" s="29" customFormat="1" outlineLevel="1" collapsed="1" x14ac:dyDescent="0.25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7041.26</v>
      </c>
      <c r="E42" s="1"/>
      <c r="F42" s="5">
        <f t="shared" si="16"/>
        <v>0</v>
      </c>
      <c r="G42" s="1"/>
      <c r="H42" s="1">
        <f>SUM(OSRRefH22_3x_0)</f>
        <v>7006</v>
      </c>
      <c r="I42" s="1"/>
      <c r="J42" s="5">
        <f t="shared" si="17"/>
        <v>0</v>
      </c>
      <c r="K42" s="1"/>
      <c r="L42" s="1">
        <f t="shared" si="18"/>
        <v>35.260000000000218</v>
      </c>
      <c r="M42" s="1"/>
      <c r="N42" s="5">
        <f t="shared" si="19"/>
        <v>5.0328290037111355E-3</v>
      </c>
      <c r="O42" s="14"/>
      <c r="P42" s="1">
        <f>SUM(OSRRefP22_3x_0)</f>
        <v>7041.26</v>
      </c>
      <c r="Q42" s="1"/>
      <c r="R42" s="5">
        <f t="shared" si="20"/>
        <v>0</v>
      </c>
      <c r="S42" s="1"/>
      <c r="T42" s="1">
        <f>SUM(OSRRefT22_3x_0)</f>
        <v>7006</v>
      </c>
      <c r="U42" s="1"/>
      <c r="V42" s="5">
        <f t="shared" si="21"/>
        <v>0</v>
      </c>
      <c r="W42" s="1"/>
      <c r="X42" s="1">
        <f t="shared" si="22"/>
        <v>35.260000000000218</v>
      </c>
      <c r="Y42" s="1"/>
      <c r="Z42" s="5">
        <f t="shared" si="23"/>
        <v>5.0328290037111355E-3</v>
      </c>
    </row>
    <row r="43" spans="1:26" s="24" customFormat="1" hidden="1" outlineLevel="2" x14ac:dyDescent="0.25">
      <c r="A43" s="27"/>
      <c r="B43" s="12" t="str">
        <f>CONCATENATE("          ", "6321", " - ", "BUILDING DEPRECIATION")</f>
        <v xml:space="preserve">          6321 - BUILDING DEPRECIATION</v>
      </c>
      <c r="C43" s="12"/>
      <c r="D43" s="7">
        <v>2084.08</v>
      </c>
      <c r="E43" s="3"/>
      <c r="F43" s="8">
        <f t="shared" si="16"/>
        <v>0</v>
      </c>
      <c r="G43" s="3"/>
      <c r="H43" s="7"/>
      <c r="I43" s="3"/>
      <c r="J43" s="8">
        <f t="shared" si="17"/>
        <v>0</v>
      </c>
      <c r="K43" s="3"/>
      <c r="L43" s="7">
        <f t="shared" si="18"/>
        <v>2084.08</v>
      </c>
      <c r="M43" s="3"/>
      <c r="N43" s="8">
        <f t="shared" si="19"/>
        <v>0</v>
      </c>
      <c r="O43" s="12"/>
      <c r="P43" s="7">
        <v>2084.08</v>
      </c>
      <c r="Q43" s="3"/>
      <c r="R43" s="8">
        <f t="shared" si="20"/>
        <v>0</v>
      </c>
      <c r="S43" s="3"/>
      <c r="T43" s="7"/>
      <c r="U43" s="3"/>
      <c r="V43" s="8">
        <f t="shared" si="21"/>
        <v>0</v>
      </c>
      <c r="W43" s="3"/>
      <c r="X43" s="7">
        <f t="shared" si="22"/>
        <v>2084.08</v>
      </c>
      <c r="Y43" s="3"/>
      <c r="Z43" s="8">
        <f t="shared" si="23"/>
        <v>0</v>
      </c>
    </row>
    <row r="44" spans="1:26" s="24" customFormat="1" hidden="1" outlineLevel="2" x14ac:dyDescent="0.25">
      <c r="A44" s="27"/>
      <c r="B44" s="12" t="str">
        <f>CONCATENATE("          ", "6322", " - ", "EQUIPMENT DEPRECIATION EXPENSE")</f>
        <v xml:space="preserve">          6322 - EQUIPMENT DEPRECIATION EXPENSE</v>
      </c>
      <c r="C44" s="12"/>
      <c r="D44" s="7">
        <v>4957.18</v>
      </c>
      <c r="E44" s="3"/>
      <c r="F44" s="8">
        <f t="shared" si="16"/>
        <v>0</v>
      </c>
      <c r="G44" s="3"/>
      <c r="H44" s="7">
        <v>7006</v>
      </c>
      <c r="I44" s="3"/>
      <c r="J44" s="8">
        <f t="shared" si="17"/>
        <v>0</v>
      </c>
      <c r="K44" s="3"/>
      <c r="L44" s="7">
        <f t="shared" si="18"/>
        <v>-2048.8199999999997</v>
      </c>
      <c r="M44" s="3"/>
      <c r="N44" s="8">
        <f t="shared" si="19"/>
        <v>-0.29243791036254635</v>
      </c>
      <c r="O44" s="12"/>
      <c r="P44" s="7">
        <v>4957.18</v>
      </c>
      <c r="Q44" s="3"/>
      <c r="R44" s="8">
        <f t="shared" si="20"/>
        <v>0</v>
      </c>
      <c r="S44" s="3"/>
      <c r="T44" s="7">
        <v>7006</v>
      </c>
      <c r="U44" s="3"/>
      <c r="V44" s="8">
        <f t="shared" si="21"/>
        <v>0</v>
      </c>
      <c r="W44" s="3"/>
      <c r="X44" s="7">
        <f t="shared" si="22"/>
        <v>-2048.8199999999997</v>
      </c>
      <c r="Y44" s="3"/>
      <c r="Z44" s="8">
        <f t="shared" si="23"/>
        <v>-0.29243791036254635</v>
      </c>
    </row>
    <row r="45" spans="1:26" s="29" customFormat="1" outlineLevel="1" collapsed="1" x14ac:dyDescent="0.25">
      <c r="A45" s="28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419.36</v>
      </c>
      <c r="E45" s="1"/>
      <c r="F45" s="5">
        <f t="shared" ref="F45:F51" si="24">IF(D$12=0,0,D45/D$12)</f>
        <v>0</v>
      </c>
      <c r="G45" s="1"/>
      <c r="H45" s="1">
        <f>SUM(OSRRefH22_4x_0)</f>
        <v>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419.36</v>
      </c>
      <c r="M45" s="1"/>
      <c r="N45" s="5">
        <f t="shared" ref="N45:N51" si="27">IF(H45=0,0,L45/H45)</f>
        <v>0</v>
      </c>
      <c r="O45" s="14"/>
      <c r="P45" s="1">
        <f>SUM(OSRRefP22_4x_0)</f>
        <v>419.36</v>
      </c>
      <c r="Q45" s="1"/>
      <c r="R45" s="5">
        <f t="shared" ref="R45:R51" si="28">IF(P$12=0,0,P45/P$12)</f>
        <v>0</v>
      </c>
      <c r="S45" s="1"/>
      <c r="T45" s="1">
        <f>SUM(OSRRefT22_4x_0)</f>
        <v>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419.36</v>
      </c>
      <c r="Y45" s="1"/>
      <c r="Z45" s="5">
        <f t="shared" ref="Z45:Z51" si="31">IF(T45=0,0,X45/T45)</f>
        <v>0</v>
      </c>
    </row>
    <row r="46" spans="1:26" s="24" customFormat="1" hidden="1" outlineLevel="2" x14ac:dyDescent="0.25">
      <c r="A46" s="27"/>
      <c r="B46" s="12" t="str">
        <f>CONCATENATE("          ", "6351", " - ", "EQUIPMENT RENTAL")</f>
        <v xml:space="preserve">          6351 - EQUIPMENT RENTAL</v>
      </c>
      <c r="C46" s="12"/>
      <c r="D46" s="7">
        <v>419.36</v>
      </c>
      <c r="E46" s="3"/>
      <c r="F46" s="8">
        <f t="shared" si="24"/>
        <v>0</v>
      </c>
      <c r="G46" s="3"/>
      <c r="H46" s="7">
        <v>0</v>
      </c>
      <c r="I46" s="3"/>
      <c r="J46" s="8">
        <f t="shared" si="25"/>
        <v>0</v>
      </c>
      <c r="K46" s="3"/>
      <c r="L46" s="7">
        <f t="shared" si="26"/>
        <v>419.36</v>
      </c>
      <c r="M46" s="3"/>
      <c r="N46" s="8">
        <f t="shared" si="27"/>
        <v>0</v>
      </c>
      <c r="O46" s="12"/>
      <c r="P46" s="7">
        <v>419.36</v>
      </c>
      <c r="Q46" s="3"/>
      <c r="R46" s="8">
        <f t="shared" si="28"/>
        <v>0</v>
      </c>
      <c r="S46" s="3"/>
      <c r="T46" s="7">
        <v>0</v>
      </c>
      <c r="U46" s="3"/>
      <c r="V46" s="8">
        <f t="shared" si="29"/>
        <v>0</v>
      </c>
      <c r="W46" s="3"/>
      <c r="X46" s="7">
        <f t="shared" si="30"/>
        <v>419.36</v>
      </c>
      <c r="Y46" s="3"/>
      <c r="Z46" s="8">
        <f t="shared" si="31"/>
        <v>0</v>
      </c>
    </row>
    <row r="47" spans="1:26" s="29" customFormat="1" outlineLevel="1" collapsed="1" x14ac:dyDescent="0.25">
      <c r="A47" s="28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SUM(OSRRefD22_5x_0)</f>
        <v>3598.85</v>
      </c>
      <c r="E47" s="1"/>
      <c r="F47" s="5">
        <f t="shared" si="24"/>
        <v>0</v>
      </c>
      <c r="G47" s="1"/>
      <c r="H47" s="1">
        <f>SUM(OSRRefH22_5x_0)</f>
        <v>3860</v>
      </c>
      <c r="I47" s="1"/>
      <c r="J47" s="5">
        <f t="shared" si="25"/>
        <v>0</v>
      </c>
      <c r="K47" s="1"/>
      <c r="L47" s="1">
        <f t="shared" si="26"/>
        <v>-261.15000000000009</v>
      </c>
      <c r="M47" s="1"/>
      <c r="N47" s="5">
        <f t="shared" si="27"/>
        <v>-6.76554404145078E-2</v>
      </c>
      <c r="O47" s="14"/>
      <c r="P47" s="1">
        <f>SUM(OSRRefP22_5x_0)</f>
        <v>3598.85</v>
      </c>
      <c r="Q47" s="1"/>
      <c r="R47" s="5">
        <f t="shared" si="28"/>
        <v>0</v>
      </c>
      <c r="S47" s="1"/>
      <c r="T47" s="1">
        <f>SUM(OSRRefT22_5x_0)</f>
        <v>3860</v>
      </c>
      <c r="U47" s="1"/>
      <c r="V47" s="5">
        <f t="shared" si="29"/>
        <v>0</v>
      </c>
      <c r="W47" s="1"/>
      <c r="X47" s="1">
        <f t="shared" si="30"/>
        <v>-261.15000000000009</v>
      </c>
      <c r="Y47" s="1"/>
      <c r="Z47" s="5">
        <f t="shared" si="31"/>
        <v>-6.76554404145078E-2</v>
      </c>
    </row>
    <row r="48" spans="1:26" s="24" customFormat="1" hidden="1" outlineLevel="2" x14ac:dyDescent="0.25">
      <c r="A48" s="27"/>
      <c r="B48" s="12" t="str">
        <f>CONCATENATE("          ", "6314", " - ", "LIABILITY INSURANCE")</f>
        <v xml:space="preserve">          6314 - LIABILITY INSURANCE</v>
      </c>
      <c r="C48" s="12"/>
      <c r="D48" s="7">
        <v>3598.85</v>
      </c>
      <c r="E48" s="3"/>
      <c r="F48" s="8">
        <f t="shared" si="24"/>
        <v>0</v>
      </c>
      <c r="G48" s="3"/>
      <c r="H48" s="7">
        <v>3860</v>
      </c>
      <c r="I48" s="3"/>
      <c r="J48" s="8">
        <f t="shared" si="25"/>
        <v>0</v>
      </c>
      <c r="K48" s="3"/>
      <c r="L48" s="7">
        <f t="shared" si="26"/>
        <v>-261.15000000000009</v>
      </c>
      <c r="M48" s="3"/>
      <c r="N48" s="8">
        <f t="shared" si="27"/>
        <v>-6.76554404145078E-2</v>
      </c>
      <c r="O48" s="12"/>
      <c r="P48" s="7">
        <v>3598.85</v>
      </c>
      <c r="Q48" s="3"/>
      <c r="R48" s="8">
        <f t="shared" si="28"/>
        <v>0</v>
      </c>
      <c r="S48" s="3"/>
      <c r="T48" s="7">
        <v>3860</v>
      </c>
      <c r="U48" s="3"/>
      <c r="V48" s="8">
        <f t="shared" si="29"/>
        <v>0</v>
      </c>
      <c r="W48" s="3"/>
      <c r="X48" s="7">
        <f t="shared" si="30"/>
        <v>-261.15000000000009</v>
      </c>
      <c r="Y48" s="3"/>
      <c r="Z48" s="8">
        <f t="shared" si="31"/>
        <v>-6.76554404145078E-2</v>
      </c>
    </row>
    <row r="49" spans="1:26" s="29" customFormat="1" outlineLevel="1" collapsed="1" x14ac:dyDescent="0.25">
      <c r="A49" s="28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SUM(OSRRefD22_6x_0)</f>
        <v>38.51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38.51</v>
      </c>
      <c r="M49" s="1"/>
      <c r="N49" s="5">
        <f t="shared" si="27"/>
        <v>0</v>
      </c>
      <c r="O49" s="14"/>
      <c r="P49" s="1">
        <f>SUM(OSRRefP22_6x_0)</f>
        <v>38.51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38.51</v>
      </c>
      <c r="Y49" s="1"/>
      <c r="Z49" s="5">
        <f t="shared" si="31"/>
        <v>0</v>
      </c>
    </row>
    <row r="50" spans="1:26" s="24" customFormat="1" hidden="1" outlineLevel="2" x14ac:dyDescent="0.25">
      <c r="A50" s="27"/>
      <c r="B50" s="12" t="str">
        <f>CONCATENATE("          ", "6373", " - ", "MAINTENANCE CONTRACTS")</f>
        <v xml:space="preserve">          6373 - MAINTENANCE CONTRACTS</v>
      </c>
      <c r="C50" s="12"/>
      <c r="D50" s="7">
        <v>1.05</v>
      </c>
      <c r="E50" s="3"/>
      <c r="F50" s="8">
        <f t="shared" si="24"/>
        <v>0</v>
      </c>
      <c r="G50" s="3"/>
      <c r="H50" s="7">
        <v>0</v>
      </c>
      <c r="I50" s="3"/>
      <c r="J50" s="8">
        <f t="shared" si="25"/>
        <v>0</v>
      </c>
      <c r="K50" s="3"/>
      <c r="L50" s="7">
        <f t="shared" si="26"/>
        <v>1.05</v>
      </c>
      <c r="M50" s="3"/>
      <c r="N50" s="8">
        <f t="shared" si="27"/>
        <v>0</v>
      </c>
      <c r="O50" s="12"/>
      <c r="P50" s="7">
        <v>1.05</v>
      </c>
      <c r="Q50" s="3"/>
      <c r="R50" s="8">
        <f t="shared" si="28"/>
        <v>0</v>
      </c>
      <c r="S50" s="3"/>
      <c r="T50" s="7">
        <v>0</v>
      </c>
      <c r="U50" s="3"/>
      <c r="V50" s="8">
        <f t="shared" si="29"/>
        <v>0</v>
      </c>
      <c r="W50" s="3"/>
      <c r="X50" s="7">
        <f t="shared" si="30"/>
        <v>1.05</v>
      </c>
      <c r="Y50" s="3"/>
      <c r="Z50" s="8">
        <f t="shared" si="31"/>
        <v>0</v>
      </c>
    </row>
    <row r="51" spans="1:26" s="24" customFormat="1" hidden="1" outlineLevel="2" x14ac:dyDescent="0.25">
      <c r="A51" s="27"/>
      <c r="B51" s="12" t="str">
        <f>CONCATENATE("          ", "6375", " - ", "OUTSIDE REPAIRS &amp; MAINTENANCE")</f>
        <v xml:space="preserve">          6375 - OUTSIDE REPAIRS &amp; MAINTENANCE</v>
      </c>
      <c r="C51" s="12"/>
      <c r="D51" s="7">
        <v>37.46</v>
      </c>
      <c r="E51" s="3"/>
      <c r="F51" s="8">
        <f t="shared" si="24"/>
        <v>0</v>
      </c>
      <c r="G51" s="3"/>
      <c r="H51" s="7">
        <v>0</v>
      </c>
      <c r="I51" s="3"/>
      <c r="J51" s="8">
        <f t="shared" si="25"/>
        <v>0</v>
      </c>
      <c r="K51" s="3"/>
      <c r="L51" s="7">
        <f t="shared" si="26"/>
        <v>37.46</v>
      </c>
      <c r="M51" s="3"/>
      <c r="N51" s="8">
        <f t="shared" si="27"/>
        <v>0</v>
      </c>
      <c r="O51" s="12"/>
      <c r="P51" s="7">
        <v>37.46</v>
      </c>
      <c r="Q51" s="3"/>
      <c r="R51" s="8">
        <f t="shared" si="28"/>
        <v>0</v>
      </c>
      <c r="S51" s="3"/>
      <c r="T51" s="7">
        <v>0</v>
      </c>
      <c r="U51" s="3"/>
      <c r="V51" s="8">
        <f t="shared" si="29"/>
        <v>0</v>
      </c>
      <c r="W51" s="3"/>
      <c r="X51" s="7">
        <f t="shared" si="30"/>
        <v>37.46</v>
      </c>
      <c r="Y51" s="3"/>
      <c r="Z51" s="8">
        <f t="shared" si="31"/>
        <v>0</v>
      </c>
    </row>
    <row r="52" spans="1:26" s="29" customFormat="1" outlineLevel="1" collapsed="1" x14ac:dyDescent="0.25">
      <c r="A52" s="28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0</v>
      </c>
      <c r="E52" s="1"/>
      <c r="F52" s="5">
        <f t="shared" ref="F52:F56" si="32">IF(D$12=0,0,D52/D$12)</f>
        <v>0</v>
      </c>
      <c r="G52" s="1"/>
      <c r="H52" s="1">
        <f>SUM(OSRRefH22_7x_0)</f>
        <v>1826</v>
      </c>
      <c r="I52" s="1"/>
      <c r="J52" s="5">
        <f t="shared" ref="J52:J56" si="33">IF(H$12=0,0,H52/H$12)</f>
        <v>0</v>
      </c>
      <c r="K52" s="1"/>
      <c r="L52" s="1">
        <f t="shared" ref="L52:L56" si="34">+D52-H52</f>
        <v>-1826</v>
      </c>
      <c r="M52" s="1"/>
      <c r="N52" s="5">
        <f t="shared" ref="N52:N56" si="35">IF(H52=0,0,L52/H52)</f>
        <v>-1</v>
      </c>
      <c r="O52" s="14"/>
      <c r="P52" s="1">
        <f>SUM(OSRRefP22_7x_0)</f>
        <v>0</v>
      </c>
      <c r="Q52" s="1"/>
      <c r="R52" s="5">
        <f t="shared" ref="R52:R56" si="36">IF(P$12=0,0,P52/P$12)</f>
        <v>0</v>
      </c>
      <c r="S52" s="1"/>
      <c r="T52" s="1">
        <f>SUM(OSRRefT22_7x_0)</f>
        <v>1826</v>
      </c>
      <c r="U52" s="1"/>
      <c r="V52" s="5">
        <f t="shared" ref="V52:V56" si="37">IF(T$12=0,0,T52/T$12)</f>
        <v>0</v>
      </c>
      <c r="W52" s="1"/>
      <c r="X52" s="1">
        <f t="shared" ref="X52:X56" si="38">+P52-T52</f>
        <v>-1826</v>
      </c>
      <c r="Y52" s="1"/>
      <c r="Z52" s="5">
        <f t="shared" ref="Z52:Z56" si="39">IF(T52=0,0,X52/T52)</f>
        <v>-1</v>
      </c>
    </row>
    <row r="53" spans="1:26" s="24" customFormat="1" hidden="1" outlineLevel="2" x14ac:dyDescent="0.25">
      <c r="A53" s="27"/>
      <c r="B53" s="12" t="str">
        <f>CONCATENATE("          ", "6282", " - ", "JANITORIAL/EXTERMINATOR EXPENS")</f>
        <v xml:space="preserve">          6282 - JANITORIAL/EXTERMINATOR EXPENS</v>
      </c>
      <c r="C53" s="12"/>
      <c r="D53" s="7"/>
      <c r="E53" s="3"/>
      <c r="F53" s="8">
        <f t="shared" si="32"/>
        <v>0</v>
      </c>
      <c r="G53" s="3"/>
      <c r="H53" s="7">
        <v>626</v>
      </c>
      <c r="I53" s="3"/>
      <c r="J53" s="8">
        <f t="shared" si="33"/>
        <v>0</v>
      </c>
      <c r="K53" s="3"/>
      <c r="L53" s="7">
        <f t="shared" si="34"/>
        <v>-626</v>
      </c>
      <c r="M53" s="3"/>
      <c r="N53" s="8">
        <f t="shared" si="35"/>
        <v>-1</v>
      </c>
      <c r="O53" s="12"/>
      <c r="P53" s="7"/>
      <c r="Q53" s="3"/>
      <c r="R53" s="8">
        <f t="shared" si="36"/>
        <v>0</v>
      </c>
      <c r="S53" s="3"/>
      <c r="T53" s="7">
        <v>626</v>
      </c>
      <c r="U53" s="3"/>
      <c r="V53" s="8">
        <f t="shared" si="37"/>
        <v>0</v>
      </c>
      <c r="W53" s="3"/>
      <c r="X53" s="7">
        <f t="shared" si="38"/>
        <v>-626</v>
      </c>
      <c r="Y53" s="3"/>
      <c r="Z53" s="8">
        <f t="shared" si="39"/>
        <v>-1</v>
      </c>
    </row>
    <row r="54" spans="1:26" s="24" customFormat="1" hidden="1" outlineLevel="2" x14ac:dyDescent="0.25">
      <c r="A54" s="27"/>
      <c r="B54" s="12" t="str">
        <f>CONCATENATE("          ", "6283", " - ", "PLANT SERVICE")</f>
        <v xml:space="preserve">          6283 - PLANT SERVICE</v>
      </c>
      <c r="C54" s="12"/>
      <c r="D54" s="7"/>
      <c r="E54" s="3"/>
      <c r="F54" s="8">
        <f t="shared" si="32"/>
        <v>0</v>
      </c>
      <c r="G54" s="3"/>
      <c r="H54" s="7">
        <v>0</v>
      </c>
      <c r="I54" s="3"/>
      <c r="J54" s="8">
        <f t="shared" si="33"/>
        <v>0</v>
      </c>
      <c r="K54" s="3"/>
      <c r="L54" s="7">
        <f t="shared" si="34"/>
        <v>0</v>
      </c>
      <c r="M54" s="3"/>
      <c r="N54" s="8">
        <f t="shared" si="35"/>
        <v>0</v>
      </c>
      <c r="O54" s="12"/>
      <c r="P54" s="7"/>
      <c r="Q54" s="3"/>
      <c r="R54" s="8">
        <f t="shared" si="36"/>
        <v>0</v>
      </c>
      <c r="S54" s="3"/>
      <c r="T54" s="7">
        <v>0</v>
      </c>
      <c r="U54" s="3"/>
      <c r="V54" s="8">
        <f t="shared" si="37"/>
        <v>0</v>
      </c>
      <c r="W54" s="3"/>
      <c r="X54" s="7">
        <f t="shared" si="38"/>
        <v>0</v>
      </c>
      <c r="Y54" s="3"/>
      <c r="Z54" s="8">
        <f t="shared" si="39"/>
        <v>0</v>
      </c>
    </row>
    <row r="55" spans="1:26" s="24" customFormat="1" hidden="1" outlineLevel="2" x14ac:dyDescent="0.25">
      <c r="A55" s="27"/>
      <c r="B55" s="12" t="str">
        <f>CONCATENATE("          ", "6284", " - ", "TRASH REMOVAL EXPENSE")</f>
        <v xml:space="preserve">          6284 - TRASH REMOVAL EXPENSE</v>
      </c>
      <c r="C55" s="12"/>
      <c r="D55" s="7"/>
      <c r="E55" s="3"/>
      <c r="F55" s="8">
        <f t="shared" si="32"/>
        <v>0</v>
      </c>
      <c r="G55" s="3"/>
      <c r="H55" s="7">
        <v>1200</v>
      </c>
      <c r="I55" s="3"/>
      <c r="J55" s="8">
        <f t="shared" si="33"/>
        <v>0</v>
      </c>
      <c r="K55" s="3"/>
      <c r="L55" s="7">
        <f t="shared" si="34"/>
        <v>-1200</v>
      </c>
      <c r="M55" s="3"/>
      <c r="N55" s="8">
        <f t="shared" si="35"/>
        <v>-1</v>
      </c>
      <c r="O55" s="12"/>
      <c r="P55" s="7"/>
      <c r="Q55" s="3"/>
      <c r="R55" s="8">
        <f t="shared" si="36"/>
        <v>0</v>
      </c>
      <c r="S55" s="3"/>
      <c r="T55" s="7">
        <v>1200</v>
      </c>
      <c r="U55" s="3"/>
      <c r="V55" s="8">
        <f t="shared" si="37"/>
        <v>0</v>
      </c>
      <c r="W55" s="3"/>
      <c r="X55" s="7">
        <f t="shared" si="38"/>
        <v>-1200</v>
      </c>
      <c r="Y55" s="3"/>
      <c r="Z55" s="8">
        <f t="shared" si="39"/>
        <v>-1</v>
      </c>
    </row>
    <row r="56" spans="1:26" s="24" customFormat="1" hidden="1" outlineLevel="2" x14ac:dyDescent="0.25">
      <c r="A56" s="27"/>
      <c r="B56" s="12" t="str">
        <f>CONCATENATE("          ", "6285", " - ", "JANITORIAL SERVICES")</f>
        <v xml:space="preserve">          6285 - JANITORIAL SERVICES</v>
      </c>
      <c r="C56" s="12"/>
      <c r="D56" s="7"/>
      <c r="E56" s="3"/>
      <c r="F56" s="8">
        <f t="shared" si="32"/>
        <v>0</v>
      </c>
      <c r="G56" s="3"/>
      <c r="H56" s="7">
        <v>0</v>
      </c>
      <c r="I56" s="3"/>
      <c r="J56" s="8">
        <f t="shared" si="33"/>
        <v>0</v>
      </c>
      <c r="K56" s="3"/>
      <c r="L56" s="7">
        <f t="shared" si="34"/>
        <v>0</v>
      </c>
      <c r="M56" s="3"/>
      <c r="N56" s="8">
        <f t="shared" si="35"/>
        <v>0</v>
      </c>
      <c r="O56" s="12"/>
      <c r="P56" s="7"/>
      <c r="Q56" s="3"/>
      <c r="R56" s="8">
        <f t="shared" si="36"/>
        <v>0</v>
      </c>
      <c r="S56" s="3"/>
      <c r="T56" s="7">
        <v>0</v>
      </c>
      <c r="U56" s="3"/>
      <c r="V56" s="8">
        <f t="shared" si="37"/>
        <v>0</v>
      </c>
      <c r="W56" s="3"/>
      <c r="X56" s="7">
        <f t="shared" si="38"/>
        <v>0</v>
      </c>
      <c r="Y56" s="3"/>
      <c r="Z56" s="8">
        <f t="shared" si="39"/>
        <v>0</v>
      </c>
    </row>
    <row r="57" spans="1:26" s="29" customFormat="1" outlineLevel="1" collapsed="1" x14ac:dyDescent="0.25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SUM(OSRRefD22_8x_0)</f>
        <v>0</v>
      </c>
      <c r="E57" s="1"/>
      <c r="F57" s="5">
        <f t="shared" ref="F57:F64" si="40">IF(D$12=0,0,D57/D$12)</f>
        <v>0</v>
      </c>
      <c r="G57" s="1"/>
      <c r="H57" s="1">
        <f>SUM(OSRRefH22_8x_0)</f>
        <v>0</v>
      </c>
      <c r="I57" s="1"/>
      <c r="J57" s="5">
        <f t="shared" ref="J57:J64" si="41">IF(H$12=0,0,H57/H$12)</f>
        <v>0</v>
      </c>
      <c r="K57" s="1"/>
      <c r="L57" s="1">
        <f t="shared" ref="L57:L64" si="42">+D57-H57</f>
        <v>0</v>
      </c>
      <c r="M57" s="1"/>
      <c r="N57" s="5">
        <f t="shared" ref="N57:N64" si="43">IF(H57=0,0,L57/H57)</f>
        <v>0</v>
      </c>
      <c r="O57" s="14"/>
      <c r="P57" s="1">
        <f>SUM(OSRRefP22_8x_0)</f>
        <v>0</v>
      </c>
      <c r="Q57" s="1"/>
      <c r="R57" s="5">
        <f t="shared" ref="R57:R64" si="44">IF(P$12=0,0,P57/P$12)</f>
        <v>0</v>
      </c>
      <c r="S57" s="1"/>
      <c r="T57" s="1">
        <f>SUM(OSRRefT22_8x_0)</f>
        <v>0</v>
      </c>
      <c r="U57" s="1"/>
      <c r="V57" s="5">
        <f t="shared" ref="V57:V64" si="45">IF(T$12=0,0,T57/T$12)</f>
        <v>0</v>
      </c>
      <c r="W57" s="1"/>
      <c r="X57" s="1">
        <f t="shared" ref="X57:X64" si="46">+P57-T57</f>
        <v>0</v>
      </c>
      <c r="Y57" s="1"/>
      <c r="Z57" s="5">
        <f t="shared" ref="Z57:Z64" si="47">IF(T57=0,0,X57/T57)</f>
        <v>0</v>
      </c>
    </row>
    <row r="58" spans="1:26" s="24" customFormat="1" hidden="1" outlineLevel="2" x14ac:dyDescent="0.25">
      <c r="A58" s="27"/>
      <c r="B58" s="12" t="str">
        <f>CONCATENATE("          ", "6235", " - ", "COVID-19 EXPENSES")</f>
        <v xml:space="preserve">          6235 - COVID-19 EXPENSES</v>
      </c>
      <c r="C58" s="12"/>
      <c r="D58" s="7"/>
      <c r="E58" s="3"/>
      <c r="F58" s="8">
        <f t="shared" si="40"/>
        <v>0</v>
      </c>
      <c r="G58" s="3"/>
      <c r="H58" s="7">
        <v>0</v>
      </c>
      <c r="I58" s="3"/>
      <c r="J58" s="8">
        <f t="shared" si="41"/>
        <v>0</v>
      </c>
      <c r="K58" s="3"/>
      <c r="L58" s="7">
        <f t="shared" si="42"/>
        <v>0</v>
      </c>
      <c r="M58" s="3"/>
      <c r="N58" s="8">
        <f t="shared" si="43"/>
        <v>0</v>
      </c>
      <c r="O58" s="12"/>
      <c r="P58" s="7"/>
      <c r="Q58" s="3"/>
      <c r="R58" s="8">
        <f t="shared" si="44"/>
        <v>0</v>
      </c>
      <c r="S58" s="3"/>
      <c r="T58" s="7">
        <v>0</v>
      </c>
      <c r="U58" s="3"/>
      <c r="V58" s="8">
        <f t="shared" si="45"/>
        <v>0</v>
      </c>
      <c r="W58" s="3"/>
      <c r="X58" s="7">
        <f t="shared" si="46"/>
        <v>0</v>
      </c>
      <c r="Y58" s="3"/>
      <c r="Z58" s="8">
        <f t="shared" si="47"/>
        <v>0</v>
      </c>
    </row>
    <row r="59" spans="1:26" s="24" customFormat="1" hidden="1" outlineLevel="2" x14ac:dyDescent="0.25">
      <c r="A59" s="27"/>
      <c r="B59" s="12" t="str">
        <f>CONCATENATE("          ", "6237", " - ", "JANITORIAL SUPPLIES")</f>
        <v xml:space="preserve">          6237 - JANITORIAL SUPPLIES</v>
      </c>
      <c r="C59" s="12"/>
      <c r="D59" s="7"/>
      <c r="E59" s="3"/>
      <c r="F59" s="8">
        <f t="shared" si="40"/>
        <v>0</v>
      </c>
      <c r="G59" s="3"/>
      <c r="H59" s="7">
        <v>0</v>
      </c>
      <c r="I59" s="3"/>
      <c r="J59" s="8">
        <f t="shared" si="41"/>
        <v>0</v>
      </c>
      <c r="K59" s="3"/>
      <c r="L59" s="7">
        <f t="shared" si="42"/>
        <v>0</v>
      </c>
      <c r="M59" s="3"/>
      <c r="N59" s="8">
        <f t="shared" si="43"/>
        <v>0</v>
      </c>
      <c r="O59" s="12"/>
      <c r="P59" s="7"/>
      <c r="Q59" s="3"/>
      <c r="R59" s="8">
        <f t="shared" si="44"/>
        <v>0</v>
      </c>
      <c r="S59" s="3"/>
      <c r="T59" s="7">
        <v>0</v>
      </c>
      <c r="U59" s="3"/>
      <c r="V59" s="8">
        <f t="shared" si="45"/>
        <v>0</v>
      </c>
      <c r="W59" s="3"/>
      <c r="X59" s="7">
        <f t="shared" si="46"/>
        <v>0</v>
      </c>
      <c r="Y59" s="3"/>
      <c r="Z59" s="8">
        <f t="shared" si="47"/>
        <v>0</v>
      </c>
    </row>
    <row r="60" spans="1:26" s="24" customFormat="1" hidden="1" outlineLevel="2" x14ac:dyDescent="0.25">
      <c r="A60" s="27"/>
      <c r="B60" s="12" t="str">
        <f>CONCATENATE("          ", "6239", " - ", "KITCHEN SUPPLIES")</f>
        <v xml:space="preserve">          6239 - KITCHEN SUPPLIES</v>
      </c>
      <c r="C60" s="12"/>
      <c r="D60" s="7"/>
      <c r="E60" s="3"/>
      <c r="F60" s="8">
        <f t="shared" si="40"/>
        <v>0</v>
      </c>
      <c r="G60" s="3"/>
      <c r="H60" s="7">
        <v>0</v>
      </c>
      <c r="I60" s="3"/>
      <c r="J60" s="8">
        <f t="shared" si="41"/>
        <v>0</v>
      </c>
      <c r="K60" s="3"/>
      <c r="L60" s="7">
        <f t="shared" si="42"/>
        <v>0</v>
      </c>
      <c r="M60" s="3"/>
      <c r="N60" s="8">
        <f t="shared" si="43"/>
        <v>0</v>
      </c>
      <c r="O60" s="12"/>
      <c r="P60" s="7"/>
      <c r="Q60" s="3"/>
      <c r="R60" s="8">
        <f t="shared" si="44"/>
        <v>0</v>
      </c>
      <c r="S60" s="3"/>
      <c r="T60" s="7">
        <v>0</v>
      </c>
      <c r="U60" s="3"/>
      <c r="V60" s="8">
        <f t="shared" si="45"/>
        <v>0</v>
      </c>
      <c r="W60" s="3"/>
      <c r="X60" s="7">
        <f t="shared" si="46"/>
        <v>0</v>
      </c>
      <c r="Y60" s="3"/>
      <c r="Z60" s="8">
        <f t="shared" si="47"/>
        <v>0</v>
      </c>
    </row>
    <row r="61" spans="1:26" s="24" customFormat="1" hidden="1" outlineLevel="2" x14ac:dyDescent="0.25">
      <c r="A61" s="27"/>
      <c r="B61" s="12" t="str">
        <f>CONCATENATE("          ", "6241", " - ", "OFFICE EXPENSE")</f>
        <v xml:space="preserve">          6241 - OFFICE EXPENSE</v>
      </c>
      <c r="C61" s="12"/>
      <c r="D61" s="7"/>
      <c r="E61" s="3"/>
      <c r="F61" s="8">
        <f t="shared" si="40"/>
        <v>0</v>
      </c>
      <c r="G61" s="3"/>
      <c r="H61" s="7">
        <v>0</v>
      </c>
      <c r="I61" s="3"/>
      <c r="J61" s="8">
        <f t="shared" si="41"/>
        <v>0</v>
      </c>
      <c r="K61" s="3"/>
      <c r="L61" s="7">
        <f t="shared" si="42"/>
        <v>0</v>
      </c>
      <c r="M61" s="3"/>
      <c r="N61" s="8">
        <f t="shared" si="43"/>
        <v>0</v>
      </c>
      <c r="O61" s="12"/>
      <c r="P61" s="7"/>
      <c r="Q61" s="3"/>
      <c r="R61" s="8">
        <f t="shared" si="44"/>
        <v>0</v>
      </c>
      <c r="S61" s="3"/>
      <c r="T61" s="7">
        <v>0</v>
      </c>
      <c r="U61" s="3"/>
      <c r="V61" s="8">
        <f t="shared" si="45"/>
        <v>0</v>
      </c>
      <c r="W61" s="3"/>
      <c r="X61" s="7">
        <f t="shared" si="46"/>
        <v>0</v>
      </c>
      <c r="Y61" s="3"/>
      <c r="Z61" s="8">
        <f t="shared" si="47"/>
        <v>0</v>
      </c>
    </row>
    <row r="62" spans="1:26" s="24" customFormat="1" hidden="1" outlineLevel="2" x14ac:dyDescent="0.25">
      <c r="A62" s="27"/>
      <c r="B62" s="12" t="str">
        <f>CONCATENATE("          ", "6246", " - ", "REPLACEMENTS")</f>
        <v xml:space="preserve">          6246 - REPLACEMENTS</v>
      </c>
      <c r="C62" s="12"/>
      <c r="D62" s="7"/>
      <c r="E62" s="3"/>
      <c r="F62" s="8">
        <f t="shared" si="40"/>
        <v>0</v>
      </c>
      <c r="G62" s="3"/>
      <c r="H62" s="7">
        <v>0</v>
      </c>
      <c r="I62" s="3"/>
      <c r="J62" s="8">
        <f t="shared" si="41"/>
        <v>0</v>
      </c>
      <c r="K62" s="3"/>
      <c r="L62" s="7">
        <f t="shared" si="42"/>
        <v>0</v>
      </c>
      <c r="M62" s="3"/>
      <c r="N62" s="8">
        <f t="shared" si="43"/>
        <v>0</v>
      </c>
      <c r="O62" s="12"/>
      <c r="P62" s="7"/>
      <c r="Q62" s="3"/>
      <c r="R62" s="8">
        <f t="shared" si="44"/>
        <v>0</v>
      </c>
      <c r="S62" s="3"/>
      <c r="T62" s="7">
        <v>0</v>
      </c>
      <c r="U62" s="3"/>
      <c r="V62" s="8">
        <f t="shared" si="45"/>
        <v>0</v>
      </c>
      <c r="W62" s="3"/>
      <c r="X62" s="7">
        <f t="shared" si="46"/>
        <v>0</v>
      </c>
      <c r="Y62" s="3"/>
      <c r="Z62" s="8">
        <f t="shared" si="47"/>
        <v>0</v>
      </c>
    </row>
    <row r="63" spans="1:26" s="24" customFormat="1" hidden="1" outlineLevel="2" x14ac:dyDescent="0.25">
      <c r="A63" s="27"/>
      <c r="B63" s="12" t="str">
        <f>CONCATENATE("          ", "6247", " - ", "STORE SUPPLIES")</f>
        <v xml:space="preserve">          6247 - STORE SUPPLIES</v>
      </c>
      <c r="C63" s="12"/>
      <c r="D63" s="7"/>
      <c r="E63" s="3"/>
      <c r="F63" s="8">
        <f t="shared" si="40"/>
        <v>0</v>
      </c>
      <c r="G63" s="3"/>
      <c r="H63" s="7">
        <v>0</v>
      </c>
      <c r="I63" s="3"/>
      <c r="J63" s="8">
        <f t="shared" si="41"/>
        <v>0</v>
      </c>
      <c r="K63" s="3"/>
      <c r="L63" s="7">
        <f t="shared" si="42"/>
        <v>0</v>
      </c>
      <c r="M63" s="3"/>
      <c r="N63" s="8">
        <f t="shared" si="43"/>
        <v>0</v>
      </c>
      <c r="O63" s="12"/>
      <c r="P63" s="7"/>
      <c r="Q63" s="3"/>
      <c r="R63" s="8">
        <f t="shared" si="44"/>
        <v>0</v>
      </c>
      <c r="S63" s="3"/>
      <c r="T63" s="7">
        <v>0</v>
      </c>
      <c r="U63" s="3"/>
      <c r="V63" s="8">
        <f t="shared" si="45"/>
        <v>0</v>
      </c>
      <c r="W63" s="3"/>
      <c r="X63" s="7">
        <f t="shared" si="46"/>
        <v>0</v>
      </c>
      <c r="Y63" s="3"/>
      <c r="Z63" s="8">
        <f t="shared" si="47"/>
        <v>0</v>
      </c>
    </row>
    <row r="64" spans="1:26" s="24" customFormat="1" hidden="1" outlineLevel="2" x14ac:dyDescent="0.25">
      <c r="A64" s="27"/>
      <c r="B64" s="12" t="str">
        <f>CONCATENATE("          ", "6248", " - ", "UNIFORMS")</f>
        <v xml:space="preserve">          6248 - UNIFORMS</v>
      </c>
      <c r="C64" s="12"/>
      <c r="D64" s="7"/>
      <c r="E64" s="3"/>
      <c r="F64" s="8">
        <f t="shared" si="40"/>
        <v>0</v>
      </c>
      <c r="G64" s="3"/>
      <c r="H64" s="7">
        <v>0</v>
      </c>
      <c r="I64" s="3"/>
      <c r="J64" s="8">
        <f t="shared" si="41"/>
        <v>0</v>
      </c>
      <c r="K64" s="3"/>
      <c r="L64" s="7">
        <f t="shared" si="42"/>
        <v>0</v>
      </c>
      <c r="M64" s="3"/>
      <c r="N64" s="8">
        <f t="shared" si="43"/>
        <v>0</v>
      </c>
      <c r="O64" s="12"/>
      <c r="P64" s="7"/>
      <c r="Q64" s="3"/>
      <c r="R64" s="8">
        <f t="shared" si="44"/>
        <v>0</v>
      </c>
      <c r="S64" s="3"/>
      <c r="T64" s="7">
        <v>0</v>
      </c>
      <c r="U64" s="3"/>
      <c r="V64" s="8">
        <f t="shared" si="45"/>
        <v>0</v>
      </c>
      <c r="W64" s="3"/>
      <c r="X64" s="7">
        <f t="shared" si="46"/>
        <v>0</v>
      </c>
      <c r="Y64" s="3"/>
      <c r="Z64" s="8">
        <f t="shared" si="47"/>
        <v>0</v>
      </c>
    </row>
    <row r="65" spans="1:26" s="29" customFormat="1" outlineLevel="1" collapsed="1" x14ac:dyDescent="0.25">
      <c r="A65" s="28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SUM(OSRRefD22_9x_0)</f>
        <v>426</v>
      </c>
      <c r="E65" s="1"/>
      <c r="F65" s="5">
        <f t="shared" ref="F65:F70" si="48">IF(D$12=0,0,D65/D$12)</f>
        <v>0</v>
      </c>
      <c r="G65" s="1"/>
      <c r="H65" s="1">
        <f>SUM(OSRRefH22_9x_0)</f>
        <v>50</v>
      </c>
      <c r="I65" s="1"/>
      <c r="J65" s="5">
        <f t="shared" ref="J65:J70" si="49">IF(H$12=0,0,H65/H$12)</f>
        <v>0</v>
      </c>
      <c r="K65" s="1"/>
      <c r="L65" s="1">
        <f t="shared" ref="L65:L70" si="50">+D65-H65</f>
        <v>376</v>
      </c>
      <c r="M65" s="1"/>
      <c r="N65" s="5">
        <f t="shared" ref="N65:N70" si="51">IF(H65=0,0,L65/H65)</f>
        <v>7.52</v>
      </c>
      <c r="O65" s="14"/>
      <c r="P65" s="1">
        <f>SUM(OSRRefP22_9x_0)</f>
        <v>426</v>
      </c>
      <c r="Q65" s="1"/>
      <c r="R65" s="5">
        <f t="shared" ref="R65:R70" si="52">IF(P$12=0,0,P65/P$12)</f>
        <v>0</v>
      </c>
      <c r="S65" s="1"/>
      <c r="T65" s="1">
        <f>SUM(OSRRefT22_9x_0)</f>
        <v>50</v>
      </c>
      <c r="U65" s="1"/>
      <c r="V65" s="5">
        <f t="shared" ref="V65:V70" si="53">IF(T$12=0,0,T65/T$12)</f>
        <v>0</v>
      </c>
      <c r="W65" s="1"/>
      <c r="X65" s="1">
        <f t="shared" ref="X65:X70" si="54">+P65-T65</f>
        <v>376</v>
      </c>
      <c r="Y65" s="1"/>
      <c r="Z65" s="5">
        <f t="shared" ref="Z65:Z70" si="55">IF(T65=0,0,X65/T65)</f>
        <v>7.52</v>
      </c>
    </row>
    <row r="66" spans="1:26" s="24" customFormat="1" hidden="1" outlineLevel="2" x14ac:dyDescent="0.25">
      <c r="A66" s="27"/>
      <c r="B66" s="12" t="str">
        <f>CONCATENATE("          ", "6309", " - ", "TELEPHONE")</f>
        <v xml:space="preserve">          6309 - TELEPHONE</v>
      </c>
      <c r="C66" s="12"/>
      <c r="D66" s="7">
        <v>426</v>
      </c>
      <c r="E66" s="3"/>
      <c r="F66" s="8">
        <f t="shared" si="48"/>
        <v>0</v>
      </c>
      <c r="G66" s="3"/>
      <c r="H66" s="7">
        <v>50</v>
      </c>
      <c r="I66" s="3"/>
      <c r="J66" s="8">
        <f t="shared" si="49"/>
        <v>0</v>
      </c>
      <c r="K66" s="3"/>
      <c r="L66" s="7">
        <f t="shared" si="50"/>
        <v>376</v>
      </c>
      <c r="M66" s="3"/>
      <c r="N66" s="8">
        <f t="shared" si="51"/>
        <v>7.52</v>
      </c>
      <c r="O66" s="12"/>
      <c r="P66" s="7">
        <v>426</v>
      </c>
      <c r="Q66" s="3"/>
      <c r="R66" s="8">
        <f t="shared" si="52"/>
        <v>0</v>
      </c>
      <c r="S66" s="3"/>
      <c r="T66" s="7">
        <v>50</v>
      </c>
      <c r="U66" s="3"/>
      <c r="V66" s="8">
        <f t="shared" si="53"/>
        <v>0</v>
      </c>
      <c r="W66" s="3"/>
      <c r="X66" s="7">
        <f t="shared" si="54"/>
        <v>376</v>
      </c>
      <c r="Y66" s="3"/>
      <c r="Z66" s="8">
        <f t="shared" si="55"/>
        <v>7.52</v>
      </c>
    </row>
    <row r="67" spans="1:26" s="29" customFormat="1" outlineLevel="1" collapsed="1" x14ac:dyDescent="0.25">
      <c r="A67" s="28"/>
      <c r="B67" s="14" t="str">
        <f>CONCATENATE("     ","Travel                                            ")</f>
        <v xml:space="preserve">     Travel                                            </v>
      </c>
      <c r="C67" s="14"/>
      <c r="D67" s="1">
        <f>SUM(OSRRefD22_10x_0)</f>
        <v>179.69</v>
      </c>
      <c r="E67" s="1"/>
      <c r="F67" s="5">
        <f t="shared" si="48"/>
        <v>0</v>
      </c>
      <c r="G67" s="1"/>
      <c r="H67" s="1">
        <f>SUM(OSRRefH22_10x_0)</f>
        <v>0</v>
      </c>
      <c r="I67" s="1"/>
      <c r="J67" s="5">
        <f t="shared" si="49"/>
        <v>0</v>
      </c>
      <c r="K67" s="1"/>
      <c r="L67" s="1">
        <f t="shared" si="50"/>
        <v>179.69</v>
      </c>
      <c r="M67" s="1"/>
      <c r="N67" s="5">
        <f t="shared" si="51"/>
        <v>0</v>
      </c>
      <c r="O67" s="14"/>
      <c r="P67" s="1">
        <f>SUM(OSRRefP22_10x_0)</f>
        <v>179.69</v>
      </c>
      <c r="Q67" s="1"/>
      <c r="R67" s="5">
        <f t="shared" si="52"/>
        <v>0</v>
      </c>
      <c r="S67" s="1"/>
      <c r="T67" s="1">
        <f>SUM(OSRRefT22_10x_0)</f>
        <v>0</v>
      </c>
      <c r="U67" s="1"/>
      <c r="V67" s="5">
        <f t="shared" si="53"/>
        <v>0</v>
      </c>
      <c r="W67" s="1"/>
      <c r="X67" s="1">
        <f t="shared" si="54"/>
        <v>179.69</v>
      </c>
      <c r="Y67" s="1"/>
      <c r="Z67" s="5">
        <f t="shared" si="55"/>
        <v>0</v>
      </c>
    </row>
    <row r="68" spans="1:26" s="24" customFormat="1" hidden="1" outlineLevel="2" x14ac:dyDescent="0.25">
      <c r="A68" s="27"/>
      <c r="B68" s="12" t="str">
        <f>CONCATENATE("          ", "6298", " - ", "VEHICLE MILEAGE")</f>
        <v xml:space="preserve">          6298 - VEHICLE MILEAGE</v>
      </c>
      <c r="C68" s="12"/>
      <c r="D68" s="7">
        <v>179.69</v>
      </c>
      <c r="E68" s="3"/>
      <c r="F68" s="8">
        <f t="shared" si="48"/>
        <v>0</v>
      </c>
      <c r="G68" s="3"/>
      <c r="H68" s="7"/>
      <c r="I68" s="3"/>
      <c r="J68" s="8">
        <f t="shared" si="49"/>
        <v>0</v>
      </c>
      <c r="K68" s="3"/>
      <c r="L68" s="7">
        <f t="shared" si="50"/>
        <v>179.69</v>
      </c>
      <c r="M68" s="3"/>
      <c r="N68" s="8">
        <f t="shared" si="51"/>
        <v>0</v>
      </c>
      <c r="O68" s="12"/>
      <c r="P68" s="7">
        <v>179.69</v>
      </c>
      <c r="Q68" s="3"/>
      <c r="R68" s="8">
        <f t="shared" si="52"/>
        <v>0</v>
      </c>
      <c r="S68" s="3"/>
      <c r="T68" s="7"/>
      <c r="U68" s="3"/>
      <c r="V68" s="8">
        <f t="shared" si="53"/>
        <v>0</v>
      </c>
      <c r="W68" s="3"/>
      <c r="X68" s="7">
        <f t="shared" si="54"/>
        <v>179.69</v>
      </c>
      <c r="Y68" s="3"/>
      <c r="Z68" s="8">
        <f t="shared" si="55"/>
        <v>0</v>
      </c>
    </row>
    <row r="69" spans="1:26" s="29" customFormat="1" outlineLevel="1" collapsed="1" x14ac:dyDescent="0.25">
      <c r="A69" s="28"/>
      <c r="B69" s="14" t="str">
        <f>CONCATENATE("     ","Utilities                                         ")</f>
        <v xml:space="preserve">     Utilities                                         </v>
      </c>
      <c r="C69" s="14"/>
      <c r="D69" s="1">
        <f>SUM(OSRRefD22_11x_0)</f>
        <v>0</v>
      </c>
      <c r="E69" s="1"/>
      <c r="F69" s="5">
        <f t="shared" si="48"/>
        <v>0</v>
      </c>
      <c r="G69" s="1"/>
      <c r="H69" s="1">
        <f>SUM(OSRRefH22_11x_0)</f>
        <v>1000</v>
      </c>
      <c r="I69" s="1"/>
      <c r="J69" s="5">
        <f t="shared" si="49"/>
        <v>0</v>
      </c>
      <c r="K69" s="1"/>
      <c r="L69" s="1">
        <f t="shared" si="50"/>
        <v>-1000</v>
      </c>
      <c r="M69" s="1"/>
      <c r="N69" s="5">
        <f t="shared" si="51"/>
        <v>-1</v>
      </c>
      <c r="O69" s="14"/>
      <c r="P69" s="1">
        <f>SUM(OSRRefP22_11x_0)</f>
        <v>0</v>
      </c>
      <c r="Q69" s="1"/>
      <c r="R69" s="5">
        <f t="shared" si="52"/>
        <v>0</v>
      </c>
      <c r="S69" s="1"/>
      <c r="T69" s="1">
        <f>SUM(OSRRefT22_11x_0)</f>
        <v>1000</v>
      </c>
      <c r="U69" s="1"/>
      <c r="V69" s="5">
        <f t="shared" si="53"/>
        <v>0</v>
      </c>
      <c r="W69" s="1"/>
      <c r="X69" s="1">
        <f t="shared" si="54"/>
        <v>-1000</v>
      </c>
      <c r="Y69" s="1"/>
      <c r="Z69" s="5">
        <f t="shared" si="55"/>
        <v>-1</v>
      </c>
    </row>
    <row r="70" spans="1:26" s="24" customFormat="1" hidden="1" outlineLevel="2" x14ac:dyDescent="0.25">
      <c r="A70" s="27"/>
      <c r="B70" s="12" t="str">
        <f>CONCATENATE("          ", "6274", " - ", "UTILITIES")</f>
        <v xml:space="preserve">          6274 - UTILITIES</v>
      </c>
      <c r="C70" s="12"/>
      <c r="D70" s="7"/>
      <c r="E70" s="3"/>
      <c r="F70" s="8">
        <f t="shared" si="48"/>
        <v>0</v>
      </c>
      <c r="G70" s="3"/>
      <c r="H70" s="7">
        <v>1000</v>
      </c>
      <c r="I70" s="3"/>
      <c r="J70" s="8">
        <f t="shared" si="49"/>
        <v>0</v>
      </c>
      <c r="K70" s="3"/>
      <c r="L70" s="7">
        <f t="shared" si="50"/>
        <v>-1000</v>
      </c>
      <c r="M70" s="3"/>
      <c r="N70" s="8">
        <f t="shared" si="51"/>
        <v>-1</v>
      </c>
      <c r="O70" s="12"/>
      <c r="P70" s="7"/>
      <c r="Q70" s="3"/>
      <c r="R70" s="8">
        <f t="shared" si="52"/>
        <v>0</v>
      </c>
      <c r="S70" s="3"/>
      <c r="T70" s="7">
        <v>1000</v>
      </c>
      <c r="U70" s="3"/>
      <c r="V70" s="8">
        <f t="shared" si="53"/>
        <v>0</v>
      </c>
      <c r="W70" s="3"/>
      <c r="X70" s="7">
        <f t="shared" si="54"/>
        <v>-1000</v>
      </c>
      <c r="Y70" s="3"/>
      <c r="Z70" s="8">
        <f t="shared" si="55"/>
        <v>-1</v>
      </c>
    </row>
    <row r="71" spans="1:26" s="54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2" customFormat="1" collapsed="1" x14ac:dyDescent="0.25">
      <c r="A72" s="10"/>
      <c r="B72" s="26" t="s">
        <v>0</v>
      </c>
      <c r="C72" s="10"/>
      <c r="D72" s="4">
        <f>SUM(OSRRefD25x_0)</f>
        <v>512.41</v>
      </c>
      <c r="E72" s="4"/>
      <c r="F72" s="11">
        <f t="shared" ref="F72:F73" si="56">IF(D$12=0,0,D72/D$12)</f>
        <v>0</v>
      </c>
      <c r="G72" s="4"/>
      <c r="H72" s="4">
        <f>SUM(OSRRefH25x_0)</f>
        <v>0</v>
      </c>
      <c r="I72" s="4"/>
      <c r="J72" s="11">
        <f t="shared" ref="J72:J73" si="57">IF(H$12=0,0,H72/H$12)</f>
        <v>0</v>
      </c>
      <c r="K72" s="4"/>
      <c r="L72" s="4">
        <f t="shared" ref="L72:L73" si="58">+D72-H72</f>
        <v>512.41</v>
      </c>
      <c r="M72" s="4"/>
      <c r="N72" s="11">
        <f t="shared" ref="N72:N73" si="59">IF(H72=0,0,L72/H72)</f>
        <v>0</v>
      </c>
      <c r="O72" s="10"/>
      <c r="P72" s="4">
        <f>SUM(OSRRefP25x_0)</f>
        <v>512.41</v>
      </c>
      <c r="Q72" s="4"/>
      <c r="R72" s="11">
        <f t="shared" ref="R72:R73" si="60">IF(P$12=0,0,P72/P$12)</f>
        <v>0</v>
      </c>
      <c r="S72" s="4"/>
      <c r="T72" s="4">
        <f>SUM(OSRRefT25x_0)</f>
        <v>0</v>
      </c>
      <c r="U72" s="4"/>
      <c r="V72" s="11">
        <f t="shared" ref="V72:V73" si="61">IF(T$12=0,0,T72/T$12)</f>
        <v>0</v>
      </c>
      <c r="W72" s="4"/>
      <c r="X72" s="4">
        <f t="shared" ref="X72:X73" si="62">+P72-T72</f>
        <v>512.41</v>
      </c>
      <c r="Y72" s="4"/>
      <c r="Z72" s="11">
        <f t="shared" ref="Z72:Z73" si="63">IF(T72=0,0,X72/T72)</f>
        <v>0</v>
      </c>
    </row>
    <row r="73" spans="1:26" s="24" customFormat="1" hidden="1" outlineLevel="1" x14ac:dyDescent="0.25">
      <c r="A73" s="51"/>
      <c r="B73" s="12" t="str">
        <f>CONCATENATE("          ", "9150", " - ", "MISC. INCOME")</f>
        <v xml:space="preserve">          9150 - MISC. INCOME</v>
      </c>
      <c r="C73" s="12"/>
      <c r="D73" s="3">
        <f>--512.41</f>
        <v>512.41</v>
      </c>
      <c r="E73" s="3"/>
      <c r="F73" s="23">
        <f t="shared" si="56"/>
        <v>0</v>
      </c>
      <c r="G73" s="3"/>
      <c r="H73" s="3"/>
      <c r="I73" s="3"/>
      <c r="J73" s="23">
        <f t="shared" si="57"/>
        <v>0</v>
      </c>
      <c r="K73" s="3"/>
      <c r="L73" s="3">
        <f t="shared" si="58"/>
        <v>512.41</v>
      </c>
      <c r="M73" s="3"/>
      <c r="N73" s="23">
        <f t="shared" si="59"/>
        <v>0</v>
      </c>
      <c r="O73" s="12"/>
      <c r="P73" s="3">
        <f>--512.41</f>
        <v>512.41</v>
      </c>
      <c r="Q73" s="3"/>
      <c r="R73" s="23">
        <f t="shared" si="60"/>
        <v>0</v>
      </c>
      <c r="S73" s="3"/>
      <c r="T73" s="3"/>
      <c r="U73" s="3"/>
      <c r="V73" s="23">
        <f t="shared" si="61"/>
        <v>0</v>
      </c>
      <c r="W73" s="3"/>
      <c r="X73" s="3">
        <f t="shared" si="62"/>
        <v>512.41</v>
      </c>
      <c r="Y73" s="3"/>
      <c r="Z73" s="23">
        <f t="shared" si="63"/>
        <v>0</v>
      </c>
    </row>
    <row r="74" spans="1:26" x14ac:dyDescent="0.25">
      <c r="A74" s="9"/>
      <c r="B74" s="10"/>
      <c r="C74" s="10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10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2" customFormat="1" x14ac:dyDescent="0.25">
      <c r="A75" s="10"/>
      <c r="B75" s="25" t="s">
        <v>3</v>
      </c>
      <c r="C75" s="25"/>
      <c r="D75" s="21">
        <f>+D16-D18+D72</f>
        <v>-30139.8</v>
      </c>
      <c r="E75" s="13"/>
      <c r="F75" s="20">
        <f>IF(D$12=0,0,D75/D$12)</f>
        <v>0</v>
      </c>
      <c r="G75" s="13"/>
      <c r="H75" s="21">
        <f>+H16-H18+H72</f>
        <v>-17075.076923076922</v>
      </c>
      <c r="I75" s="13"/>
      <c r="J75" s="20">
        <f>IF(H$12=0,0,H75/H$12)</f>
        <v>0</v>
      </c>
      <c r="K75" s="15"/>
      <c r="L75" s="21">
        <f>+D75-H75</f>
        <v>-13064.723076923077</v>
      </c>
      <c r="M75" s="15"/>
      <c r="N75" s="20">
        <f>IF(H75=0,0,L75/H75)</f>
        <v>0.76513406854795118</v>
      </c>
      <c r="O75" s="26"/>
      <c r="P75" s="21">
        <f>+P16-P18+P72</f>
        <v>-30139.8</v>
      </c>
      <c r="Q75" s="13"/>
      <c r="R75" s="20">
        <f>IF(P$12=0,0,P75/P$12)</f>
        <v>0</v>
      </c>
      <c r="S75" s="13"/>
      <c r="T75" s="21">
        <f>+T16-T18+T72</f>
        <v>-17075.076923076922</v>
      </c>
      <c r="U75" s="13"/>
      <c r="V75" s="20">
        <f>IF(T$12=0,0,T75/T$12)</f>
        <v>0</v>
      </c>
      <c r="W75" s="15"/>
      <c r="X75" s="21">
        <f>+P75-T75</f>
        <v>-13064.723076923077</v>
      </c>
      <c r="Y75" s="15"/>
      <c r="Z75" s="20">
        <f>IF(T75=0,0,X75/T75)</f>
        <v>0.76513406854795118</v>
      </c>
    </row>
    <row r="76" spans="1:26" x14ac:dyDescent="0.25">
      <c r="A76" s="9"/>
      <c r="B76" s="10"/>
      <c r="C76" s="9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22" customFormat="1" x14ac:dyDescent="0.25">
      <c r="A77" s="52"/>
      <c r="B77" s="10" t="s">
        <v>14</v>
      </c>
      <c r="C77" s="10"/>
      <c r="D77" s="4"/>
      <c r="E77" s="4"/>
      <c r="F77" s="11">
        <f>IF(D$12=0,0,D77/D$12)</f>
        <v>0</v>
      </c>
      <c r="G77" s="4"/>
      <c r="H77" s="4"/>
      <c r="I77" s="4"/>
      <c r="J77" s="11">
        <f>IF(H$12=0,0,H77/H$12)</f>
        <v>0</v>
      </c>
      <c r="K77" s="4"/>
      <c r="L77" s="4">
        <f>+D77-H77</f>
        <v>0</v>
      </c>
      <c r="M77" s="4"/>
      <c r="N77" s="11">
        <f>IF(H77=0,0,L77/H77)</f>
        <v>0</v>
      </c>
      <c r="O77" s="10"/>
      <c r="P77" s="4"/>
      <c r="Q77" s="4"/>
      <c r="R77" s="11">
        <f>IF(P$12=0,0,P77/P$12)</f>
        <v>0</v>
      </c>
      <c r="S77" s="4"/>
      <c r="T77" s="4"/>
      <c r="U77" s="4"/>
      <c r="V77" s="11">
        <f>IF(T$12=0,0,T77/T$12)</f>
        <v>0</v>
      </c>
      <c r="W77" s="4"/>
      <c r="X77" s="4">
        <f>+P77-T77</f>
        <v>0</v>
      </c>
      <c r="Y77" s="4"/>
      <c r="Z77" s="11">
        <f>IF(T77=0,0,X77/T77)</f>
        <v>0</v>
      </c>
    </row>
    <row r="78" spans="1:26" x14ac:dyDescent="0.25">
      <c r="A78" s="9"/>
      <c r="B78" s="10"/>
      <c r="C78" s="10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O78" s="10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2" customFormat="1" ht="15.75" thickBot="1" x14ac:dyDescent="0.3">
      <c r="A79" s="10"/>
      <c r="B79" s="25" t="s">
        <v>4</v>
      </c>
      <c r="C79" s="25"/>
      <c r="D79" s="34">
        <f>+D75-D77</f>
        <v>-30139.8</v>
      </c>
      <c r="E79" s="13"/>
      <c r="F79" s="30">
        <f>IF(D$12=0,0,D79/D$12)</f>
        <v>0</v>
      </c>
      <c r="G79" s="13"/>
      <c r="H79" s="34">
        <f>+H75-H77</f>
        <v>-17075.076923076922</v>
      </c>
      <c r="I79" s="13"/>
      <c r="J79" s="30">
        <f>IF(H$12=0,0,H79/H$12)</f>
        <v>0</v>
      </c>
      <c r="K79" s="15"/>
      <c r="L79" s="34">
        <f>D79-H79</f>
        <v>-13064.723076923077</v>
      </c>
      <c r="M79" s="15"/>
      <c r="N79" s="30">
        <f>IF(H79=0,0,L79/H79)</f>
        <v>0.76513406854795118</v>
      </c>
      <c r="O79" s="26"/>
      <c r="P79" s="34">
        <f>+P75-P77</f>
        <v>-30139.8</v>
      </c>
      <c r="Q79" s="13"/>
      <c r="R79" s="30">
        <f>IF(P$12=0,0,P79/P$12)</f>
        <v>0</v>
      </c>
      <c r="S79" s="13"/>
      <c r="T79" s="34">
        <f>+T75-T77</f>
        <v>-17075.076923076922</v>
      </c>
      <c r="U79" s="13"/>
      <c r="V79" s="30">
        <f>IF(T$12=0,0,T79/T$12)</f>
        <v>0</v>
      </c>
      <c r="W79" s="15"/>
      <c r="X79" s="34">
        <f>P79-T79</f>
        <v>-13064.723076923077</v>
      </c>
      <c r="Y79" s="15"/>
      <c r="Z79" s="30">
        <f>IF(T79=0,0,X79/T79)</f>
        <v>0.76513406854795118</v>
      </c>
    </row>
    <row r="80" spans="1:26" ht="15.75" thickTop="1" x14ac:dyDescent="0.25">
      <c r="A80" s="9"/>
      <c r="B80" s="9"/>
      <c r="C80" s="9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x14ac:dyDescent="0.25">
      <c r="A81" s="9"/>
      <c r="B81" s="9"/>
      <c r="C81" s="9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22" customFormat="1" ht="15.75" thickBot="1" x14ac:dyDescent="0.3">
      <c r="A82" s="10"/>
      <c r="B82" s="25" t="s">
        <v>5</v>
      </c>
      <c r="C82" s="25"/>
      <c r="D82" s="32">
        <f>SUM(D79:D81)</f>
        <v>-30139.8</v>
      </c>
      <c r="E82" s="13"/>
      <c r="F82" s="33">
        <f>IF(D$12=0,0,D82/D$12)</f>
        <v>0</v>
      </c>
      <c r="G82" s="13"/>
      <c r="H82" s="32">
        <f>SUM(H79:H81)</f>
        <v>-17075.076923076922</v>
      </c>
      <c r="I82" s="13"/>
      <c r="J82" s="33">
        <f>IF(H$12=0,0,H82/H$12)</f>
        <v>0</v>
      </c>
      <c r="K82" s="15"/>
      <c r="L82" s="32">
        <f>+D82-H82</f>
        <v>-13064.723076923077</v>
      </c>
      <c r="M82" s="15"/>
      <c r="N82" s="33">
        <f>IF(H82=0,0,L82/H82)</f>
        <v>0.76513406854795118</v>
      </c>
      <c r="O82" s="26"/>
      <c r="P82" s="32">
        <f>SUM(P79:P81)</f>
        <v>-30139.8</v>
      </c>
      <c r="Q82" s="13"/>
      <c r="R82" s="33">
        <f>IF(P$12=0,0,P82/P$12)</f>
        <v>0</v>
      </c>
      <c r="S82" s="13"/>
      <c r="T82" s="32">
        <f>SUM(T79:T81)</f>
        <v>-17075.076923076922</v>
      </c>
      <c r="U82" s="13"/>
      <c r="V82" s="33">
        <f>IF(T$12=0,0,T82/T$12)</f>
        <v>0</v>
      </c>
      <c r="W82" s="15"/>
      <c r="X82" s="32">
        <f>+P82-T82</f>
        <v>-13064.723076923077</v>
      </c>
      <c r="Y82" s="15"/>
      <c r="Z82" s="33">
        <f>IF(T82=0,0,X82/T82)</f>
        <v>0.76513406854795118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58">
        <v>44104.686283831019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6" t="s">
        <v>314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2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","412", " - ", "Chartroom")</f>
        <v>Department 412 - Chartroom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3" si="0">+D12-H12</f>
        <v>0</v>
      </c>
      <c r="M12" s="4"/>
      <c r="N12" s="11">
        <f t="shared" ref="N12:N13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3" si="2">+P12-T12</f>
        <v>0</v>
      </c>
      <c r="Y12" s="4"/>
      <c r="Z12" s="11">
        <f t="shared" ref="Z12:Z13" si="3">IF(T12=0,0,X12/T12)</f>
        <v>0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1">
        <f t="shared" ref="F15:F16" si="4">IF(D$12=0,0,D15/D$12)</f>
        <v>0</v>
      </c>
      <c r="G15" s="4"/>
      <c r="H15" s="4">
        <f>SUM(OSRRefH16x_0)</f>
        <v>0</v>
      </c>
      <c r="I15" s="4"/>
      <c r="J15" s="11">
        <f t="shared" ref="J15:J16" si="5">IF(H$12=0,0,H15/H$12)</f>
        <v>0</v>
      </c>
      <c r="K15" s="4"/>
      <c r="L15" s="4">
        <f t="shared" ref="L15:L16" si="6">+D15-H15</f>
        <v>0</v>
      </c>
      <c r="M15" s="4"/>
      <c r="N15" s="11">
        <f t="shared" ref="N15:N16" si="7">IF(H15=0,0,L15/H15)</f>
        <v>0</v>
      </c>
      <c r="O15" s="10"/>
      <c r="P15" s="4">
        <f>SUM(OSRRefP16x_0)</f>
        <v>0</v>
      </c>
      <c r="Q15" s="4"/>
      <c r="R15" s="11">
        <f t="shared" ref="R15:R16" si="8">IF(P$12=0,0,P15/P$12)</f>
        <v>0</v>
      </c>
      <c r="S15" s="4"/>
      <c r="T15" s="4">
        <f>SUM(OSRRefT16x_0)</f>
        <v>0</v>
      </c>
      <c r="U15" s="4"/>
      <c r="V15" s="11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1">
        <f t="shared" ref="Z15:Z16" si="11">IF(T15=0,0,X15/T15)</f>
        <v>0</v>
      </c>
    </row>
    <row r="16" spans="1:26" s="24" customFormat="1" hidden="1" outlineLevel="1" x14ac:dyDescent="0.25">
      <c r="A16" s="51"/>
      <c r="B16" s="12" t="str">
        <f>CONCATENATE("          ", "5000", " - ", "PURCHASES @ COST")</f>
        <v xml:space="preserve">          5000 - PURCHASES @ COST</v>
      </c>
      <c r="C16" s="12"/>
      <c r="D16" s="3"/>
      <c r="E16" s="3"/>
      <c r="F16" s="23">
        <f t="shared" si="4"/>
        <v>0</v>
      </c>
      <c r="G16" s="3"/>
      <c r="H16" s="3">
        <v>0</v>
      </c>
      <c r="I16" s="3"/>
      <c r="J16" s="23">
        <f t="shared" si="5"/>
        <v>0</v>
      </c>
      <c r="K16" s="3"/>
      <c r="L16" s="3">
        <f t="shared" si="6"/>
        <v>0</v>
      </c>
      <c r="M16" s="3"/>
      <c r="N16" s="23">
        <f t="shared" si="7"/>
        <v>0</v>
      </c>
      <c r="O16" s="12"/>
      <c r="P16" s="3"/>
      <c r="Q16" s="3"/>
      <c r="R16" s="23">
        <f t="shared" si="8"/>
        <v>0</v>
      </c>
      <c r="S16" s="3"/>
      <c r="T16" s="3">
        <v>0</v>
      </c>
      <c r="U16" s="3"/>
      <c r="V16" s="23">
        <f t="shared" si="9"/>
        <v>0</v>
      </c>
      <c r="W16" s="3"/>
      <c r="X16" s="3">
        <f t="shared" si="10"/>
        <v>0</v>
      </c>
      <c r="Y16" s="3"/>
      <c r="Z16" s="23">
        <f t="shared" si="11"/>
        <v>0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>
        <f>D12-D15</f>
        <v>0</v>
      </c>
      <c r="E18" s="13"/>
      <c r="F18" s="20">
        <f>IF(D$12=0,0,D18/D$12)</f>
        <v>0</v>
      </c>
      <c r="G18" s="13"/>
      <c r="H18" s="21">
        <f>H12-H15</f>
        <v>0</v>
      </c>
      <c r="I18" s="13"/>
      <c r="J18" s="20">
        <f>IF(H$12=0,0,H18/H$12)</f>
        <v>0</v>
      </c>
      <c r="K18" s="15"/>
      <c r="L18" s="21">
        <f>+D18-H18</f>
        <v>0</v>
      </c>
      <c r="M18" s="15"/>
      <c r="N18" s="20">
        <f>IF(H18=0,0,L18/H18)</f>
        <v>0</v>
      </c>
      <c r="O18" s="26"/>
      <c r="P18" s="21">
        <f>P12-P15</f>
        <v>0</v>
      </c>
      <c r="Q18" s="13"/>
      <c r="R18" s="20">
        <f>IF(P$12=0,0,P18/P$12)</f>
        <v>0</v>
      </c>
      <c r="S18" s="13"/>
      <c r="T18" s="21">
        <f>T12-T15</f>
        <v>0</v>
      </c>
      <c r="U18" s="13"/>
      <c r="V18" s="20">
        <f>IF(T$12=0,0,T18/T$12)</f>
        <v>0</v>
      </c>
      <c r="W18" s="15"/>
      <c r="X18" s="21">
        <f>+P18-T18</f>
        <v>0</v>
      </c>
      <c r="Y18" s="15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>
        <f>SUM(OSRRefD22x_0)</f>
        <v>1080.99</v>
      </c>
      <c r="E20" s="19"/>
      <c r="F20" s="31">
        <f t="shared" ref="F20:F29" si="12">IF(D$12=0,0,D20/D$12)</f>
        <v>0</v>
      </c>
      <c r="G20" s="19"/>
      <c r="H20" s="19">
        <f>SUM(OSRRefH22x_0)</f>
        <v>848</v>
      </c>
      <c r="I20" s="19"/>
      <c r="J20" s="31">
        <f t="shared" ref="J20:J29" si="13">IF(H$12=0,0,H20/H$12)</f>
        <v>0</v>
      </c>
      <c r="K20" s="4"/>
      <c r="L20" s="19">
        <f t="shared" ref="L20:L29" si="14">+D20-H20</f>
        <v>232.99</v>
      </c>
      <c r="M20" s="4"/>
      <c r="N20" s="31">
        <f t="shared" ref="N20:N29" si="15">IF(H20=0,0,L20/H20)</f>
        <v>0.27475235849056606</v>
      </c>
      <c r="O20" s="10"/>
      <c r="P20" s="19">
        <f>SUM(OSRRefP22x_0)</f>
        <v>1080.99</v>
      </c>
      <c r="Q20" s="19"/>
      <c r="R20" s="31">
        <f t="shared" ref="R20:R29" si="16">IF(P$12=0,0,P20/P$12)</f>
        <v>0</v>
      </c>
      <c r="S20" s="19"/>
      <c r="T20" s="19">
        <f>SUM(OSRRefT22x_0)</f>
        <v>848</v>
      </c>
      <c r="U20" s="19"/>
      <c r="V20" s="31">
        <f t="shared" ref="V20:V29" si="17">IF(T$12=0,0,T20/T$12)</f>
        <v>0</v>
      </c>
      <c r="W20" s="4"/>
      <c r="X20" s="19">
        <f t="shared" ref="X20:X29" si="18">+P20-T20</f>
        <v>232.99</v>
      </c>
      <c r="Y20" s="4"/>
      <c r="Z20" s="31">
        <f t="shared" ref="Z20:Z29" si="19">IF(T20=0,0,X20/T20)</f>
        <v>0.27475235849056606</v>
      </c>
    </row>
    <row r="21" spans="1:26" s="29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7"/>
      <c r="B22" s="12" t="str">
        <f>CONCATENATE("          ", "6111", " - ", "F.I.C.A.")</f>
        <v xml:space="preserve">          6111 - F.I.C.A.</v>
      </c>
      <c r="C22" s="12"/>
      <c r="D22" s="7"/>
      <c r="E22" s="3"/>
      <c r="F22" s="8">
        <f t="shared" si="12"/>
        <v>0</v>
      </c>
      <c r="G22" s="3"/>
      <c r="H22" s="7">
        <v>0</v>
      </c>
      <c r="I22" s="3"/>
      <c r="J22" s="8">
        <f t="shared" si="13"/>
        <v>0</v>
      </c>
      <c r="K22" s="3"/>
      <c r="L22" s="7">
        <f t="shared" si="14"/>
        <v>0</v>
      </c>
      <c r="M22" s="3"/>
      <c r="N22" s="8">
        <f t="shared" si="15"/>
        <v>0</v>
      </c>
      <c r="O22" s="12"/>
      <c r="P22" s="7"/>
      <c r="Q22" s="3"/>
      <c r="R22" s="8">
        <f t="shared" si="16"/>
        <v>0</v>
      </c>
      <c r="S22" s="3"/>
      <c r="T22" s="7">
        <v>0</v>
      </c>
      <c r="U22" s="3"/>
      <c r="V22" s="8">
        <f t="shared" si="17"/>
        <v>0</v>
      </c>
      <c r="W22" s="3"/>
      <c r="X22" s="7">
        <f t="shared" si="18"/>
        <v>0</v>
      </c>
      <c r="Y22" s="3"/>
      <c r="Z22" s="8">
        <f t="shared" si="19"/>
        <v>0</v>
      </c>
    </row>
    <row r="23" spans="1:26" s="24" customFormat="1" hidden="1" outlineLevel="2" x14ac:dyDescent="0.25">
      <c r="A23" s="27"/>
      <c r="B23" s="12" t="str">
        <f>CONCATENATE("          ", "6112", " - ", "COMPENSATION INSURANCE")</f>
        <v xml:space="preserve">          6112 - COMPENSATION INSURANCE</v>
      </c>
      <c r="C23" s="12"/>
      <c r="D23" s="7"/>
      <c r="E23" s="3"/>
      <c r="F23" s="8">
        <f t="shared" si="12"/>
        <v>0</v>
      </c>
      <c r="G23" s="3"/>
      <c r="H23" s="7">
        <v>0</v>
      </c>
      <c r="I23" s="3"/>
      <c r="J23" s="8">
        <f t="shared" si="13"/>
        <v>0</v>
      </c>
      <c r="K23" s="3"/>
      <c r="L23" s="7">
        <f t="shared" si="14"/>
        <v>0</v>
      </c>
      <c r="M23" s="3"/>
      <c r="N23" s="8">
        <f t="shared" si="15"/>
        <v>0</v>
      </c>
      <c r="O23" s="12"/>
      <c r="P23" s="7"/>
      <c r="Q23" s="3"/>
      <c r="R23" s="8">
        <f t="shared" si="16"/>
        <v>0</v>
      </c>
      <c r="S23" s="3"/>
      <c r="T23" s="7">
        <v>0</v>
      </c>
      <c r="U23" s="3"/>
      <c r="V23" s="8">
        <f t="shared" si="17"/>
        <v>0</v>
      </c>
      <c r="W23" s="3"/>
      <c r="X23" s="7">
        <f t="shared" si="18"/>
        <v>0</v>
      </c>
      <c r="Y23" s="3"/>
      <c r="Z23" s="8">
        <f t="shared" si="19"/>
        <v>0</v>
      </c>
    </row>
    <row r="24" spans="1:26" s="24" customFormat="1" hidden="1" outlineLevel="2" x14ac:dyDescent="0.25">
      <c r="A24" s="27"/>
      <c r="B24" s="12" t="str">
        <f>CONCATENATE("          ", "6113", " - ", "GROUP INSURANCE")</f>
        <v xml:space="preserve">          6113 - GROUP INSURANCE</v>
      </c>
      <c r="C24" s="12"/>
      <c r="D24" s="7"/>
      <c r="E24" s="3"/>
      <c r="F24" s="8">
        <f t="shared" si="12"/>
        <v>0</v>
      </c>
      <c r="G24" s="3"/>
      <c r="H24" s="7">
        <v>0</v>
      </c>
      <c r="I24" s="3"/>
      <c r="J24" s="8">
        <f t="shared" si="13"/>
        <v>0</v>
      </c>
      <c r="K24" s="3"/>
      <c r="L24" s="7">
        <f t="shared" si="14"/>
        <v>0</v>
      </c>
      <c r="M24" s="3"/>
      <c r="N24" s="8">
        <f t="shared" si="15"/>
        <v>0</v>
      </c>
      <c r="O24" s="12"/>
      <c r="P24" s="7"/>
      <c r="Q24" s="3"/>
      <c r="R24" s="8">
        <f t="shared" si="16"/>
        <v>0</v>
      </c>
      <c r="S24" s="3"/>
      <c r="T24" s="7">
        <v>0</v>
      </c>
      <c r="U24" s="3"/>
      <c r="V24" s="8">
        <f t="shared" si="17"/>
        <v>0</v>
      </c>
      <c r="W24" s="3"/>
      <c r="X24" s="7">
        <f t="shared" si="18"/>
        <v>0</v>
      </c>
      <c r="Y24" s="3"/>
      <c r="Z24" s="8">
        <f t="shared" si="19"/>
        <v>0</v>
      </c>
    </row>
    <row r="25" spans="1:26" s="24" customFormat="1" hidden="1" outlineLevel="2" x14ac:dyDescent="0.25">
      <c r="A25" s="27"/>
      <c r="B25" s="12" t="str">
        <f>CONCATENATE("          ", "6114", " - ", "STATE UNEMPLOYMENT INSURANCE")</f>
        <v xml:space="preserve">          6114 - STATE UNEMPLOYMENT INSURANCE</v>
      </c>
      <c r="C25" s="12"/>
      <c r="D25" s="7"/>
      <c r="E25" s="3"/>
      <c r="F25" s="8">
        <f t="shared" si="12"/>
        <v>0</v>
      </c>
      <c r="G25" s="3"/>
      <c r="H25" s="7">
        <v>0</v>
      </c>
      <c r="I25" s="3"/>
      <c r="J25" s="8">
        <f t="shared" si="13"/>
        <v>0</v>
      </c>
      <c r="K25" s="3"/>
      <c r="L25" s="7">
        <f t="shared" si="14"/>
        <v>0</v>
      </c>
      <c r="M25" s="3"/>
      <c r="N25" s="8">
        <f t="shared" si="15"/>
        <v>0</v>
      </c>
      <c r="O25" s="12"/>
      <c r="P25" s="7"/>
      <c r="Q25" s="3"/>
      <c r="R25" s="8">
        <f t="shared" si="16"/>
        <v>0</v>
      </c>
      <c r="S25" s="3"/>
      <c r="T25" s="7">
        <v>0</v>
      </c>
      <c r="U25" s="3"/>
      <c r="V25" s="8">
        <f t="shared" si="17"/>
        <v>0</v>
      </c>
      <c r="W25" s="3"/>
      <c r="X25" s="7">
        <f t="shared" si="18"/>
        <v>0</v>
      </c>
      <c r="Y25" s="3"/>
      <c r="Z25" s="8">
        <f t="shared" si="19"/>
        <v>0</v>
      </c>
    </row>
    <row r="26" spans="1:26" s="24" customFormat="1" hidden="1" outlineLevel="2" x14ac:dyDescent="0.25">
      <c r="A26" s="27"/>
      <c r="B26" s="12" t="str">
        <f>CONCATENATE("          ", "6115", " - ", "P.E.R.S.")</f>
        <v xml:space="preserve">          6115 - P.E.R.S.</v>
      </c>
      <c r="C26" s="12"/>
      <c r="D26" s="7"/>
      <c r="E26" s="3"/>
      <c r="F26" s="8">
        <f t="shared" si="12"/>
        <v>0</v>
      </c>
      <c r="G26" s="3"/>
      <c r="H26" s="7">
        <v>0</v>
      </c>
      <c r="I26" s="3"/>
      <c r="J26" s="8">
        <f t="shared" si="13"/>
        <v>0</v>
      </c>
      <c r="K26" s="3"/>
      <c r="L26" s="7">
        <f t="shared" si="14"/>
        <v>0</v>
      </c>
      <c r="M26" s="3"/>
      <c r="N26" s="8">
        <f t="shared" si="15"/>
        <v>0</v>
      </c>
      <c r="O26" s="12"/>
      <c r="P26" s="7"/>
      <c r="Q26" s="3"/>
      <c r="R26" s="8">
        <f t="shared" si="16"/>
        <v>0</v>
      </c>
      <c r="S26" s="3"/>
      <c r="T26" s="7">
        <v>0</v>
      </c>
      <c r="U26" s="3"/>
      <c r="V26" s="8">
        <f t="shared" si="17"/>
        <v>0</v>
      </c>
      <c r="W26" s="3"/>
      <c r="X26" s="7">
        <f t="shared" si="18"/>
        <v>0</v>
      </c>
      <c r="Y26" s="3"/>
      <c r="Z26" s="8">
        <f t="shared" si="19"/>
        <v>0</v>
      </c>
    </row>
    <row r="27" spans="1:26" s="24" customFormat="1" hidden="1" outlineLevel="2" x14ac:dyDescent="0.25">
      <c r="A27" s="27"/>
      <c r="B27" s="12" t="str">
        <f>CONCATENATE("          ", "6116", " - ", "EDUCATIONAL BENEFITS")</f>
        <v xml:space="preserve">          6116 - EDUCATIONAL BENEFITS</v>
      </c>
      <c r="C27" s="12"/>
      <c r="D27" s="7"/>
      <c r="E27" s="3"/>
      <c r="F27" s="8">
        <f t="shared" si="12"/>
        <v>0</v>
      </c>
      <c r="G27" s="3"/>
      <c r="H27" s="7">
        <v>0</v>
      </c>
      <c r="I27" s="3"/>
      <c r="J27" s="8">
        <f t="shared" si="13"/>
        <v>0</v>
      </c>
      <c r="K27" s="3"/>
      <c r="L27" s="7">
        <f t="shared" si="14"/>
        <v>0</v>
      </c>
      <c r="M27" s="3"/>
      <c r="N27" s="8">
        <f t="shared" si="15"/>
        <v>0</v>
      </c>
      <c r="O27" s="12"/>
      <c r="P27" s="7"/>
      <c r="Q27" s="3"/>
      <c r="R27" s="8">
        <f t="shared" si="16"/>
        <v>0</v>
      </c>
      <c r="S27" s="3"/>
      <c r="T27" s="7">
        <v>0</v>
      </c>
      <c r="U27" s="3"/>
      <c r="V27" s="8">
        <f t="shared" si="17"/>
        <v>0</v>
      </c>
      <c r="W27" s="3"/>
      <c r="X27" s="7">
        <f t="shared" si="18"/>
        <v>0</v>
      </c>
      <c r="Y27" s="3"/>
      <c r="Z27" s="8">
        <f t="shared" si="19"/>
        <v>0</v>
      </c>
    </row>
    <row r="28" spans="1:26" s="24" customFormat="1" hidden="1" outlineLevel="2" x14ac:dyDescent="0.25">
      <c r="A28" s="27"/>
      <c r="B28" s="12" t="str">
        <f>CONCATENATE("          ", "6118", " - ", "VACATION")</f>
        <v xml:space="preserve">          6118 - VACATION</v>
      </c>
      <c r="C28" s="12"/>
      <c r="D28" s="7"/>
      <c r="E28" s="3"/>
      <c r="F28" s="8">
        <f t="shared" si="12"/>
        <v>0</v>
      </c>
      <c r="G28" s="3"/>
      <c r="H28" s="7">
        <v>0</v>
      </c>
      <c r="I28" s="3"/>
      <c r="J28" s="8">
        <f t="shared" si="13"/>
        <v>0</v>
      </c>
      <c r="K28" s="3"/>
      <c r="L28" s="7">
        <f t="shared" si="14"/>
        <v>0</v>
      </c>
      <c r="M28" s="3"/>
      <c r="N28" s="8">
        <f t="shared" si="15"/>
        <v>0</v>
      </c>
      <c r="O28" s="12"/>
      <c r="P28" s="7"/>
      <c r="Q28" s="3"/>
      <c r="R28" s="8">
        <f t="shared" si="16"/>
        <v>0</v>
      </c>
      <c r="S28" s="3"/>
      <c r="T28" s="7">
        <v>0</v>
      </c>
      <c r="U28" s="3"/>
      <c r="V28" s="8">
        <f t="shared" si="17"/>
        <v>0</v>
      </c>
      <c r="W28" s="3"/>
      <c r="X28" s="7">
        <f t="shared" si="18"/>
        <v>0</v>
      </c>
      <c r="Y28" s="3"/>
      <c r="Z28" s="8">
        <f t="shared" si="19"/>
        <v>0</v>
      </c>
    </row>
    <row r="29" spans="1:26" s="24" customFormat="1" hidden="1" outlineLevel="2" x14ac:dyDescent="0.25">
      <c r="A29" s="27"/>
      <c r="B29" s="12" t="str">
        <f>CONCATENATE("          ", "6119", " - ", "SICK LEAVE")</f>
        <v xml:space="preserve">          6119 - SICK LEAVE</v>
      </c>
      <c r="C29" s="12"/>
      <c r="D29" s="7"/>
      <c r="E29" s="3"/>
      <c r="F29" s="8">
        <f t="shared" si="12"/>
        <v>0</v>
      </c>
      <c r="G29" s="3"/>
      <c r="H29" s="7">
        <v>0</v>
      </c>
      <c r="I29" s="3"/>
      <c r="J29" s="8">
        <f t="shared" si="13"/>
        <v>0</v>
      </c>
      <c r="K29" s="3"/>
      <c r="L29" s="7">
        <f t="shared" si="14"/>
        <v>0</v>
      </c>
      <c r="M29" s="3"/>
      <c r="N29" s="8">
        <f t="shared" si="15"/>
        <v>0</v>
      </c>
      <c r="O29" s="12"/>
      <c r="P29" s="7"/>
      <c r="Q29" s="3"/>
      <c r="R29" s="8">
        <f t="shared" si="16"/>
        <v>0</v>
      </c>
      <c r="S29" s="3"/>
      <c r="T29" s="7">
        <v>0</v>
      </c>
      <c r="U29" s="3"/>
      <c r="V29" s="8">
        <f t="shared" si="17"/>
        <v>0</v>
      </c>
      <c r="W29" s="3"/>
      <c r="X29" s="7">
        <f t="shared" si="18"/>
        <v>0</v>
      </c>
      <c r="Y29" s="3"/>
      <c r="Z29" s="8">
        <f t="shared" si="19"/>
        <v>0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/>
      <c r="E31" s="3"/>
      <c r="F31" s="8">
        <f t="shared" si="20"/>
        <v>0</v>
      </c>
      <c r="G31" s="3"/>
      <c r="H31" s="7">
        <v>0</v>
      </c>
      <c r="I31" s="3"/>
      <c r="J31" s="8">
        <f t="shared" si="21"/>
        <v>0</v>
      </c>
      <c r="K31" s="3"/>
      <c r="L31" s="7">
        <f t="shared" si="22"/>
        <v>0</v>
      </c>
      <c r="M31" s="3"/>
      <c r="N31" s="8">
        <f t="shared" si="23"/>
        <v>0</v>
      </c>
      <c r="O31" s="12"/>
      <c r="P31" s="7"/>
      <c r="Q31" s="3"/>
      <c r="R31" s="8">
        <f t="shared" si="24"/>
        <v>0</v>
      </c>
      <c r="S31" s="3"/>
      <c r="T31" s="7">
        <v>0</v>
      </c>
      <c r="U31" s="3"/>
      <c r="V31" s="8">
        <f t="shared" si="25"/>
        <v>0</v>
      </c>
      <c r="W31" s="3"/>
      <c r="X31" s="7">
        <f t="shared" si="26"/>
        <v>0</v>
      </c>
      <c r="Y31" s="3"/>
      <c r="Z31" s="8">
        <f t="shared" si="27"/>
        <v>0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/>
      <c r="E32" s="3"/>
      <c r="F32" s="8">
        <f t="shared" si="20"/>
        <v>0</v>
      </c>
      <c r="G32" s="3"/>
      <c r="H32" s="7">
        <v>0</v>
      </c>
      <c r="I32" s="3"/>
      <c r="J32" s="8">
        <f t="shared" si="21"/>
        <v>0</v>
      </c>
      <c r="K32" s="3"/>
      <c r="L32" s="7">
        <f t="shared" si="22"/>
        <v>0</v>
      </c>
      <c r="M32" s="3"/>
      <c r="N32" s="8">
        <f t="shared" si="23"/>
        <v>0</v>
      </c>
      <c r="O32" s="12"/>
      <c r="P32" s="7"/>
      <c r="Q32" s="3"/>
      <c r="R32" s="8">
        <f t="shared" si="24"/>
        <v>0</v>
      </c>
      <c r="S32" s="3"/>
      <c r="T32" s="7">
        <v>0</v>
      </c>
      <c r="U32" s="3"/>
      <c r="V32" s="8">
        <f t="shared" si="25"/>
        <v>0</v>
      </c>
      <c r="W32" s="3"/>
      <c r="X32" s="7">
        <f t="shared" si="26"/>
        <v>0</v>
      </c>
      <c r="Y32" s="3"/>
      <c r="Z32" s="8">
        <f t="shared" si="27"/>
        <v>0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20"/>
        <v>0</v>
      </c>
      <c r="G33" s="3"/>
      <c r="H33" s="7">
        <v>0</v>
      </c>
      <c r="I33" s="3"/>
      <c r="J33" s="8">
        <f t="shared" si="21"/>
        <v>0</v>
      </c>
      <c r="K33" s="3"/>
      <c r="L33" s="7">
        <f t="shared" si="22"/>
        <v>0</v>
      </c>
      <c r="M33" s="3"/>
      <c r="N33" s="8">
        <f t="shared" si="23"/>
        <v>0</v>
      </c>
      <c r="O33" s="12"/>
      <c r="P33" s="7"/>
      <c r="Q33" s="3"/>
      <c r="R33" s="8">
        <f t="shared" si="24"/>
        <v>0</v>
      </c>
      <c r="S33" s="3"/>
      <c r="T33" s="7">
        <v>0</v>
      </c>
      <c r="U33" s="3"/>
      <c r="V33" s="8">
        <f t="shared" si="25"/>
        <v>0</v>
      </c>
      <c r="W33" s="3"/>
      <c r="X33" s="7">
        <f t="shared" si="26"/>
        <v>0</v>
      </c>
      <c r="Y33" s="3"/>
      <c r="Z33" s="8">
        <f t="shared" si="27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/>
      <c r="E34" s="3"/>
      <c r="F34" s="8">
        <f t="shared" si="20"/>
        <v>0</v>
      </c>
      <c r="G34" s="3"/>
      <c r="H34" s="7">
        <v>0</v>
      </c>
      <c r="I34" s="3"/>
      <c r="J34" s="8">
        <f t="shared" si="21"/>
        <v>0</v>
      </c>
      <c r="K34" s="3"/>
      <c r="L34" s="7">
        <f t="shared" si="22"/>
        <v>0</v>
      </c>
      <c r="M34" s="3"/>
      <c r="N34" s="8">
        <f t="shared" si="23"/>
        <v>0</v>
      </c>
      <c r="O34" s="12"/>
      <c r="P34" s="7"/>
      <c r="Q34" s="3"/>
      <c r="R34" s="8">
        <f t="shared" si="24"/>
        <v>0</v>
      </c>
      <c r="S34" s="3"/>
      <c r="T34" s="7">
        <v>0</v>
      </c>
      <c r="U34" s="3"/>
      <c r="V34" s="8">
        <f t="shared" si="25"/>
        <v>0</v>
      </c>
      <c r="W34" s="3"/>
      <c r="X34" s="7">
        <f t="shared" si="26"/>
        <v>0</v>
      </c>
      <c r="Y34" s="3"/>
      <c r="Z34" s="8">
        <f t="shared" si="27"/>
        <v>0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20"/>
        <v>0</v>
      </c>
      <c r="G35" s="3"/>
      <c r="H35" s="7">
        <v>0</v>
      </c>
      <c r="I35" s="3"/>
      <c r="J35" s="8">
        <f t="shared" si="21"/>
        <v>0</v>
      </c>
      <c r="K35" s="3"/>
      <c r="L35" s="7">
        <f t="shared" si="22"/>
        <v>0</v>
      </c>
      <c r="M35" s="3"/>
      <c r="N35" s="8">
        <f t="shared" si="23"/>
        <v>0</v>
      </c>
      <c r="O35" s="12"/>
      <c r="P35" s="7"/>
      <c r="Q35" s="3"/>
      <c r="R35" s="8">
        <f t="shared" si="24"/>
        <v>0</v>
      </c>
      <c r="S35" s="3"/>
      <c r="T35" s="7">
        <v>0</v>
      </c>
      <c r="U35" s="3"/>
      <c r="V35" s="8">
        <f t="shared" si="25"/>
        <v>0</v>
      </c>
      <c r="W35" s="3"/>
      <c r="X35" s="7">
        <f t="shared" si="26"/>
        <v>0</v>
      </c>
      <c r="Y35" s="3"/>
      <c r="Z35" s="8">
        <f t="shared" si="27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/>
      <c r="E37" s="3"/>
      <c r="F37" s="8">
        <f t="shared" si="20"/>
        <v>0</v>
      </c>
      <c r="G37" s="3"/>
      <c r="H37" s="7">
        <v>0</v>
      </c>
      <c r="I37" s="3"/>
      <c r="J37" s="8">
        <f t="shared" si="21"/>
        <v>0</v>
      </c>
      <c r="K37" s="3"/>
      <c r="L37" s="7">
        <f t="shared" si="22"/>
        <v>0</v>
      </c>
      <c r="M37" s="3"/>
      <c r="N37" s="8">
        <f t="shared" si="23"/>
        <v>0</v>
      </c>
      <c r="O37" s="12"/>
      <c r="P37" s="7"/>
      <c r="Q37" s="3"/>
      <c r="R37" s="8">
        <f t="shared" si="24"/>
        <v>0</v>
      </c>
      <c r="S37" s="3"/>
      <c r="T37" s="7">
        <v>0</v>
      </c>
      <c r="U37" s="3"/>
      <c r="V37" s="8">
        <f t="shared" si="25"/>
        <v>0</v>
      </c>
      <c r="W37" s="3"/>
      <c r="X37" s="7">
        <f t="shared" si="26"/>
        <v>0</v>
      </c>
      <c r="Y37" s="3"/>
      <c r="Z37" s="8">
        <f t="shared" si="27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20"/>
        <v>0</v>
      </c>
      <c r="G39" s="3"/>
      <c r="H39" s="7">
        <v>0</v>
      </c>
      <c r="I39" s="3"/>
      <c r="J39" s="8">
        <f t="shared" si="21"/>
        <v>0</v>
      </c>
      <c r="K39" s="3"/>
      <c r="L39" s="7">
        <f t="shared" si="22"/>
        <v>0</v>
      </c>
      <c r="M39" s="3"/>
      <c r="N39" s="8">
        <f t="shared" si="23"/>
        <v>0</v>
      </c>
      <c r="O39" s="12"/>
      <c r="P39" s="7"/>
      <c r="Q39" s="3"/>
      <c r="R39" s="8">
        <f t="shared" si="24"/>
        <v>0</v>
      </c>
      <c r="S39" s="3"/>
      <c r="T39" s="7">
        <v>0</v>
      </c>
      <c r="U39" s="3"/>
      <c r="V39" s="8">
        <f t="shared" si="25"/>
        <v>0</v>
      </c>
      <c r="W39" s="3"/>
      <c r="X39" s="7">
        <f t="shared" si="26"/>
        <v>0</v>
      </c>
      <c r="Y39" s="3"/>
      <c r="Z39" s="8">
        <f t="shared" si="27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4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7"/>
      <c r="B42" s="12" t="str">
        <f>CONCATENATE("          ", "6362", " - ", "ADVERTISING EXPENSE")</f>
        <v xml:space="preserve">          6362 - ADVERTISING EXPENSE</v>
      </c>
      <c r="C42" s="12"/>
      <c r="D42" s="7"/>
      <c r="E42" s="3"/>
      <c r="F42" s="8">
        <f t="shared" si="28"/>
        <v>0</v>
      </c>
      <c r="G42" s="3"/>
      <c r="H42" s="7">
        <v>0</v>
      </c>
      <c r="I42" s="3"/>
      <c r="J42" s="8">
        <f t="shared" si="29"/>
        <v>0</v>
      </c>
      <c r="K42" s="3"/>
      <c r="L42" s="7">
        <f t="shared" si="30"/>
        <v>0</v>
      </c>
      <c r="M42" s="3"/>
      <c r="N42" s="8">
        <f t="shared" si="31"/>
        <v>0</v>
      </c>
      <c r="O42" s="12"/>
      <c r="P42" s="7"/>
      <c r="Q42" s="3"/>
      <c r="R42" s="8">
        <f t="shared" si="32"/>
        <v>0</v>
      </c>
      <c r="S42" s="3"/>
      <c r="T42" s="7">
        <v>0</v>
      </c>
      <c r="U42" s="3"/>
      <c r="V42" s="8">
        <f t="shared" si="33"/>
        <v>0</v>
      </c>
      <c r="W42" s="3"/>
      <c r="X42" s="7">
        <f t="shared" si="34"/>
        <v>0</v>
      </c>
      <c r="Y42" s="3"/>
      <c r="Z42" s="8">
        <f t="shared" si="35"/>
        <v>0</v>
      </c>
    </row>
    <row r="43" spans="1:26" s="29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7"/>
      <c r="B44" s="12" t="str">
        <f>CONCATENATE("          ", "6381", " - ", "BANK/CREDIT CARD FEES")</f>
        <v xml:space="preserve">          6381 - BANK/CREDIT CARD FEES</v>
      </c>
      <c r="C44" s="12"/>
      <c r="D44" s="7"/>
      <c r="E44" s="3"/>
      <c r="F44" s="8">
        <f t="shared" si="28"/>
        <v>0</v>
      </c>
      <c r="G44" s="3"/>
      <c r="H44" s="7">
        <v>0</v>
      </c>
      <c r="I44" s="3"/>
      <c r="J44" s="8">
        <f t="shared" si="29"/>
        <v>0</v>
      </c>
      <c r="K44" s="3"/>
      <c r="L44" s="7">
        <f t="shared" si="30"/>
        <v>0</v>
      </c>
      <c r="M44" s="3"/>
      <c r="N44" s="8">
        <f t="shared" si="31"/>
        <v>0</v>
      </c>
      <c r="O44" s="12"/>
      <c r="P44" s="7"/>
      <c r="Q44" s="3"/>
      <c r="R44" s="8">
        <f t="shared" si="32"/>
        <v>0</v>
      </c>
      <c r="S44" s="3"/>
      <c r="T44" s="7">
        <v>0</v>
      </c>
      <c r="U44" s="3"/>
      <c r="V44" s="8">
        <f t="shared" si="33"/>
        <v>0</v>
      </c>
      <c r="W44" s="3"/>
      <c r="X44" s="7">
        <f t="shared" si="34"/>
        <v>0</v>
      </c>
      <c r="Y44" s="3"/>
      <c r="Z44" s="8">
        <f t="shared" si="35"/>
        <v>0</v>
      </c>
    </row>
    <row r="45" spans="1:26" s="29" customFormat="1" outlineLevel="1" collapsed="1" x14ac:dyDescent="0.25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690.36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-157.63999999999999</v>
      </c>
      <c r="M45" s="1"/>
      <c r="N45" s="5">
        <f t="shared" si="31"/>
        <v>-0.18589622641509432</v>
      </c>
      <c r="O45" s="14"/>
      <c r="P45" s="1">
        <f>SUM(OSRRefP22_4x_0)</f>
        <v>690.36</v>
      </c>
      <c r="Q45" s="1"/>
      <c r="R45" s="5">
        <f t="shared" si="32"/>
        <v>0</v>
      </c>
      <c r="S45" s="1"/>
      <c r="T45" s="1">
        <f>SUM(OSRRefT22_4x_0)</f>
        <v>848</v>
      </c>
      <c r="U45" s="1"/>
      <c r="V45" s="5">
        <f t="shared" si="33"/>
        <v>0</v>
      </c>
      <c r="W45" s="1"/>
      <c r="X45" s="1">
        <f t="shared" si="34"/>
        <v>-157.63999999999999</v>
      </c>
      <c r="Y45" s="1"/>
      <c r="Z45" s="5">
        <f t="shared" si="35"/>
        <v>-0.18589622641509432</v>
      </c>
    </row>
    <row r="46" spans="1:26" s="24" customFormat="1" hidden="1" outlineLevel="2" x14ac:dyDescent="0.25">
      <c r="A46" s="27"/>
      <c r="B46" s="12" t="str">
        <f>CONCATENATE("          ", "6322", " - ", "EQUIPMENT DEPRECIATION EXPENSE")</f>
        <v xml:space="preserve">          6322 - EQUIPMENT DEPRECIATION EXPENSE</v>
      </c>
      <c r="C46" s="12"/>
      <c r="D46" s="7">
        <v>690.36</v>
      </c>
      <c r="E46" s="3"/>
      <c r="F46" s="8">
        <f t="shared" si="28"/>
        <v>0</v>
      </c>
      <c r="G46" s="3"/>
      <c r="H46" s="7">
        <v>298</v>
      </c>
      <c r="I46" s="3"/>
      <c r="J46" s="8">
        <f t="shared" si="29"/>
        <v>0</v>
      </c>
      <c r="K46" s="3"/>
      <c r="L46" s="7">
        <f t="shared" si="30"/>
        <v>392.36</v>
      </c>
      <c r="M46" s="3"/>
      <c r="N46" s="8">
        <f t="shared" si="31"/>
        <v>1.3166442953020134</v>
      </c>
      <c r="O46" s="12"/>
      <c r="P46" s="7">
        <v>690.36</v>
      </c>
      <c r="Q46" s="3"/>
      <c r="R46" s="8">
        <f t="shared" si="32"/>
        <v>0</v>
      </c>
      <c r="S46" s="3"/>
      <c r="T46" s="7">
        <v>298</v>
      </c>
      <c r="U46" s="3"/>
      <c r="V46" s="8">
        <f t="shared" si="33"/>
        <v>0</v>
      </c>
      <c r="W46" s="3"/>
      <c r="X46" s="7">
        <f t="shared" si="34"/>
        <v>392.36</v>
      </c>
      <c r="Y46" s="3"/>
      <c r="Z46" s="8">
        <f t="shared" si="35"/>
        <v>1.3166442953020134</v>
      </c>
    </row>
    <row r="47" spans="1:26" s="24" customFormat="1" hidden="1" outlineLevel="2" x14ac:dyDescent="0.25">
      <c r="A47" s="27"/>
      <c r="B47" s="12" t="str">
        <f>CONCATENATE("          ", "6326", " - ", "VEHICLES DEPRECIATION EXPENSE")</f>
        <v xml:space="preserve">          6326 - VEHICLES DEPRECIATION EXPENSE</v>
      </c>
      <c r="C47" s="12"/>
      <c r="D47" s="7"/>
      <c r="E47" s="3"/>
      <c r="F47" s="8">
        <f t="shared" si="28"/>
        <v>0</v>
      </c>
      <c r="G47" s="3"/>
      <c r="H47" s="7">
        <v>550</v>
      </c>
      <c r="I47" s="3"/>
      <c r="J47" s="8">
        <f t="shared" si="29"/>
        <v>0</v>
      </c>
      <c r="K47" s="3"/>
      <c r="L47" s="7">
        <f t="shared" si="30"/>
        <v>-550</v>
      </c>
      <c r="M47" s="3"/>
      <c r="N47" s="8">
        <f t="shared" si="31"/>
        <v>-1</v>
      </c>
      <c r="O47" s="12"/>
      <c r="P47" s="7"/>
      <c r="Q47" s="3"/>
      <c r="R47" s="8">
        <f t="shared" si="32"/>
        <v>0</v>
      </c>
      <c r="S47" s="3"/>
      <c r="T47" s="7">
        <v>550</v>
      </c>
      <c r="U47" s="3"/>
      <c r="V47" s="8">
        <f t="shared" si="33"/>
        <v>0</v>
      </c>
      <c r="W47" s="3"/>
      <c r="X47" s="7">
        <f t="shared" si="34"/>
        <v>-550</v>
      </c>
      <c r="Y47" s="3"/>
      <c r="Z47" s="8">
        <f t="shared" si="35"/>
        <v>-1</v>
      </c>
    </row>
    <row r="48" spans="1:26" s="29" customFormat="1" outlineLevel="1" collapsed="1" x14ac:dyDescent="0.25">
      <c r="A48" s="28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ref="F48:F62" si="36">IF(D$12=0,0,D48/D$12)</f>
        <v>0</v>
      </c>
      <c r="G48" s="1"/>
      <c r="H48" s="1">
        <f>SUM(OSRRefH22_5x_0)</f>
        <v>0</v>
      </c>
      <c r="I48" s="1"/>
      <c r="J48" s="5">
        <f t="shared" ref="J48:J62" si="37">IF(H$12=0,0,H48/H$12)</f>
        <v>0</v>
      </c>
      <c r="K48" s="1"/>
      <c r="L48" s="1">
        <f t="shared" ref="L48:L62" si="38">+D48-H48</f>
        <v>0</v>
      </c>
      <c r="M48" s="1"/>
      <c r="N48" s="5">
        <f t="shared" ref="N48:N62" si="39">IF(H48=0,0,L48/H48)</f>
        <v>0</v>
      </c>
      <c r="O48" s="14"/>
      <c r="P48" s="1">
        <f>SUM(OSRRefP22_5x_0)</f>
        <v>0</v>
      </c>
      <c r="Q48" s="1"/>
      <c r="R48" s="5">
        <f t="shared" ref="R48:R62" si="40">IF(P$12=0,0,P48/P$12)</f>
        <v>0</v>
      </c>
      <c r="S48" s="1"/>
      <c r="T48" s="1">
        <f>SUM(OSRRefT22_5x_0)</f>
        <v>0</v>
      </c>
      <c r="U48" s="1"/>
      <c r="V48" s="5">
        <f t="shared" ref="V48:V62" si="41">IF(T$12=0,0,T48/T$12)</f>
        <v>0</v>
      </c>
      <c r="W48" s="1"/>
      <c r="X48" s="1">
        <f t="shared" ref="X48:X62" si="42">+P48-T48</f>
        <v>0</v>
      </c>
      <c r="Y48" s="1"/>
      <c r="Z48" s="5">
        <f t="shared" ref="Z48:Z62" si="43">IF(T48=0,0,X48/T48)</f>
        <v>0</v>
      </c>
    </row>
    <row r="49" spans="1:26" s="24" customFormat="1" hidden="1" outlineLevel="2" x14ac:dyDescent="0.25">
      <c r="A49" s="27"/>
      <c r="B49" s="12" t="str">
        <f>CONCATENATE("          ", "6277", " - ", "EMPLOYEE APPRECIATION")</f>
        <v xml:space="preserve">          6277 - EMPLOYEE APPRECIATION</v>
      </c>
      <c r="C49" s="12"/>
      <c r="D49" s="7"/>
      <c r="E49" s="3"/>
      <c r="F49" s="8">
        <f t="shared" si="36"/>
        <v>0</v>
      </c>
      <c r="G49" s="3"/>
      <c r="H49" s="7">
        <v>0</v>
      </c>
      <c r="I49" s="3"/>
      <c r="J49" s="8">
        <f t="shared" si="37"/>
        <v>0</v>
      </c>
      <c r="K49" s="3"/>
      <c r="L49" s="7">
        <f t="shared" si="38"/>
        <v>0</v>
      </c>
      <c r="M49" s="3"/>
      <c r="N49" s="8">
        <f t="shared" si="39"/>
        <v>0</v>
      </c>
      <c r="O49" s="12"/>
      <c r="P49" s="7"/>
      <c r="Q49" s="3"/>
      <c r="R49" s="8">
        <f t="shared" si="40"/>
        <v>0</v>
      </c>
      <c r="S49" s="3"/>
      <c r="T49" s="7">
        <v>0</v>
      </c>
      <c r="U49" s="3"/>
      <c r="V49" s="8">
        <f t="shared" si="41"/>
        <v>0</v>
      </c>
      <c r="W49" s="3"/>
      <c r="X49" s="7">
        <f t="shared" si="42"/>
        <v>0</v>
      </c>
      <c r="Y49" s="3"/>
      <c r="Z49" s="8">
        <f t="shared" si="43"/>
        <v>0</v>
      </c>
    </row>
    <row r="50" spans="1:26" s="29" customFormat="1" outlineLevel="1" collapsed="1" x14ac:dyDescent="0.25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16.239999999999998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16.239999999999998</v>
      </c>
      <c r="M50" s="1"/>
      <c r="N50" s="5">
        <f t="shared" si="39"/>
        <v>0</v>
      </c>
      <c r="O50" s="14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7"/>
      <c r="B51" s="12" t="str">
        <f>CONCATENATE("          ", "6351", " - ", "EQUIPMENT RENTAL")</f>
        <v xml:space="preserve">          6351 - EQUIPMENT RENTAL</v>
      </c>
      <c r="C51" s="12"/>
      <c r="D51" s="7">
        <v>16.239999999999998</v>
      </c>
      <c r="E51" s="3"/>
      <c r="F51" s="8">
        <f t="shared" si="36"/>
        <v>0</v>
      </c>
      <c r="G51" s="3"/>
      <c r="H51" s="7">
        <v>0</v>
      </c>
      <c r="I51" s="3"/>
      <c r="J51" s="8">
        <f t="shared" si="37"/>
        <v>0</v>
      </c>
      <c r="K51" s="3"/>
      <c r="L51" s="7">
        <f t="shared" si="38"/>
        <v>16.239999999999998</v>
      </c>
      <c r="M51" s="3"/>
      <c r="N51" s="8">
        <f t="shared" si="39"/>
        <v>0</v>
      </c>
      <c r="O51" s="12"/>
      <c r="P51" s="7">
        <v>16.239999999999998</v>
      </c>
      <c r="Q51" s="3"/>
      <c r="R51" s="8">
        <f t="shared" si="40"/>
        <v>0</v>
      </c>
      <c r="S51" s="3"/>
      <c r="T51" s="7">
        <v>0</v>
      </c>
      <c r="U51" s="3"/>
      <c r="V51" s="8">
        <f t="shared" si="41"/>
        <v>0</v>
      </c>
      <c r="W51" s="3"/>
      <c r="X51" s="7">
        <f t="shared" si="42"/>
        <v>16.239999999999998</v>
      </c>
      <c r="Y51" s="3"/>
      <c r="Z51" s="8">
        <f t="shared" si="43"/>
        <v>0</v>
      </c>
    </row>
    <row r="52" spans="1:26" s="29" customFormat="1" outlineLevel="1" collapsed="1" x14ac:dyDescent="0.25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7"/>
      <c r="B53" s="12" t="str">
        <f>CONCATENATE("          ", "6279", " - ", "GENERAL EXPENSE")</f>
        <v xml:space="preserve">          6279 - GENERAL EXPENSE</v>
      </c>
      <c r="C53" s="12"/>
      <c r="D53" s="7"/>
      <c r="E53" s="3"/>
      <c r="F53" s="8">
        <f t="shared" si="36"/>
        <v>0</v>
      </c>
      <c r="G53" s="3"/>
      <c r="H53" s="7">
        <v>0</v>
      </c>
      <c r="I53" s="3"/>
      <c r="J53" s="8">
        <f t="shared" si="37"/>
        <v>0</v>
      </c>
      <c r="K53" s="3"/>
      <c r="L53" s="7">
        <f t="shared" si="38"/>
        <v>0</v>
      </c>
      <c r="M53" s="3"/>
      <c r="N53" s="8">
        <f t="shared" si="39"/>
        <v>0</v>
      </c>
      <c r="O53" s="12"/>
      <c r="P53" s="7"/>
      <c r="Q53" s="3"/>
      <c r="R53" s="8">
        <f t="shared" si="40"/>
        <v>0</v>
      </c>
      <c r="S53" s="3"/>
      <c r="T53" s="7">
        <v>0</v>
      </c>
      <c r="U53" s="3"/>
      <c r="V53" s="8">
        <f t="shared" si="41"/>
        <v>0</v>
      </c>
      <c r="W53" s="3"/>
      <c r="X53" s="7">
        <f t="shared" si="42"/>
        <v>0</v>
      </c>
      <c r="Y53" s="3"/>
      <c r="Z53" s="8">
        <f t="shared" si="43"/>
        <v>0</v>
      </c>
    </row>
    <row r="54" spans="1:26" s="29" customFormat="1" outlineLevel="1" collapsed="1" x14ac:dyDescent="0.25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0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0</v>
      </c>
      <c r="M54" s="1"/>
      <c r="N54" s="5">
        <f t="shared" si="39"/>
        <v>0</v>
      </c>
      <c r="O54" s="14"/>
      <c r="P54" s="1">
        <f>SUM(OSRRefP22_8x_0)</f>
        <v>0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0</v>
      </c>
      <c r="Y54" s="1"/>
      <c r="Z54" s="5">
        <f t="shared" si="43"/>
        <v>0</v>
      </c>
    </row>
    <row r="55" spans="1:26" s="24" customFormat="1" hidden="1" outlineLevel="2" x14ac:dyDescent="0.25">
      <c r="A55" s="27"/>
      <c r="B55" s="12" t="str">
        <f>CONCATENATE("          ", "6375", " - ", "OUTSIDE REPAIRS &amp; MAINTENANCE")</f>
        <v xml:space="preserve">          6375 - OUTSIDE REPAIRS &amp; MAINTENANCE</v>
      </c>
      <c r="C55" s="12"/>
      <c r="D55" s="7"/>
      <c r="E55" s="3"/>
      <c r="F55" s="8">
        <f t="shared" si="36"/>
        <v>0</v>
      </c>
      <c r="G55" s="3"/>
      <c r="H55" s="7">
        <v>0</v>
      </c>
      <c r="I55" s="3"/>
      <c r="J55" s="8">
        <f t="shared" si="37"/>
        <v>0</v>
      </c>
      <c r="K55" s="3"/>
      <c r="L55" s="7">
        <f t="shared" si="38"/>
        <v>0</v>
      </c>
      <c r="M55" s="3"/>
      <c r="N55" s="8">
        <f t="shared" si="39"/>
        <v>0</v>
      </c>
      <c r="O55" s="12"/>
      <c r="P55" s="7"/>
      <c r="Q55" s="3"/>
      <c r="R55" s="8">
        <f t="shared" si="40"/>
        <v>0</v>
      </c>
      <c r="S55" s="3"/>
      <c r="T55" s="7">
        <v>0</v>
      </c>
      <c r="U55" s="3"/>
      <c r="V55" s="8">
        <f t="shared" si="41"/>
        <v>0</v>
      </c>
      <c r="W55" s="3"/>
      <c r="X55" s="7">
        <f t="shared" si="42"/>
        <v>0</v>
      </c>
      <c r="Y55" s="3"/>
      <c r="Z55" s="8">
        <f t="shared" si="43"/>
        <v>0</v>
      </c>
    </row>
    <row r="56" spans="1:26" s="29" customFormat="1" outlineLevel="1" collapsed="1" x14ac:dyDescent="0.25">
      <c r="A56" s="28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1">
        <f>SUM(OSRRefD22_9x_0)</f>
        <v>0</v>
      </c>
      <c r="E56" s="1"/>
      <c r="F56" s="5">
        <f t="shared" si="36"/>
        <v>0</v>
      </c>
      <c r="G56" s="1"/>
      <c r="H56" s="1">
        <f>SUM(OSRRefH22_9x_0)</f>
        <v>0</v>
      </c>
      <c r="I56" s="1"/>
      <c r="J56" s="5">
        <f t="shared" si="37"/>
        <v>0</v>
      </c>
      <c r="K56" s="1"/>
      <c r="L56" s="1">
        <f t="shared" si="38"/>
        <v>0</v>
      </c>
      <c r="M56" s="1"/>
      <c r="N56" s="5">
        <f t="shared" si="39"/>
        <v>0</v>
      </c>
      <c r="O56" s="14"/>
      <c r="P56" s="1">
        <f>SUM(OSRRefP22_9x_0)</f>
        <v>0</v>
      </c>
      <c r="Q56" s="1"/>
      <c r="R56" s="5">
        <f t="shared" si="40"/>
        <v>0</v>
      </c>
      <c r="S56" s="1"/>
      <c r="T56" s="1">
        <f>SUM(OSRRefT22_9x_0)</f>
        <v>0</v>
      </c>
      <c r="U56" s="1"/>
      <c r="V56" s="5">
        <f t="shared" si="41"/>
        <v>0</v>
      </c>
      <c r="W56" s="1"/>
      <c r="X56" s="1">
        <f t="shared" si="42"/>
        <v>0</v>
      </c>
      <c r="Y56" s="1"/>
      <c r="Z56" s="5">
        <f t="shared" si="43"/>
        <v>0</v>
      </c>
    </row>
    <row r="57" spans="1:26" s="24" customFormat="1" hidden="1" outlineLevel="2" x14ac:dyDescent="0.25">
      <c r="A57" s="27"/>
      <c r="B57" s="12" t="str">
        <f>CONCATENATE("          ", "6254", " - ", "ROYALTY &amp; COMMISSIONS")</f>
        <v xml:space="preserve">          6254 - ROYALTY &amp; COMMISSIONS</v>
      </c>
      <c r="C57" s="12"/>
      <c r="D57" s="7"/>
      <c r="E57" s="3"/>
      <c r="F57" s="8">
        <f t="shared" si="36"/>
        <v>0</v>
      </c>
      <c r="G57" s="3"/>
      <c r="H57" s="7">
        <v>0</v>
      </c>
      <c r="I57" s="3"/>
      <c r="J57" s="8">
        <f t="shared" si="37"/>
        <v>0</v>
      </c>
      <c r="K57" s="3"/>
      <c r="L57" s="7">
        <f t="shared" si="38"/>
        <v>0</v>
      </c>
      <c r="M57" s="3"/>
      <c r="N57" s="8">
        <f t="shared" si="39"/>
        <v>0</v>
      </c>
      <c r="O57" s="12"/>
      <c r="P57" s="7"/>
      <c r="Q57" s="3"/>
      <c r="R57" s="8">
        <f t="shared" si="40"/>
        <v>0</v>
      </c>
      <c r="S57" s="3"/>
      <c r="T57" s="7">
        <v>0</v>
      </c>
      <c r="U57" s="3"/>
      <c r="V57" s="8">
        <f t="shared" si="41"/>
        <v>0</v>
      </c>
      <c r="W57" s="3"/>
      <c r="X57" s="7">
        <f t="shared" si="42"/>
        <v>0</v>
      </c>
      <c r="Y57" s="3"/>
      <c r="Z57" s="8">
        <f t="shared" si="43"/>
        <v>0</v>
      </c>
    </row>
    <row r="58" spans="1:26" s="29" customFormat="1" outlineLevel="1" collapsed="1" x14ac:dyDescent="0.25">
      <c r="A58" s="28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SUM(OSRRefD22_10x_0)</f>
        <v>320.58</v>
      </c>
      <c r="E58" s="1"/>
      <c r="F58" s="5">
        <f t="shared" si="36"/>
        <v>0</v>
      </c>
      <c r="G58" s="1"/>
      <c r="H58" s="1">
        <f>SUM(OSRRefH22_10x_0)</f>
        <v>0</v>
      </c>
      <c r="I58" s="1"/>
      <c r="J58" s="5">
        <f t="shared" si="37"/>
        <v>0</v>
      </c>
      <c r="K58" s="1"/>
      <c r="L58" s="1">
        <f t="shared" si="38"/>
        <v>320.58</v>
      </c>
      <c r="M58" s="1"/>
      <c r="N58" s="5">
        <f t="shared" si="39"/>
        <v>0</v>
      </c>
      <c r="O58" s="14"/>
      <c r="P58" s="1">
        <f>SUM(OSRRefP22_10x_0)</f>
        <v>320.58</v>
      </c>
      <c r="Q58" s="1"/>
      <c r="R58" s="5">
        <f t="shared" si="40"/>
        <v>0</v>
      </c>
      <c r="S58" s="1"/>
      <c r="T58" s="1">
        <f>SUM(OSRRefT22_10x_0)</f>
        <v>0</v>
      </c>
      <c r="U58" s="1"/>
      <c r="V58" s="5">
        <f t="shared" si="41"/>
        <v>0</v>
      </c>
      <c r="W58" s="1"/>
      <c r="X58" s="1">
        <f t="shared" si="42"/>
        <v>320.58</v>
      </c>
      <c r="Y58" s="1"/>
      <c r="Z58" s="5">
        <f t="shared" si="43"/>
        <v>0</v>
      </c>
    </row>
    <row r="59" spans="1:26" s="24" customFormat="1" hidden="1" outlineLevel="2" x14ac:dyDescent="0.25">
      <c r="A59" s="27"/>
      <c r="B59" s="12" t="str">
        <f>CONCATENATE("          ", "6282", " - ", "JANITORIAL/EXTERMINATOR EXPENS")</f>
        <v xml:space="preserve">          6282 - JANITORIAL/EXTERMINATOR EXPENS</v>
      </c>
      <c r="C59" s="12"/>
      <c r="D59" s="7"/>
      <c r="E59" s="3"/>
      <c r="F59" s="8">
        <f t="shared" si="36"/>
        <v>0</v>
      </c>
      <c r="G59" s="3"/>
      <c r="H59" s="7">
        <v>0</v>
      </c>
      <c r="I59" s="3"/>
      <c r="J59" s="8">
        <f t="shared" si="37"/>
        <v>0</v>
      </c>
      <c r="K59" s="3"/>
      <c r="L59" s="7">
        <f t="shared" si="38"/>
        <v>0</v>
      </c>
      <c r="M59" s="3"/>
      <c r="N59" s="8">
        <f t="shared" si="39"/>
        <v>0</v>
      </c>
      <c r="O59" s="12"/>
      <c r="P59" s="7"/>
      <c r="Q59" s="3"/>
      <c r="R59" s="8">
        <f t="shared" si="40"/>
        <v>0</v>
      </c>
      <c r="S59" s="3"/>
      <c r="T59" s="7">
        <v>0</v>
      </c>
      <c r="U59" s="3"/>
      <c r="V59" s="8">
        <f t="shared" si="41"/>
        <v>0</v>
      </c>
      <c r="W59" s="3"/>
      <c r="X59" s="7">
        <f t="shared" si="42"/>
        <v>0</v>
      </c>
      <c r="Y59" s="3"/>
      <c r="Z59" s="8">
        <f t="shared" si="43"/>
        <v>0</v>
      </c>
    </row>
    <row r="60" spans="1:26" s="24" customFormat="1" hidden="1" outlineLevel="2" x14ac:dyDescent="0.25">
      <c r="A60" s="27"/>
      <c r="B60" s="12" t="str">
        <f>CONCATENATE("          ", "6283", " - ", "PLANT SERVICE")</f>
        <v xml:space="preserve">          6283 - PLANT SERVICE</v>
      </c>
      <c r="C60" s="12"/>
      <c r="D60" s="7"/>
      <c r="E60" s="3"/>
      <c r="F60" s="8">
        <f t="shared" si="36"/>
        <v>0</v>
      </c>
      <c r="G60" s="3"/>
      <c r="H60" s="7">
        <v>0</v>
      </c>
      <c r="I60" s="3"/>
      <c r="J60" s="8">
        <f t="shared" si="37"/>
        <v>0</v>
      </c>
      <c r="K60" s="3"/>
      <c r="L60" s="7">
        <f t="shared" si="38"/>
        <v>0</v>
      </c>
      <c r="M60" s="3"/>
      <c r="N60" s="8">
        <f t="shared" si="39"/>
        <v>0</v>
      </c>
      <c r="O60" s="12"/>
      <c r="P60" s="7"/>
      <c r="Q60" s="3"/>
      <c r="R60" s="8">
        <f t="shared" si="40"/>
        <v>0</v>
      </c>
      <c r="S60" s="3"/>
      <c r="T60" s="7">
        <v>0</v>
      </c>
      <c r="U60" s="3"/>
      <c r="V60" s="8">
        <f t="shared" si="41"/>
        <v>0</v>
      </c>
      <c r="W60" s="3"/>
      <c r="X60" s="7">
        <f t="shared" si="42"/>
        <v>0</v>
      </c>
      <c r="Y60" s="3"/>
      <c r="Z60" s="8">
        <f t="shared" si="43"/>
        <v>0</v>
      </c>
    </row>
    <row r="61" spans="1:26" s="24" customFormat="1" hidden="1" outlineLevel="2" x14ac:dyDescent="0.25">
      <c r="A61" s="27"/>
      <c r="B61" s="12" t="str">
        <f>CONCATENATE("          ", "6285", " - ", "JANITORIAL SERVICES")</f>
        <v xml:space="preserve">          6285 - JANITORIAL SERVICES</v>
      </c>
      <c r="C61" s="12"/>
      <c r="D61" s="7"/>
      <c r="E61" s="3"/>
      <c r="F61" s="8">
        <f t="shared" si="36"/>
        <v>0</v>
      </c>
      <c r="G61" s="3"/>
      <c r="H61" s="7">
        <v>0</v>
      </c>
      <c r="I61" s="3"/>
      <c r="J61" s="8">
        <f t="shared" si="37"/>
        <v>0</v>
      </c>
      <c r="K61" s="3"/>
      <c r="L61" s="7">
        <f t="shared" si="38"/>
        <v>0</v>
      </c>
      <c r="M61" s="3"/>
      <c r="N61" s="8">
        <f t="shared" si="39"/>
        <v>0</v>
      </c>
      <c r="O61" s="12"/>
      <c r="P61" s="7"/>
      <c r="Q61" s="3"/>
      <c r="R61" s="8">
        <f t="shared" si="40"/>
        <v>0</v>
      </c>
      <c r="S61" s="3"/>
      <c r="T61" s="7">
        <v>0</v>
      </c>
      <c r="U61" s="3"/>
      <c r="V61" s="8">
        <f t="shared" si="41"/>
        <v>0</v>
      </c>
      <c r="W61" s="3"/>
      <c r="X61" s="7">
        <f t="shared" si="42"/>
        <v>0</v>
      </c>
      <c r="Y61" s="3"/>
      <c r="Z61" s="8">
        <f t="shared" si="43"/>
        <v>0</v>
      </c>
    </row>
    <row r="62" spans="1:26" s="24" customFormat="1" hidden="1" outlineLevel="2" x14ac:dyDescent="0.25">
      <c r="A62" s="27"/>
      <c r="B62" s="12" t="str">
        <f>CONCATENATE("          ", "6286", " - ", "LAUNDRY EXPENSE")</f>
        <v xml:space="preserve">          6286 - LAUNDRY EXPENSE</v>
      </c>
      <c r="C62" s="12"/>
      <c r="D62" s="7">
        <v>320.58</v>
      </c>
      <c r="E62" s="3"/>
      <c r="F62" s="8">
        <f t="shared" si="36"/>
        <v>0</v>
      </c>
      <c r="G62" s="3"/>
      <c r="H62" s="7">
        <v>0</v>
      </c>
      <c r="I62" s="3"/>
      <c r="J62" s="8">
        <f t="shared" si="37"/>
        <v>0</v>
      </c>
      <c r="K62" s="3"/>
      <c r="L62" s="7">
        <f t="shared" si="38"/>
        <v>320.58</v>
      </c>
      <c r="M62" s="3"/>
      <c r="N62" s="8">
        <f t="shared" si="39"/>
        <v>0</v>
      </c>
      <c r="O62" s="12"/>
      <c r="P62" s="7">
        <v>320.58</v>
      </c>
      <c r="Q62" s="3"/>
      <c r="R62" s="8">
        <f t="shared" si="40"/>
        <v>0</v>
      </c>
      <c r="S62" s="3"/>
      <c r="T62" s="7">
        <v>0</v>
      </c>
      <c r="U62" s="3"/>
      <c r="V62" s="8">
        <f t="shared" si="41"/>
        <v>0</v>
      </c>
      <c r="W62" s="3"/>
      <c r="X62" s="7">
        <f t="shared" si="42"/>
        <v>320.58</v>
      </c>
      <c r="Y62" s="3"/>
      <c r="Z62" s="8">
        <f t="shared" si="43"/>
        <v>0</v>
      </c>
    </row>
    <row r="63" spans="1:26" s="29" customFormat="1" outlineLevel="1" collapsed="1" x14ac:dyDescent="0.25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0</v>
      </c>
      <c r="E63" s="1"/>
      <c r="F63" s="5">
        <f t="shared" ref="F63:F65" si="44">IF(D$12=0,0,D63/D$12)</f>
        <v>0</v>
      </c>
      <c r="G63" s="1"/>
      <c r="H63" s="1">
        <f>SUM(OSRRefH22_11x_0)</f>
        <v>0</v>
      </c>
      <c r="I63" s="1"/>
      <c r="J63" s="5">
        <f t="shared" ref="J63:J65" si="45">IF(H$12=0,0,H63/H$12)</f>
        <v>0</v>
      </c>
      <c r="K63" s="1"/>
      <c r="L63" s="1">
        <f t="shared" ref="L63:L65" si="46">+D63-H63</f>
        <v>0</v>
      </c>
      <c r="M63" s="1"/>
      <c r="N63" s="5">
        <f t="shared" ref="N63:N65" si="47">IF(H63=0,0,L63/H63)</f>
        <v>0</v>
      </c>
      <c r="O63" s="14"/>
      <c r="P63" s="1">
        <f>SUM(OSRRefP22_11x_0)</f>
        <v>0</v>
      </c>
      <c r="Q63" s="1"/>
      <c r="R63" s="5">
        <f t="shared" ref="R63:R65" si="48">IF(P$12=0,0,P63/P$12)</f>
        <v>0</v>
      </c>
      <c r="S63" s="1"/>
      <c r="T63" s="1">
        <f>SUM(OSRRefT22_11x_0)</f>
        <v>0</v>
      </c>
      <c r="U63" s="1"/>
      <c r="V63" s="5">
        <f t="shared" ref="V63:V65" si="49">IF(T$12=0,0,T63/T$12)</f>
        <v>0</v>
      </c>
      <c r="W63" s="1"/>
      <c r="X63" s="1">
        <f t="shared" ref="X63:X65" si="50">+P63-T63</f>
        <v>0</v>
      </c>
      <c r="Y63" s="1"/>
      <c r="Z63" s="5">
        <f t="shared" ref="Z63:Z65" si="51">IF(T63=0,0,X63/T63)</f>
        <v>0</v>
      </c>
    </row>
    <row r="64" spans="1:26" s="24" customFormat="1" hidden="1" outlineLevel="2" x14ac:dyDescent="0.25">
      <c r="A64" s="27"/>
      <c r="B64" s="12" t="str">
        <f>CONCATENATE("          ", "6235", " - ", "COVID-19 EXPENSES")</f>
        <v xml:space="preserve">          6235 - COVID-19 EXPENSES</v>
      </c>
      <c r="C64" s="12"/>
      <c r="D64" s="7"/>
      <c r="E64" s="3"/>
      <c r="F64" s="8">
        <f t="shared" si="44"/>
        <v>0</v>
      </c>
      <c r="G64" s="3"/>
      <c r="H64" s="7">
        <v>0</v>
      </c>
      <c r="I64" s="3"/>
      <c r="J64" s="8">
        <f t="shared" si="45"/>
        <v>0</v>
      </c>
      <c r="K64" s="3"/>
      <c r="L64" s="7">
        <f t="shared" si="46"/>
        <v>0</v>
      </c>
      <c r="M64" s="3"/>
      <c r="N64" s="8">
        <f t="shared" si="47"/>
        <v>0</v>
      </c>
      <c r="O64" s="12"/>
      <c r="P64" s="7"/>
      <c r="Q64" s="3"/>
      <c r="R64" s="8">
        <f t="shared" si="48"/>
        <v>0</v>
      </c>
      <c r="S64" s="3"/>
      <c r="T64" s="7">
        <v>0</v>
      </c>
      <c r="U64" s="3"/>
      <c r="V64" s="8">
        <f t="shared" si="49"/>
        <v>0</v>
      </c>
      <c r="W64" s="3"/>
      <c r="X64" s="7">
        <f t="shared" si="50"/>
        <v>0</v>
      </c>
      <c r="Y64" s="3"/>
      <c r="Z64" s="8">
        <f t="shared" si="51"/>
        <v>0</v>
      </c>
    </row>
    <row r="65" spans="1:26" s="24" customFormat="1" hidden="1" outlineLevel="2" x14ac:dyDescent="0.25">
      <c r="A65" s="27"/>
      <c r="B65" s="12" t="str">
        <f>CONCATENATE("          ", "6247", " - ", "STORE SUPPLIES")</f>
        <v xml:space="preserve">          6247 - STORE SUPPLIES</v>
      </c>
      <c r="C65" s="12"/>
      <c r="D65" s="7"/>
      <c r="E65" s="3"/>
      <c r="F65" s="8">
        <f t="shared" si="44"/>
        <v>0</v>
      </c>
      <c r="G65" s="3"/>
      <c r="H65" s="7">
        <v>0</v>
      </c>
      <c r="I65" s="3"/>
      <c r="J65" s="8">
        <f t="shared" si="45"/>
        <v>0</v>
      </c>
      <c r="K65" s="3"/>
      <c r="L65" s="7">
        <f t="shared" si="46"/>
        <v>0</v>
      </c>
      <c r="M65" s="3"/>
      <c r="N65" s="8">
        <f t="shared" si="47"/>
        <v>0</v>
      </c>
      <c r="O65" s="12"/>
      <c r="P65" s="7"/>
      <c r="Q65" s="3"/>
      <c r="R65" s="8">
        <f t="shared" si="48"/>
        <v>0</v>
      </c>
      <c r="S65" s="3"/>
      <c r="T65" s="7">
        <v>0</v>
      </c>
      <c r="U65" s="3"/>
      <c r="V65" s="8">
        <f t="shared" si="49"/>
        <v>0</v>
      </c>
      <c r="W65" s="3"/>
      <c r="X65" s="7">
        <f t="shared" si="50"/>
        <v>0</v>
      </c>
      <c r="Y65" s="3"/>
      <c r="Z65" s="8">
        <f t="shared" si="51"/>
        <v>0</v>
      </c>
    </row>
    <row r="66" spans="1:26" s="29" customFormat="1" outlineLevel="1" collapsed="1" x14ac:dyDescent="0.25">
      <c r="A66" s="28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SUM(OSRRefD22_12x_0)</f>
        <v>53.81</v>
      </c>
      <c r="E66" s="1"/>
      <c r="F66" s="5">
        <f t="shared" ref="F66:F68" si="52">IF(D$12=0,0,D66/D$12)</f>
        <v>0</v>
      </c>
      <c r="G66" s="1"/>
      <c r="H66" s="1">
        <f>SUM(OSRRefH22_12x_0)</f>
        <v>0</v>
      </c>
      <c r="I66" s="1"/>
      <c r="J66" s="5">
        <f t="shared" ref="J66:J68" si="53">IF(H$12=0,0,H66/H$12)</f>
        <v>0</v>
      </c>
      <c r="K66" s="1"/>
      <c r="L66" s="1">
        <f t="shared" ref="L66:L68" si="54">+D66-H66</f>
        <v>53.81</v>
      </c>
      <c r="M66" s="1"/>
      <c r="N66" s="5">
        <f t="shared" ref="N66:N68" si="55">IF(H66=0,0,L66/H66)</f>
        <v>0</v>
      </c>
      <c r="O66" s="14"/>
      <c r="P66" s="1">
        <f>SUM(OSRRefP22_12x_0)</f>
        <v>53.81</v>
      </c>
      <c r="Q66" s="1"/>
      <c r="R66" s="5">
        <f t="shared" ref="R66:R68" si="56">IF(P$12=0,0,P66/P$12)</f>
        <v>0</v>
      </c>
      <c r="S66" s="1"/>
      <c r="T66" s="1">
        <f>SUM(OSRRefT22_12x_0)</f>
        <v>0</v>
      </c>
      <c r="U66" s="1"/>
      <c r="V66" s="5">
        <f t="shared" ref="V66:V68" si="57">IF(T$12=0,0,T66/T$12)</f>
        <v>0</v>
      </c>
      <c r="W66" s="1"/>
      <c r="X66" s="1">
        <f t="shared" ref="X66:X68" si="58">+P66-T66</f>
        <v>53.81</v>
      </c>
      <c r="Y66" s="1"/>
      <c r="Z66" s="5">
        <f t="shared" ref="Z66:Z68" si="59">IF(T66=0,0,X66/T66)</f>
        <v>0</v>
      </c>
    </row>
    <row r="67" spans="1:26" s="24" customFormat="1" hidden="1" outlineLevel="2" x14ac:dyDescent="0.25">
      <c r="A67" s="27"/>
      <c r="B67" s="12" t="str">
        <f>CONCATENATE("          ", "6303", " - ", "DATA PHONE LINES")</f>
        <v xml:space="preserve">          6303 - DATA PHONE LINES</v>
      </c>
      <c r="C67" s="12"/>
      <c r="D67" s="7"/>
      <c r="E67" s="3"/>
      <c r="F67" s="8">
        <f t="shared" si="52"/>
        <v>0</v>
      </c>
      <c r="G67" s="3"/>
      <c r="H67" s="7">
        <v>0</v>
      </c>
      <c r="I67" s="3"/>
      <c r="J67" s="8">
        <f t="shared" si="53"/>
        <v>0</v>
      </c>
      <c r="K67" s="3"/>
      <c r="L67" s="7">
        <f t="shared" si="54"/>
        <v>0</v>
      </c>
      <c r="M67" s="3"/>
      <c r="N67" s="8">
        <f t="shared" si="55"/>
        <v>0</v>
      </c>
      <c r="O67" s="12"/>
      <c r="P67" s="7"/>
      <c r="Q67" s="3"/>
      <c r="R67" s="8">
        <f t="shared" si="56"/>
        <v>0</v>
      </c>
      <c r="S67" s="3"/>
      <c r="T67" s="7">
        <v>0</v>
      </c>
      <c r="U67" s="3"/>
      <c r="V67" s="8">
        <f t="shared" si="57"/>
        <v>0</v>
      </c>
      <c r="W67" s="3"/>
      <c r="X67" s="7">
        <f t="shared" si="58"/>
        <v>0</v>
      </c>
      <c r="Y67" s="3"/>
      <c r="Z67" s="8">
        <f t="shared" si="59"/>
        <v>0</v>
      </c>
    </row>
    <row r="68" spans="1:26" s="24" customFormat="1" hidden="1" outlineLevel="2" x14ac:dyDescent="0.25">
      <c r="A68" s="27"/>
      <c r="B68" s="12" t="str">
        <f>CONCATENATE("          ", "6309", " - ", "TELEPHONE")</f>
        <v xml:space="preserve">          6309 - TELEPHONE</v>
      </c>
      <c r="C68" s="12"/>
      <c r="D68" s="7">
        <v>53.81</v>
      </c>
      <c r="E68" s="3"/>
      <c r="F68" s="8">
        <f t="shared" si="52"/>
        <v>0</v>
      </c>
      <c r="G68" s="3"/>
      <c r="H68" s="7"/>
      <c r="I68" s="3"/>
      <c r="J68" s="8">
        <f t="shared" si="53"/>
        <v>0</v>
      </c>
      <c r="K68" s="3"/>
      <c r="L68" s="7">
        <f t="shared" si="54"/>
        <v>53.81</v>
      </c>
      <c r="M68" s="3"/>
      <c r="N68" s="8">
        <f t="shared" si="55"/>
        <v>0</v>
      </c>
      <c r="O68" s="12"/>
      <c r="P68" s="7">
        <v>53.81</v>
      </c>
      <c r="Q68" s="3"/>
      <c r="R68" s="8">
        <f t="shared" si="56"/>
        <v>0</v>
      </c>
      <c r="S68" s="3"/>
      <c r="T68" s="7"/>
      <c r="U68" s="3"/>
      <c r="V68" s="8">
        <f t="shared" si="57"/>
        <v>0</v>
      </c>
      <c r="W68" s="3"/>
      <c r="X68" s="7">
        <f t="shared" si="58"/>
        <v>53.81</v>
      </c>
      <c r="Y68" s="3"/>
      <c r="Z68" s="8">
        <f t="shared" si="59"/>
        <v>0</v>
      </c>
    </row>
    <row r="69" spans="1:26" s="29" customFormat="1" outlineLevel="1" collapsed="1" x14ac:dyDescent="0.25">
      <c r="A69" s="28"/>
      <c r="B69" s="14" t="str">
        <f>CONCATENATE("     ","Utilities                                         ")</f>
        <v xml:space="preserve">     Utilities                                         </v>
      </c>
      <c r="C69" s="14"/>
      <c r="D69" s="1">
        <f>SUM(OSRRefD22_13x_0)</f>
        <v>0</v>
      </c>
      <c r="E69" s="1"/>
      <c r="F69" s="5">
        <f t="shared" ref="F69:F70" si="60">IF(D$12=0,0,D69/D$12)</f>
        <v>0</v>
      </c>
      <c r="G69" s="1"/>
      <c r="H69" s="1">
        <f>SUM(OSRRefH22_13x_0)</f>
        <v>0</v>
      </c>
      <c r="I69" s="1"/>
      <c r="J69" s="5">
        <f t="shared" ref="J69:J70" si="61">IF(H$12=0,0,H69/H$12)</f>
        <v>0</v>
      </c>
      <c r="K69" s="1"/>
      <c r="L69" s="1">
        <f t="shared" ref="L69:L70" si="62">+D69-H69</f>
        <v>0</v>
      </c>
      <c r="M69" s="1"/>
      <c r="N69" s="5">
        <f t="shared" ref="N69:N70" si="63">IF(H69=0,0,L69/H69)</f>
        <v>0</v>
      </c>
      <c r="O69" s="14"/>
      <c r="P69" s="1">
        <f>SUM(OSRRefP22_13x_0)</f>
        <v>0</v>
      </c>
      <c r="Q69" s="1"/>
      <c r="R69" s="5">
        <f t="shared" ref="R69:R70" si="64">IF(P$12=0,0,P69/P$12)</f>
        <v>0</v>
      </c>
      <c r="S69" s="1"/>
      <c r="T69" s="1">
        <f>SUM(OSRRefT22_13x_0)</f>
        <v>0</v>
      </c>
      <c r="U69" s="1"/>
      <c r="V69" s="5">
        <f t="shared" ref="V69:V70" si="65">IF(T$12=0,0,T69/T$12)</f>
        <v>0</v>
      </c>
      <c r="W69" s="1"/>
      <c r="X69" s="1">
        <f t="shared" ref="X69:X70" si="66">+P69-T69</f>
        <v>0</v>
      </c>
      <c r="Y69" s="1"/>
      <c r="Z69" s="5">
        <f t="shared" ref="Z69:Z70" si="67">IF(T69=0,0,X69/T69)</f>
        <v>0</v>
      </c>
    </row>
    <row r="70" spans="1:26" s="24" customFormat="1" hidden="1" outlineLevel="2" x14ac:dyDescent="0.25">
      <c r="A70" s="27"/>
      <c r="B70" s="12" t="str">
        <f>CONCATENATE("          ", "6274", " - ", "UTILITIES")</f>
        <v xml:space="preserve">          6274 - UTILITIES</v>
      </c>
      <c r="C70" s="12"/>
      <c r="D70" s="7"/>
      <c r="E70" s="3"/>
      <c r="F70" s="8">
        <f t="shared" si="60"/>
        <v>0</v>
      </c>
      <c r="G70" s="3"/>
      <c r="H70" s="7">
        <v>0</v>
      </c>
      <c r="I70" s="3"/>
      <c r="J70" s="8">
        <f t="shared" si="61"/>
        <v>0</v>
      </c>
      <c r="K70" s="3"/>
      <c r="L70" s="7">
        <f t="shared" si="62"/>
        <v>0</v>
      </c>
      <c r="M70" s="3"/>
      <c r="N70" s="8">
        <f t="shared" si="63"/>
        <v>0</v>
      </c>
      <c r="O70" s="12"/>
      <c r="P70" s="7"/>
      <c r="Q70" s="3"/>
      <c r="R70" s="8">
        <f t="shared" si="64"/>
        <v>0</v>
      </c>
      <c r="S70" s="3"/>
      <c r="T70" s="7">
        <v>0</v>
      </c>
      <c r="U70" s="3"/>
      <c r="V70" s="8">
        <f t="shared" si="65"/>
        <v>0</v>
      </c>
      <c r="W70" s="3"/>
      <c r="X70" s="7">
        <f t="shared" si="66"/>
        <v>0</v>
      </c>
      <c r="Y70" s="3"/>
      <c r="Z70" s="8">
        <f t="shared" si="67"/>
        <v>0</v>
      </c>
    </row>
    <row r="71" spans="1:26" s="54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2" customFormat="1" x14ac:dyDescent="0.25">
      <c r="A72" s="10"/>
      <c r="B72" s="26" t="s">
        <v>0</v>
      </c>
      <c r="C72" s="10"/>
      <c r="D72" s="4">
        <f>SUM(0)</f>
        <v>0</v>
      </c>
      <c r="E72" s="4"/>
      <c r="F72" s="11">
        <f>IF(D$12=0,0,D72/D$12)</f>
        <v>0</v>
      </c>
      <c r="G72" s="4"/>
      <c r="H72" s="4">
        <f>SUM(0)</f>
        <v>0</v>
      </c>
      <c r="I72" s="4"/>
      <c r="J72" s="11">
        <f>IF(H$12=0,0,H72/H$12)</f>
        <v>0</v>
      </c>
      <c r="K72" s="4"/>
      <c r="L72" s="4">
        <f>+D72-H72</f>
        <v>0</v>
      </c>
      <c r="M72" s="4"/>
      <c r="N72" s="11">
        <f>IF(H72=0,0,L72/H72)</f>
        <v>0</v>
      </c>
      <c r="O72" s="10"/>
      <c r="P72" s="4">
        <f>SUM(0)</f>
        <v>0</v>
      </c>
      <c r="Q72" s="4"/>
      <c r="R72" s="11">
        <f>IF(P$12=0,0,P72/P$12)</f>
        <v>0</v>
      </c>
      <c r="S72" s="4"/>
      <c r="T72" s="4">
        <f>SUM(0)</f>
        <v>0</v>
      </c>
      <c r="U72" s="4"/>
      <c r="V72" s="11">
        <f>IF(T$12=0,0,T72/T$12)</f>
        <v>0</v>
      </c>
      <c r="W72" s="4"/>
      <c r="X72" s="4">
        <f>+P72-T72</f>
        <v>0</v>
      </c>
      <c r="Y72" s="4"/>
      <c r="Z72" s="11">
        <f>IF(T72=0,0,X72/T72)</f>
        <v>0</v>
      </c>
    </row>
    <row r="73" spans="1:26" x14ac:dyDescent="0.25">
      <c r="A73" s="9"/>
      <c r="B73" s="10"/>
      <c r="C73" s="10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10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2" customFormat="1" x14ac:dyDescent="0.25">
      <c r="A74" s="10"/>
      <c r="B74" s="25" t="s">
        <v>3</v>
      </c>
      <c r="C74" s="25"/>
      <c r="D74" s="21">
        <f>+D18-D20+D72</f>
        <v>-1080.99</v>
      </c>
      <c r="E74" s="13"/>
      <c r="F74" s="20">
        <f>IF(D$12=0,0,D74/D$12)</f>
        <v>0</v>
      </c>
      <c r="G74" s="13"/>
      <c r="H74" s="21">
        <f>+H18-H20+H72</f>
        <v>-848</v>
      </c>
      <c r="I74" s="13"/>
      <c r="J74" s="20">
        <f>IF(H$12=0,0,H74/H$12)</f>
        <v>0</v>
      </c>
      <c r="K74" s="15"/>
      <c r="L74" s="21">
        <f>+D74-H74</f>
        <v>-232.99</v>
      </c>
      <c r="M74" s="15"/>
      <c r="N74" s="20">
        <f>IF(H74=0,0,L74/H74)</f>
        <v>0.27475235849056606</v>
      </c>
      <c r="O74" s="26"/>
      <c r="P74" s="21">
        <f>+P18-P20+P72</f>
        <v>-1080.99</v>
      </c>
      <c r="Q74" s="13"/>
      <c r="R74" s="20">
        <f>IF(P$12=0,0,P74/P$12)</f>
        <v>0</v>
      </c>
      <c r="S74" s="13"/>
      <c r="T74" s="21">
        <f>+T18-T20+T72</f>
        <v>-848</v>
      </c>
      <c r="U74" s="13"/>
      <c r="V74" s="20">
        <f>IF(T$12=0,0,T74/T$12)</f>
        <v>0</v>
      </c>
      <c r="W74" s="15"/>
      <c r="X74" s="21">
        <f>+P74-T74</f>
        <v>-232.99</v>
      </c>
      <c r="Y74" s="15"/>
      <c r="Z74" s="20">
        <f>IF(T74=0,0,X74/T74)</f>
        <v>0.27475235849056606</v>
      </c>
    </row>
    <row r="75" spans="1:26" x14ac:dyDescent="0.25">
      <c r="A75" s="9"/>
      <c r="B75" s="10"/>
      <c r="C75" s="9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2" customFormat="1" x14ac:dyDescent="0.25">
      <c r="A76" s="52"/>
      <c r="B76" s="10" t="s">
        <v>14</v>
      </c>
      <c r="C76" s="10"/>
      <c r="D76" s="4"/>
      <c r="E76" s="4"/>
      <c r="F76" s="11">
        <f>IF(D$12=0,0,D76/D$12)</f>
        <v>0</v>
      </c>
      <c r="G76" s="4"/>
      <c r="H76" s="4"/>
      <c r="I76" s="4"/>
      <c r="J76" s="11">
        <f>IF(H$12=0,0,H76/H$12)</f>
        <v>0</v>
      </c>
      <c r="K76" s="4"/>
      <c r="L76" s="4">
        <f>+D76-H76</f>
        <v>0</v>
      </c>
      <c r="M76" s="4"/>
      <c r="N76" s="11">
        <f>IF(H76=0,0,L76/H76)</f>
        <v>0</v>
      </c>
      <c r="O76" s="10"/>
      <c r="P76" s="4"/>
      <c r="Q76" s="4"/>
      <c r="R76" s="11">
        <f>IF(P$12=0,0,P76/P$12)</f>
        <v>0</v>
      </c>
      <c r="S76" s="4"/>
      <c r="T76" s="4"/>
      <c r="U76" s="4"/>
      <c r="V76" s="11">
        <f>IF(T$12=0,0,T76/T$12)</f>
        <v>0</v>
      </c>
      <c r="W76" s="4"/>
      <c r="X76" s="4">
        <f>+P76-T76</f>
        <v>0</v>
      </c>
      <c r="Y76" s="4"/>
      <c r="Z76" s="11">
        <f>IF(T76=0,0,X76/T76)</f>
        <v>0</v>
      </c>
    </row>
    <row r="77" spans="1:26" x14ac:dyDescent="0.25">
      <c r="A77" s="9"/>
      <c r="B77" s="10"/>
      <c r="C77" s="10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O77" s="10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2" customFormat="1" ht="15.75" thickBot="1" x14ac:dyDescent="0.3">
      <c r="A78" s="10"/>
      <c r="B78" s="25" t="s">
        <v>4</v>
      </c>
      <c r="C78" s="25"/>
      <c r="D78" s="34">
        <f>+D74-D76</f>
        <v>-1080.99</v>
      </c>
      <c r="E78" s="13"/>
      <c r="F78" s="30">
        <f>IF(D$12=0,0,D78/D$12)</f>
        <v>0</v>
      </c>
      <c r="G78" s="13"/>
      <c r="H78" s="34">
        <f>+H74-H76</f>
        <v>-848</v>
      </c>
      <c r="I78" s="13"/>
      <c r="J78" s="30">
        <f>IF(H$12=0,0,H78/H$12)</f>
        <v>0</v>
      </c>
      <c r="K78" s="15"/>
      <c r="L78" s="34">
        <f>D78-H78</f>
        <v>-232.99</v>
      </c>
      <c r="M78" s="15"/>
      <c r="N78" s="30">
        <f>IF(H78=0,0,L78/H78)</f>
        <v>0.27475235849056606</v>
      </c>
      <c r="O78" s="26"/>
      <c r="P78" s="34">
        <f>+P74-P76</f>
        <v>-1080.99</v>
      </c>
      <c r="Q78" s="13"/>
      <c r="R78" s="30">
        <f>IF(P$12=0,0,P78/P$12)</f>
        <v>0</v>
      </c>
      <c r="S78" s="13"/>
      <c r="T78" s="34">
        <f>+T74-T76</f>
        <v>-848</v>
      </c>
      <c r="U78" s="13"/>
      <c r="V78" s="30">
        <f>IF(T$12=0,0,T78/T$12)</f>
        <v>0</v>
      </c>
      <c r="W78" s="15"/>
      <c r="X78" s="34">
        <f>P78-T78</f>
        <v>-232.99</v>
      </c>
      <c r="Y78" s="15"/>
      <c r="Z78" s="30">
        <f>IF(T78=0,0,X78/T78)</f>
        <v>0.27475235849056606</v>
      </c>
    </row>
    <row r="79" spans="1:26" ht="15.75" thickTop="1" x14ac:dyDescent="0.25">
      <c r="A79" s="9"/>
      <c r="B79" s="9"/>
      <c r="C79" s="9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x14ac:dyDescent="0.25">
      <c r="A80" s="9"/>
      <c r="B80" s="9"/>
      <c r="C80" s="9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2" customFormat="1" ht="15.75" thickBot="1" x14ac:dyDescent="0.3">
      <c r="A81" s="10"/>
      <c r="B81" s="25" t="s">
        <v>5</v>
      </c>
      <c r="C81" s="25"/>
      <c r="D81" s="32">
        <f>SUM(D78:D80)</f>
        <v>-1080.99</v>
      </c>
      <c r="E81" s="13"/>
      <c r="F81" s="33">
        <f>IF(D$12=0,0,D81/D$12)</f>
        <v>0</v>
      </c>
      <c r="G81" s="13"/>
      <c r="H81" s="32">
        <f>SUM(H78:H80)</f>
        <v>-848</v>
      </c>
      <c r="I81" s="13"/>
      <c r="J81" s="33">
        <f>IF(H$12=0,0,H81/H$12)</f>
        <v>0</v>
      </c>
      <c r="K81" s="15"/>
      <c r="L81" s="32">
        <f>+D81-H81</f>
        <v>-232.99</v>
      </c>
      <c r="M81" s="15"/>
      <c r="N81" s="33">
        <f>IF(H81=0,0,L81/H81)</f>
        <v>0.27475235849056606</v>
      </c>
      <c r="O81" s="26"/>
      <c r="P81" s="32">
        <f>SUM(P78:P80)</f>
        <v>-1080.99</v>
      </c>
      <c r="Q81" s="13"/>
      <c r="R81" s="33">
        <f>IF(P$12=0,0,P81/P$12)</f>
        <v>0</v>
      </c>
      <c r="S81" s="13"/>
      <c r="T81" s="32">
        <f>SUM(T78:T80)</f>
        <v>-848</v>
      </c>
      <c r="U81" s="13"/>
      <c r="V81" s="33">
        <f>IF(T$12=0,0,T81/T$12)</f>
        <v>0</v>
      </c>
      <c r="W81" s="15"/>
      <c r="X81" s="32">
        <f>+P81-T81</f>
        <v>-232.99</v>
      </c>
      <c r="Y81" s="15"/>
      <c r="Z81" s="33">
        <f>IF(T81=0,0,X81/T81)</f>
        <v>0.27475235849056606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8">
        <v>44104.686300381945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56" t="s">
        <v>314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62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","413", " - ", "Beach Walk")</f>
        <v>Department 413 - Beach Walk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collapsed="1" x14ac:dyDescent="0.25">
      <c r="A14" s="10"/>
      <c r="B14" s="26" t="s">
        <v>8</v>
      </c>
      <c r="C14" s="10"/>
      <c r="D14" s="4">
        <f>SUM(OSRRefD16x_0)</f>
        <v>0</v>
      </c>
      <c r="E14" s="4"/>
      <c r="F14" s="11">
        <f t="shared" ref="F14:F15" si="0">IF(D$12=0,0,D14/D$12)</f>
        <v>0</v>
      </c>
      <c r="G14" s="4"/>
      <c r="H14" s="4">
        <f>SUM(OSRRefH16x_0)</f>
        <v>0</v>
      </c>
      <c r="I14" s="4"/>
      <c r="J14" s="11">
        <f t="shared" ref="J14:J15" si="1">IF(H$12=0,0,H14/H$12)</f>
        <v>0</v>
      </c>
      <c r="K14" s="4"/>
      <c r="L14" s="4">
        <f t="shared" ref="L14:L15" si="2">+D14-H14</f>
        <v>0</v>
      </c>
      <c r="M14" s="4"/>
      <c r="N14" s="11">
        <f t="shared" ref="N14:N15" si="3">IF(H14=0,0,L14/H14)</f>
        <v>0</v>
      </c>
      <c r="O14" s="10"/>
      <c r="P14" s="4">
        <f>SUM(OSRRefP16x_0)</f>
        <v>0</v>
      </c>
      <c r="Q14" s="4"/>
      <c r="R14" s="11">
        <f t="shared" ref="R14:R15" si="4">IF(P$12=0,0,P14/P$12)</f>
        <v>0</v>
      </c>
      <c r="S14" s="4"/>
      <c r="T14" s="4">
        <f>SUM(OSRRefT16x_0)</f>
        <v>0</v>
      </c>
      <c r="U14" s="4"/>
      <c r="V14" s="11">
        <f t="shared" ref="V14:V15" si="5">IF(T$12=0,0,T14/T$12)</f>
        <v>0</v>
      </c>
      <c r="W14" s="4"/>
      <c r="X14" s="4">
        <f t="shared" ref="X14:X15" si="6">+P14-T14</f>
        <v>0</v>
      </c>
      <c r="Y14" s="4"/>
      <c r="Z14" s="11">
        <f t="shared" ref="Z14:Z15" si="7">IF(T14=0,0,X14/T14)</f>
        <v>0</v>
      </c>
    </row>
    <row r="15" spans="1:26" s="24" customFormat="1" hidden="1" outlineLevel="1" x14ac:dyDescent="0.25">
      <c r="A15" s="51"/>
      <c r="B15" s="12" t="str">
        <f>CONCATENATE("          ", "5000", " - ", "PURCHASES @ COST")</f>
        <v xml:space="preserve">          5000 - PURCHASES @ COST</v>
      </c>
      <c r="C15" s="12"/>
      <c r="D15" s="3"/>
      <c r="E15" s="3"/>
      <c r="F15" s="23">
        <f t="shared" si="0"/>
        <v>0</v>
      </c>
      <c r="G15" s="3"/>
      <c r="H15" s="3">
        <v>0</v>
      </c>
      <c r="I15" s="3"/>
      <c r="J15" s="23">
        <f t="shared" si="1"/>
        <v>0</v>
      </c>
      <c r="K15" s="3"/>
      <c r="L15" s="3">
        <f t="shared" si="2"/>
        <v>0</v>
      </c>
      <c r="M15" s="3"/>
      <c r="N15" s="23">
        <f t="shared" si="3"/>
        <v>0</v>
      </c>
      <c r="O15" s="12"/>
      <c r="P15" s="3"/>
      <c r="Q15" s="3"/>
      <c r="R15" s="23">
        <f t="shared" si="4"/>
        <v>0</v>
      </c>
      <c r="S15" s="3"/>
      <c r="T15" s="3">
        <v>0</v>
      </c>
      <c r="U15" s="3"/>
      <c r="V15" s="23">
        <f t="shared" si="5"/>
        <v>0</v>
      </c>
      <c r="W15" s="3"/>
      <c r="X15" s="3">
        <f t="shared" si="6"/>
        <v>0</v>
      </c>
      <c r="Y15" s="3"/>
      <c r="Z15" s="23">
        <f t="shared" si="7"/>
        <v>0</v>
      </c>
    </row>
    <row r="16" spans="1:26" x14ac:dyDescent="0.25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x14ac:dyDescent="0.25">
      <c r="A17" s="10"/>
      <c r="B17" s="25" t="s">
        <v>6</v>
      </c>
      <c r="C17" s="25"/>
      <c r="D17" s="21">
        <f>D12-D14</f>
        <v>0</v>
      </c>
      <c r="E17" s="13"/>
      <c r="F17" s="20">
        <f>IF(D$12=0,0,D17/D$12)</f>
        <v>0</v>
      </c>
      <c r="G17" s="13"/>
      <c r="H17" s="21">
        <f>H12-H14</f>
        <v>0</v>
      </c>
      <c r="I17" s="13"/>
      <c r="J17" s="20">
        <f>IF(H$12=0,0,H17/H$12)</f>
        <v>0</v>
      </c>
      <c r="K17" s="15"/>
      <c r="L17" s="21">
        <f>+D17-H17</f>
        <v>0</v>
      </c>
      <c r="M17" s="15"/>
      <c r="N17" s="20">
        <f>IF(H17=0,0,L17/H17)</f>
        <v>0</v>
      </c>
      <c r="O17" s="26"/>
      <c r="P17" s="21">
        <f>P12-P14</f>
        <v>0</v>
      </c>
      <c r="Q17" s="13"/>
      <c r="R17" s="20">
        <f>IF(P$12=0,0,P17/P$12)</f>
        <v>0</v>
      </c>
      <c r="S17" s="13"/>
      <c r="T17" s="21">
        <f>T12-T14</f>
        <v>0</v>
      </c>
      <c r="U17" s="13"/>
      <c r="V17" s="20">
        <f>IF(T$12=0,0,T17/T$12)</f>
        <v>0</v>
      </c>
      <c r="W17" s="15"/>
      <c r="X17" s="21">
        <f>+P17-T17</f>
        <v>0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6" t="s">
        <v>9</v>
      </c>
      <c r="C19" s="10"/>
      <c r="D19" s="19">
        <f>SUM(OSRRefD22x_0)</f>
        <v>4118.5600000000004</v>
      </c>
      <c r="E19" s="19"/>
      <c r="F19" s="31">
        <f t="shared" ref="F19:F29" si="8">IF(D$12=0,0,D19/D$12)</f>
        <v>0</v>
      </c>
      <c r="G19" s="19"/>
      <c r="H19" s="19">
        <f>SUM(OSRRefH22x_0)</f>
        <v>630</v>
      </c>
      <c r="I19" s="19"/>
      <c r="J19" s="31">
        <f t="shared" ref="J19:J29" si="9">IF(H$12=0,0,H19/H$12)</f>
        <v>0</v>
      </c>
      <c r="K19" s="4"/>
      <c r="L19" s="19">
        <f t="shared" ref="L19:L29" si="10">+D19-H19</f>
        <v>3488.5600000000004</v>
      </c>
      <c r="M19" s="4"/>
      <c r="N19" s="31">
        <f t="shared" ref="N19:N29" si="11">IF(H19=0,0,L19/H19)</f>
        <v>5.5373968253968258</v>
      </c>
      <c r="O19" s="10"/>
      <c r="P19" s="19">
        <f>SUM(OSRRefP22x_0)</f>
        <v>4118.5600000000004</v>
      </c>
      <c r="Q19" s="19"/>
      <c r="R19" s="31">
        <f t="shared" ref="R19:R29" si="12">IF(P$12=0,0,P19/P$12)</f>
        <v>0</v>
      </c>
      <c r="S19" s="19"/>
      <c r="T19" s="19">
        <f>SUM(OSRRefT22x_0)</f>
        <v>630</v>
      </c>
      <c r="U19" s="19"/>
      <c r="V19" s="31">
        <f t="shared" ref="V19:V29" si="13">IF(T$12=0,0,T19/T$12)</f>
        <v>0</v>
      </c>
      <c r="W19" s="4"/>
      <c r="X19" s="19">
        <f t="shared" ref="X19:X29" si="14">+P19-T19</f>
        <v>3488.5600000000004</v>
      </c>
      <c r="Y19" s="4"/>
      <c r="Z19" s="31">
        <f t="shared" ref="Z19:Z29" si="15">IF(T19=0,0,X19/T19)</f>
        <v>5.5373968253968258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1493.43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1493.43</v>
      </c>
      <c r="M20" s="1"/>
      <c r="N20" s="5">
        <f t="shared" si="11"/>
        <v>0</v>
      </c>
      <c r="O20" s="14"/>
      <c r="P20" s="1">
        <f>SUM(OSRRefP22_0x_0)</f>
        <v>1493.43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1493.43</v>
      </c>
      <c r="Y20" s="1"/>
      <c r="Z20" s="5">
        <f t="shared" si="15"/>
        <v>0</v>
      </c>
    </row>
    <row r="21" spans="1:26" s="24" customFormat="1" hidden="1" outlineLevel="2" x14ac:dyDescent="0.25">
      <c r="A21" s="27"/>
      <c r="B21" s="12" t="str">
        <f>CONCATENATE("          ", "6111", " - ", "F.I.C.A.")</f>
        <v xml:space="preserve">          6111 - F.I.C.A.</v>
      </c>
      <c r="C21" s="12"/>
      <c r="D21" s="7">
        <v>191.51</v>
      </c>
      <c r="E21" s="3"/>
      <c r="F21" s="8">
        <f t="shared" si="8"/>
        <v>0</v>
      </c>
      <c r="G21" s="3"/>
      <c r="H21" s="7">
        <v>0</v>
      </c>
      <c r="I21" s="3"/>
      <c r="J21" s="8">
        <f t="shared" si="9"/>
        <v>0</v>
      </c>
      <c r="K21" s="3"/>
      <c r="L21" s="7">
        <f t="shared" si="10"/>
        <v>191.51</v>
      </c>
      <c r="M21" s="3"/>
      <c r="N21" s="8">
        <f t="shared" si="11"/>
        <v>0</v>
      </c>
      <c r="O21" s="12"/>
      <c r="P21" s="7">
        <v>191.51</v>
      </c>
      <c r="Q21" s="3"/>
      <c r="R21" s="8">
        <f t="shared" si="12"/>
        <v>0</v>
      </c>
      <c r="S21" s="3"/>
      <c r="T21" s="7">
        <v>0</v>
      </c>
      <c r="U21" s="3"/>
      <c r="V21" s="8">
        <f t="shared" si="13"/>
        <v>0</v>
      </c>
      <c r="W21" s="3"/>
      <c r="X21" s="7">
        <f t="shared" si="14"/>
        <v>191.51</v>
      </c>
      <c r="Y21" s="3"/>
      <c r="Z21" s="8">
        <f t="shared" si="15"/>
        <v>0</v>
      </c>
    </row>
    <row r="22" spans="1:26" s="24" customFormat="1" hidden="1" outlineLevel="2" x14ac:dyDescent="0.25">
      <c r="A22" s="27"/>
      <c r="B22" s="12" t="str">
        <f>CONCATENATE("          ", "6112", " - ", "COMPENSATION INSURANCE")</f>
        <v xml:space="preserve">          6112 - COMPENSATION INSURANCE</v>
      </c>
      <c r="C22" s="12"/>
      <c r="D22" s="7"/>
      <c r="E22" s="3"/>
      <c r="F22" s="8">
        <f t="shared" si="8"/>
        <v>0</v>
      </c>
      <c r="G22" s="3"/>
      <c r="H22" s="7">
        <v>0</v>
      </c>
      <c r="I22" s="3"/>
      <c r="J22" s="8">
        <f t="shared" si="9"/>
        <v>0</v>
      </c>
      <c r="K22" s="3"/>
      <c r="L22" s="7">
        <f t="shared" si="10"/>
        <v>0</v>
      </c>
      <c r="M22" s="3"/>
      <c r="N22" s="8">
        <f t="shared" si="11"/>
        <v>0</v>
      </c>
      <c r="O22" s="12"/>
      <c r="P22" s="7"/>
      <c r="Q22" s="3"/>
      <c r="R22" s="8">
        <f t="shared" si="12"/>
        <v>0</v>
      </c>
      <c r="S22" s="3"/>
      <c r="T22" s="7">
        <v>0</v>
      </c>
      <c r="U22" s="3"/>
      <c r="V22" s="8">
        <f t="shared" si="13"/>
        <v>0</v>
      </c>
      <c r="W22" s="3"/>
      <c r="X22" s="7">
        <f t="shared" si="14"/>
        <v>0</v>
      </c>
      <c r="Y22" s="3"/>
      <c r="Z22" s="8">
        <f t="shared" si="15"/>
        <v>0</v>
      </c>
    </row>
    <row r="23" spans="1:26" s="24" customFormat="1" hidden="1" outlineLevel="2" x14ac:dyDescent="0.25">
      <c r="A23" s="27"/>
      <c r="B23" s="12" t="str">
        <f>CONCATENATE("          ", "6113", " - ", "GROUP INSURANCE")</f>
        <v xml:space="preserve">          6113 - GROUP INSURANCE</v>
      </c>
      <c r="C23" s="12"/>
      <c r="D23" s="7">
        <v>718.51</v>
      </c>
      <c r="E23" s="3"/>
      <c r="F23" s="8">
        <f t="shared" si="8"/>
        <v>0</v>
      </c>
      <c r="G23" s="3"/>
      <c r="H23" s="7">
        <v>0</v>
      </c>
      <c r="I23" s="3"/>
      <c r="J23" s="8">
        <f t="shared" si="9"/>
        <v>0</v>
      </c>
      <c r="K23" s="3"/>
      <c r="L23" s="7">
        <f t="shared" si="10"/>
        <v>718.51</v>
      </c>
      <c r="M23" s="3"/>
      <c r="N23" s="8">
        <f t="shared" si="11"/>
        <v>0</v>
      </c>
      <c r="O23" s="12"/>
      <c r="P23" s="7">
        <v>718.51</v>
      </c>
      <c r="Q23" s="3"/>
      <c r="R23" s="8">
        <f t="shared" si="12"/>
        <v>0</v>
      </c>
      <c r="S23" s="3"/>
      <c r="T23" s="7">
        <v>0</v>
      </c>
      <c r="U23" s="3"/>
      <c r="V23" s="8">
        <f t="shared" si="13"/>
        <v>0</v>
      </c>
      <c r="W23" s="3"/>
      <c r="X23" s="7">
        <f t="shared" si="14"/>
        <v>718.51</v>
      </c>
      <c r="Y23" s="3"/>
      <c r="Z23" s="8">
        <f t="shared" si="15"/>
        <v>0</v>
      </c>
    </row>
    <row r="24" spans="1:26" s="24" customFormat="1" hidden="1" outlineLevel="2" x14ac:dyDescent="0.25">
      <c r="A24" s="27"/>
      <c r="B24" s="12" t="str">
        <f>CONCATENATE("          ", "6114", " - ", "STATE UNEMPLOYMENT INSURANCE")</f>
        <v xml:space="preserve">          6114 - STATE UNEMPLOYMENT INSURANCE</v>
      </c>
      <c r="C24" s="12"/>
      <c r="D24" s="7"/>
      <c r="E24" s="3"/>
      <c r="F24" s="8">
        <f t="shared" si="8"/>
        <v>0</v>
      </c>
      <c r="G24" s="3"/>
      <c r="H24" s="7">
        <v>0</v>
      </c>
      <c r="I24" s="3"/>
      <c r="J24" s="8">
        <f t="shared" si="9"/>
        <v>0</v>
      </c>
      <c r="K24" s="3"/>
      <c r="L24" s="7">
        <f t="shared" si="10"/>
        <v>0</v>
      </c>
      <c r="M24" s="3"/>
      <c r="N24" s="8">
        <f t="shared" si="11"/>
        <v>0</v>
      </c>
      <c r="O24" s="12"/>
      <c r="P24" s="7"/>
      <c r="Q24" s="3"/>
      <c r="R24" s="8">
        <f t="shared" si="12"/>
        <v>0</v>
      </c>
      <c r="S24" s="3"/>
      <c r="T24" s="7">
        <v>0</v>
      </c>
      <c r="U24" s="3"/>
      <c r="V24" s="8">
        <f t="shared" si="13"/>
        <v>0</v>
      </c>
      <c r="W24" s="3"/>
      <c r="X24" s="7">
        <f t="shared" si="14"/>
        <v>0</v>
      </c>
      <c r="Y24" s="3"/>
      <c r="Z24" s="8">
        <f t="shared" si="15"/>
        <v>0</v>
      </c>
    </row>
    <row r="25" spans="1:26" s="24" customFormat="1" hidden="1" outlineLevel="2" x14ac:dyDescent="0.25">
      <c r="A25" s="27"/>
      <c r="B25" s="12" t="str">
        <f>CONCATENATE("          ", "6115", " - ", "P.E.R.S.")</f>
        <v xml:space="preserve">          6115 - P.E.R.S.</v>
      </c>
      <c r="C25" s="12"/>
      <c r="D25" s="7">
        <v>377.03</v>
      </c>
      <c r="E25" s="3"/>
      <c r="F25" s="8">
        <f t="shared" si="8"/>
        <v>0</v>
      </c>
      <c r="G25" s="3"/>
      <c r="H25" s="7">
        <v>0</v>
      </c>
      <c r="I25" s="3"/>
      <c r="J25" s="8">
        <f t="shared" si="9"/>
        <v>0</v>
      </c>
      <c r="K25" s="3"/>
      <c r="L25" s="7">
        <f t="shared" si="10"/>
        <v>377.03</v>
      </c>
      <c r="M25" s="3"/>
      <c r="N25" s="8">
        <f t="shared" si="11"/>
        <v>0</v>
      </c>
      <c r="O25" s="12"/>
      <c r="P25" s="7">
        <v>377.03</v>
      </c>
      <c r="Q25" s="3"/>
      <c r="R25" s="8">
        <f t="shared" si="12"/>
        <v>0</v>
      </c>
      <c r="S25" s="3"/>
      <c r="T25" s="7">
        <v>0</v>
      </c>
      <c r="U25" s="3"/>
      <c r="V25" s="8">
        <f t="shared" si="13"/>
        <v>0</v>
      </c>
      <c r="W25" s="3"/>
      <c r="X25" s="7">
        <f t="shared" si="14"/>
        <v>377.03</v>
      </c>
      <c r="Y25" s="3"/>
      <c r="Z25" s="8">
        <f t="shared" si="15"/>
        <v>0</v>
      </c>
    </row>
    <row r="26" spans="1:26" s="24" customFormat="1" hidden="1" outlineLevel="2" x14ac:dyDescent="0.25">
      <c r="A26" s="27"/>
      <c r="B26" s="12" t="str">
        <f>CONCATENATE("          ", "6116", " - ", "EDUCATIONAL BENEFITS")</f>
        <v xml:space="preserve">          6116 - EDUCATIONAL BENEFITS</v>
      </c>
      <c r="C26" s="12"/>
      <c r="D26" s="7"/>
      <c r="E26" s="3"/>
      <c r="F26" s="8">
        <f t="shared" si="8"/>
        <v>0</v>
      </c>
      <c r="G26" s="3"/>
      <c r="H26" s="7">
        <v>0</v>
      </c>
      <c r="I26" s="3"/>
      <c r="J26" s="8">
        <f t="shared" si="9"/>
        <v>0</v>
      </c>
      <c r="K26" s="3"/>
      <c r="L26" s="7">
        <f t="shared" si="10"/>
        <v>0</v>
      </c>
      <c r="M26" s="3"/>
      <c r="N26" s="8">
        <f t="shared" si="11"/>
        <v>0</v>
      </c>
      <c r="O26" s="12"/>
      <c r="P26" s="7"/>
      <c r="Q26" s="3"/>
      <c r="R26" s="8">
        <f t="shared" si="12"/>
        <v>0</v>
      </c>
      <c r="S26" s="3"/>
      <c r="T26" s="7">
        <v>0</v>
      </c>
      <c r="U26" s="3"/>
      <c r="V26" s="8">
        <f t="shared" si="13"/>
        <v>0</v>
      </c>
      <c r="W26" s="3"/>
      <c r="X26" s="7">
        <f t="shared" si="14"/>
        <v>0</v>
      </c>
      <c r="Y26" s="3"/>
      <c r="Z26" s="8">
        <f t="shared" si="15"/>
        <v>0</v>
      </c>
    </row>
    <row r="27" spans="1:26" s="24" customFormat="1" hidden="1" outlineLevel="2" x14ac:dyDescent="0.25">
      <c r="A27" s="27"/>
      <c r="B27" s="12" t="str">
        <f>CONCATENATE("          ", "6118", " - ", "VACATION")</f>
        <v xml:space="preserve">          6118 - VACATION</v>
      </c>
      <c r="C27" s="12"/>
      <c r="D27" s="7">
        <v>93.89</v>
      </c>
      <c r="E27" s="3"/>
      <c r="F27" s="8">
        <f t="shared" si="8"/>
        <v>0</v>
      </c>
      <c r="G27" s="3"/>
      <c r="H27" s="7">
        <v>0</v>
      </c>
      <c r="I27" s="3"/>
      <c r="J27" s="8">
        <f t="shared" si="9"/>
        <v>0</v>
      </c>
      <c r="K27" s="3"/>
      <c r="L27" s="7">
        <f t="shared" si="10"/>
        <v>93.89</v>
      </c>
      <c r="M27" s="3"/>
      <c r="N27" s="8">
        <f t="shared" si="11"/>
        <v>0</v>
      </c>
      <c r="O27" s="12"/>
      <c r="P27" s="7">
        <v>93.89</v>
      </c>
      <c r="Q27" s="3"/>
      <c r="R27" s="8">
        <f t="shared" si="12"/>
        <v>0</v>
      </c>
      <c r="S27" s="3"/>
      <c r="T27" s="7">
        <v>0</v>
      </c>
      <c r="U27" s="3"/>
      <c r="V27" s="8">
        <f t="shared" si="13"/>
        <v>0</v>
      </c>
      <c r="W27" s="3"/>
      <c r="X27" s="7">
        <f t="shared" si="14"/>
        <v>93.89</v>
      </c>
      <c r="Y27" s="3"/>
      <c r="Z27" s="8">
        <f t="shared" si="15"/>
        <v>0</v>
      </c>
    </row>
    <row r="28" spans="1:26" s="24" customFormat="1" hidden="1" outlineLevel="2" x14ac:dyDescent="0.25">
      <c r="A28" s="27"/>
      <c r="B28" s="12" t="str">
        <f>CONCATENATE("          ", "6119", " - ", "SICK LEAVE")</f>
        <v xml:space="preserve">          6119 - SICK LEAVE</v>
      </c>
      <c r="C28" s="12"/>
      <c r="D28" s="7">
        <v>112.49</v>
      </c>
      <c r="E28" s="3"/>
      <c r="F28" s="8">
        <f t="shared" si="8"/>
        <v>0</v>
      </c>
      <c r="G28" s="3"/>
      <c r="H28" s="7">
        <v>0</v>
      </c>
      <c r="I28" s="3"/>
      <c r="J28" s="8">
        <f t="shared" si="9"/>
        <v>0</v>
      </c>
      <c r="K28" s="3"/>
      <c r="L28" s="7">
        <f t="shared" si="10"/>
        <v>112.49</v>
      </c>
      <c r="M28" s="3"/>
      <c r="N28" s="8">
        <f t="shared" si="11"/>
        <v>0</v>
      </c>
      <c r="O28" s="12"/>
      <c r="P28" s="7">
        <v>112.49</v>
      </c>
      <c r="Q28" s="3"/>
      <c r="R28" s="8">
        <f t="shared" si="12"/>
        <v>0</v>
      </c>
      <c r="S28" s="3"/>
      <c r="T28" s="7">
        <v>0</v>
      </c>
      <c r="U28" s="3"/>
      <c r="V28" s="8">
        <f t="shared" si="13"/>
        <v>0</v>
      </c>
      <c r="W28" s="3"/>
      <c r="X28" s="7">
        <f t="shared" si="14"/>
        <v>112.49</v>
      </c>
      <c r="Y28" s="3"/>
      <c r="Z28" s="8">
        <f t="shared" si="15"/>
        <v>0</v>
      </c>
    </row>
    <row r="29" spans="1:26" s="24" customFormat="1" hidden="1" outlineLevel="2" x14ac:dyDescent="0.25">
      <c r="A29" s="27"/>
      <c r="B29" s="12" t="str">
        <f>CONCATENATE("          ", "6156", " - ", "EMPLOYEE MEALS")</f>
        <v xml:space="preserve">          6156 - EMPLOYEE MEALS</v>
      </c>
      <c r="C29" s="12"/>
      <c r="D29" s="7"/>
      <c r="E29" s="3"/>
      <c r="F29" s="8">
        <f t="shared" si="8"/>
        <v>0</v>
      </c>
      <c r="G29" s="3"/>
      <c r="H29" s="7">
        <v>0</v>
      </c>
      <c r="I29" s="3"/>
      <c r="J29" s="8">
        <f t="shared" si="9"/>
        <v>0</v>
      </c>
      <c r="K29" s="3"/>
      <c r="L29" s="7">
        <f t="shared" si="10"/>
        <v>0</v>
      </c>
      <c r="M29" s="3"/>
      <c r="N29" s="8">
        <f t="shared" si="11"/>
        <v>0</v>
      </c>
      <c r="O29" s="12"/>
      <c r="P29" s="7"/>
      <c r="Q29" s="3"/>
      <c r="R29" s="8">
        <f t="shared" si="12"/>
        <v>0</v>
      </c>
      <c r="S29" s="3"/>
      <c r="T29" s="7">
        <v>0</v>
      </c>
      <c r="U29" s="3"/>
      <c r="V29" s="8">
        <f t="shared" si="13"/>
        <v>0</v>
      </c>
      <c r="W29" s="3"/>
      <c r="X29" s="7">
        <f t="shared" si="14"/>
        <v>0</v>
      </c>
      <c r="Y29" s="3"/>
      <c r="Z29" s="8">
        <f t="shared" si="15"/>
        <v>0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2259.48</v>
      </c>
      <c r="E30" s="1"/>
      <c r="F30" s="5">
        <f t="shared" ref="F30:F40" si="16">IF(D$12=0,0,D30/D$12)</f>
        <v>0</v>
      </c>
      <c r="G30" s="1"/>
      <c r="H30" s="1">
        <f>SUM(OSRRefH22_1x_0)</f>
        <v>0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2259.48</v>
      </c>
      <c r="M30" s="1"/>
      <c r="N30" s="5">
        <f t="shared" ref="N30:N40" si="19">IF(H30=0,0,L30/H30)</f>
        <v>0</v>
      </c>
      <c r="O30" s="14"/>
      <c r="P30" s="1">
        <f>SUM(OSRRefP22_1x_0)</f>
        <v>2259.48</v>
      </c>
      <c r="Q30" s="1"/>
      <c r="R30" s="5">
        <f t="shared" ref="R30:R40" si="20">IF(P$12=0,0,P30/P$12)</f>
        <v>0</v>
      </c>
      <c r="S30" s="1"/>
      <c r="T30" s="1">
        <f>SUM(OSRRefT22_1x_0)</f>
        <v>0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2259.48</v>
      </c>
      <c r="Y30" s="1"/>
      <c r="Z30" s="5">
        <f t="shared" ref="Z30:Z40" si="23">IF(T30=0,0,X30/T30)</f>
        <v>0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/>
      <c r="E31" s="3"/>
      <c r="F31" s="8">
        <f t="shared" si="16"/>
        <v>0</v>
      </c>
      <c r="G31" s="3"/>
      <c r="H31" s="7">
        <v>0</v>
      </c>
      <c r="I31" s="3"/>
      <c r="J31" s="8">
        <f t="shared" si="17"/>
        <v>0</v>
      </c>
      <c r="K31" s="3"/>
      <c r="L31" s="7">
        <f t="shared" si="18"/>
        <v>0</v>
      </c>
      <c r="M31" s="3"/>
      <c r="N31" s="8">
        <f t="shared" si="19"/>
        <v>0</v>
      </c>
      <c r="O31" s="12"/>
      <c r="P31" s="7"/>
      <c r="Q31" s="3"/>
      <c r="R31" s="8">
        <f t="shared" si="20"/>
        <v>0</v>
      </c>
      <c r="S31" s="3"/>
      <c r="T31" s="7">
        <v>0</v>
      </c>
      <c r="U31" s="3"/>
      <c r="V31" s="8">
        <f t="shared" si="21"/>
        <v>0</v>
      </c>
      <c r="W31" s="3"/>
      <c r="X31" s="7">
        <f t="shared" si="22"/>
        <v>0</v>
      </c>
      <c r="Y31" s="3"/>
      <c r="Z31" s="8">
        <f t="shared" si="23"/>
        <v>0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>
        <v>2259.48</v>
      </c>
      <c r="E32" s="3"/>
      <c r="F32" s="8">
        <f t="shared" si="16"/>
        <v>0</v>
      </c>
      <c r="G32" s="3"/>
      <c r="H32" s="7">
        <v>0</v>
      </c>
      <c r="I32" s="3"/>
      <c r="J32" s="8">
        <f t="shared" si="17"/>
        <v>0</v>
      </c>
      <c r="K32" s="3"/>
      <c r="L32" s="7">
        <f t="shared" si="18"/>
        <v>2259.48</v>
      </c>
      <c r="M32" s="3"/>
      <c r="N32" s="8">
        <f t="shared" si="19"/>
        <v>0</v>
      </c>
      <c r="O32" s="12"/>
      <c r="P32" s="7">
        <v>2259.48</v>
      </c>
      <c r="Q32" s="3"/>
      <c r="R32" s="8">
        <f t="shared" si="20"/>
        <v>0</v>
      </c>
      <c r="S32" s="3"/>
      <c r="T32" s="7">
        <v>0</v>
      </c>
      <c r="U32" s="3"/>
      <c r="V32" s="8">
        <f t="shared" si="21"/>
        <v>0</v>
      </c>
      <c r="W32" s="3"/>
      <c r="X32" s="7">
        <f t="shared" si="22"/>
        <v>2259.48</v>
      </c>
      <c r="Y32" s="3"/>
      <c r="Z32" s="8">
        <f t="shared" si="23"/>
        <v>0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16"/>
        <v>0</v>
      </c>
      <c r="G33" s="3"/>
      <c r="H33" s="7">
        <v>0</v>
      </c>
      <c r="I33" s="3"/>
      <c r="J33" s="8">
        <f t="shared" si="17"/>
        <v>0</v>
      </c>
      <c r="K33" s="3"/>
      <c r="L33" s="7">
        <f t="shared" si="18"/>
        <v>0</v>
      </c>
      <c r="M33" s="3"/>
      <c r="N33" s="8">
        <f t="shared" si="19"/>
        <v>0</v>
      </c>
      <c r="O33" s="12"/>
      <c r="P33" s="7"/>
      <c r="Q33" s="3"/>
      <c r="R33" s="8">
        <f t="shared" si="20"/>
        <v>0</v>
      </c>
      <c r="S33" s="3"/>
      <c r="T33" s="7">
        <v>0</v>
      </c>
      <c r="U33" s="3"/>
      <c r="V33" s="8">
        <f t="shared" si="21"/>
        <v>0</v>
      </c>
      <c r="W33" s="3"/>
      <c r="X33" s="7">
        <f t="shared" si="22"/>
        <v>0</v>
      </c>
      <c r="Y33" s="3"/>
      <c r="Z33" s="8">
        <f t="shared" si="23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/>
      <c r="E34" s="3"/>
      <c r="F34" s="8">
        <f t="shared" si="16"/>
        <v>0</v>
      </c>
      <c r="G34" s="3"/>
      <c r="H34" s="7">
        <v>0</v>
      </c>
      <c r="I34" s="3"/>
      <c r="J34" s="8">
        <f t="shared" si="17"/>
        <v>0</v>
      </c>
      <c r="K34" s="3"/>
      <c r="L34" s="7">
        <f t="shared" si="18"/>
        <v>0</v>
      </c>
      <c r="M34" s="3"/>
      <c r="N34" s="8">
        <f t="shared" si="19"/>
        <v>0</v>
      </c>
      <c r="O34" s="12"/>
      <c r="P34" s="7"/>
      <c r="Q34" s="3"/>
      <c r="R34" s="8">
        <f t="shared" si="20"/>
        <v>0</v>
      </c>
      <c r="S34" s="3"/>
      <c r="T34" s="7">
        <v>0</v>
      </c>
      <c r="U34" s="3"/>
      <c r="V34" s="8">
        <f t="shared" si="21"/>
        <v>0</v>
      </c>
      <c r="W34" s="3"/>
      <c r="X34" s="7">
        <f t="shared" si="22"/>
        <v>0</v>
      </c>
      <c r="Y34" s="3"/>
      <c r="Z34" s="8">
        <f t="shared" si="23"/>
        <v>0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16"/>
        <v>0</v>
      </c>
      <c r="G35" s="3"/>
      <c r="H35" s="7">
        <v>0</v>
      </c>
      <c r="I35" s="3"/>
      <c r="J35" s="8">
        <f t="shared" si="17"/>
        <v>0</v>
      </c>
      <c r="K35" s="3"/>
      <c r="L35" s="7">
        <f t="shared" si="18"/>
        <v>0</v>
      </c>
      <c r="M35" s="3"/>
      <c r="N35" s="8">
        <f t="shared" si="19"/>
        <v>0</v>
      </c>
      <c r="O35" s="12"/>
      <c r="P35" s="7"/>
      <c r="Q35" s="3"/>
      <c r="R35" s="8">
        <f t="shared" si="20"/>
        <v>0</v>
      </c>
      <c r="S35" s="3"/>
      <c r="T35" s="7">
        <v>0</v>
      </c>
      <c r="U35" s="3"/>
      <c r="V35" s="8">
        <f t="shared" si="21"/>
        <v>0</v>
      </c>
      <c r="W35" s="3"/>
      <c r="X35" s="7">
        <f t="shared" si="22"/>
        <v>0</v>
      </c>
      <c r="Y35" s="3"/>
      <c r="Z35" s="8">
        <f t="shared" si="23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16"/>
        <v>0</v>
      </c>
      <c r="G36" s="3"/>
      <c r="H36" s="7">
        <v>0</v>
      </c>
      <c r="I36" s="3"/>
      <c r="J36" s="8">
        <f t="shared" si="17"/>
        <v>0</v>
      </c>
      <c r="K36" s="3"/>
      <c r="L36" s="7">
        <f t="shared" si="18"/>
        <v>0</v>
      </c>
      <c r="M36" s="3"/>
      <c r="N36" s="8">
        <f t="shared" si="19"/>
        <v>0</v>
      </c>
      <c r="O36" s="12"/>
      <c r="P36" s="7"/>
      <c r="Q36" s="3"/>
      <c r="R36" s="8">
        <f t="shared" si="20"/>
        <v>0</v>
      </c>
      <c r="S36" s="3"/>
      <c r="T36" s="7">
        <v>0</v>
      </c>
      <c r="U36" s="3"/>
      <c r="V36" s="8">
        <f t="shared" si="21"/>
        <v>0</v>
      </c>
      <c r="W36" s="3"/>
      <c r="X36" s="7">
        <f t="shared" si="22"/>
        <v>0</v>
      </c>
      <c r="Y36" s="3"/>
      <c r="Z36" s="8">
        <f t="shared" si="23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/>
      <c r="E37" s="3"/>
      <c r="F37" s="8">
        <f t="shared" si="16"/>
        <v>0</v>
      </c>
      <c r="G37" s="3"/>
      <c r="H37" s="7">
        <v>0</v>
      </c>
      <c r="I37" s="3"/>
      <c r="J37" s="8">
        <f t="shared" si="17"/>
        <v>0</v>
      </c>
      <c r="K37" s="3"/>
      <c r="L37" s="7">
        <f t="shared" si="18"/>
        <v>0</v>
      </c>
      <c r="M37" s="3"/>
      <c r="N37" s="8">
        <f t="shared" si="19"/>
        <v>0</v>
      </c>
      <c r="O37" s="12"/>
      <c r="P37" s="7"/>
      <c r="Q37" s="3"/>
      <c r="R37" s="8">
        <f t="shared" si="20"/>
        <v>0</v>
      </c>
      <c r="S37" s="3"/>
      <c r="T37" s="7">
        <v>0</v>
      </c>
      <c r="U37" s="3"/>
      <c r="V37" s="8">
        <f t="shared" si="21"/>
        <v>0</v>
      </c>
      <c r="W37" s="3"/>
      <c r="X37" s="7">
        <f t="shared" si="22"/>
        <v>0</v>
      </c>
      <c r="Y37" s="3"/>
      <c r="Z37" s="8">
        <f t="shared" si="23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16"/>
        <v>0</v>
      </c>
      <c r="G38" s="3"/>
      <c r="H38" s="7">
        <v>0</v>
      </c>
      <c r="I38" s="3"/>
      <c r="J38" s="8">
        <f t="shared" si="17"/>
        <v>0</v>
      </c>
      <c r="K38" s="3"/>
      <c r="L38" s="7">
        <f t="shared" si="18"/>
        <v>0</v>
      </c>
      <c r="M38" s="3"/>
      <c r="N38" s="8">
        <f t="shared" si="19"/>
        <v>0</v>
      </c>
      <c r="O38" s="12"/>
      <c r="P38" s="7"/>
      <c r="Q38" s="3"/>
      <c r="R38" s="8">
        <f t="shared" si="20"/>
        <v>0</v>
      </c>
      <c r="S38" s="3"/>
      <c r="T38" s="7">
        <v>0</v>
      </c>
      <c r="U38" s="3"/>
      <c r="V38" s="8">
        <f t="shared" si="21"/>
        <v>0</v>
      </c>
      <c r="W38" s="3"/>
      <c r="X38" s="7">
        <f t="shared" si="22"/>
        <v>0</v>
      </c>
      <c r="Y38" s="3"/>
      <c r="Z38" s="8">
        <f t="shared" si="23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16"/>
        <v>0</v>
      </c>
      <c r="G39" s="3"/>
      <c r="H39" s="7">
        <v>0</v>
      </c>
      <c r="I39" s="3"/>
      <c r="J39" s="8">
        <f t="shared" si="17"/>
        <v>0</v>
      </c>
      <c r="K39" s="3"/>
      <c r="L39" s="7">
        <f t="shared" si="18"/>
        <v>0</v>
      </c>
      <c r="M39" s="3"/>
      <c r="N39" s="8">
        <f t="shared" si="19"/>
        <v>0</v>
      </c>
      <c r="O39" s="12"/>
      <c r="P39" s="7"/>
      <c r="Q39" s="3"/>
      <c r="R39" s="8">
        <f t="shared" si="20"/>
        <v>0</v>
      </c>
      <c r="S39" s="3"/>
      <c r="T39" s="7">
        <v>0</v>
      </c>
      <c r="U39" s="3"/>
      <c r="V39" s="8">
        <f t="shared" si="21"/>
        <v>0</v>
      </c>
      <c r="W39" s="3"/>
      <c r="X39" s="7">
        <f t="shared" si="22"/>
        <v>0</v>
      </c>
      <c r="Y39" s="3"/>
      <c r="Z39" s="8">
        <f t="shared" si="23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16"/>
        <v>0</v>
      </c>
      <c r="G40" s="3"/>
      <c r="H40" s="7">
        <v>0</v>
      </c>
      <c r="I40" s="3"/>
      <c r="J40" s="8">
        <f t="shared" si="17"/>
        <v>0</v>
      </c>
      <c r="K40" s="3"/>
      <c r="L40" s="7">
        <f t="shared" si="18"/>
        <v>0</v>
      </c>
      <c r="M40" s="3"/>
      <c r="N40" s="8">
        <f t="shared" si="19"/>
        <v>0</v>
      </c>
      <c r="O40" s="12"/>
      <c r="P40" s="7"/>
      <c r="Q40" s="3"/>
      <c r="R40" s="8">
        <f t="shared" si="20"/>
        <v>0</v>
      </c>
      <c r="S40" s="3"/>
      <c r="T40" s="7">
        <v>0</v>
      </c>
      <c r="U40" s="3"/>
      <c r="V40" s="8">
        <f t="shared" si="21"/>
        <v>0</v>
      </c>
      <c r="W40" s="3"/>
      <c r="X40" s="7">
        <f t="shared" si="22"/>
        <v>0</v>
      </c>
      <c r="Y40" s="3"/>
      <c r="Z40" s="8">
        <f t="shared" si="23"/>
        <v>0</v>
      </c>
    </row>
    <row r="41" spans="1:26" s="29" customFormat="1" outlineLevel="1" collapsed="1" x14ac:dyDescent="0.25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SUM(OSRRefD22_2x_0)</f>
        <v>0</v>
      </c>
      <c r="E41" s="1"/>
      <c r="F41" s="5">
        <f t="shared" ref="F41:F49" si="24">IF(D$12=0,0,D41/D$12)</f>
        <v>0</v>
      </c>
      <c r="G41" s="1"/>
      <c r="H41" s="1">
        <f>SUM(OSRRefH22_2x_0)</f>
        <v>0</v>
      </c>
      <c r="I41" s="1"/>
      <c r="J41" s="5">
        <f t="shared" ref="J41:J49" si="25">IF(H$12=0,0,H41/H$12)</f>
        <v>0</v>
      </c>
      <c r="K41" s="1"/>
      <c r="L41" s="1">
        <f t="shared" ref="L41:L49" si="26">+D41-H41</f>
        <v>0</v>
      </c>
      <c r="M41" s="1"/>
      <c r="N41" s="5">
        <f t="shared" ref="N41:N49" si="27">IF(H41=0,0,L41/H41)</f>
        <v>0</v>
      </c>
      <c r="O41" s="14"/>
      <c r="P41" s="1">
        <f>SUM(OSRRefP22_2x_0)</f>
        <v>0</v>
      </c>
      <c r="Q41" s="1"/>
      <c r="R41" s="5">
        <f t="shared" ref="R41:R49" si="28">IF(P$12=0,0,P41/P$12)</f>
        <v>0</v>
      </c>
      <c r="S41" s="1"/>
      <c r="T41" s="1">
        <f>SUM(OSRRefT22_2x_0)</f>
        <v>0</v>
      </c>
      <c r="U41" s="1"/>
      <c r="V41" s="5">
        <f t="shared" ref="V41:V49" si="29">IF(T$12=0,0,T41/T$12)</f>
        <v>0</v>
      </c>
      <c r="W41" s="1"/>
      <c r="X41" s="1">
        <f t="shared" ref="X41:X49" si="30">+P41-T41</f>
        <v>0</v>
      </c>
      <c r="Y41" s="1"/>
      <c r="Z41" s="5">
        <f t="shared" ref="Z41:Z49" si="31">IF(T41=0,0,X41/T41)</f>
        <v>0</v>
      </c>
    </row>
    <row r="42" spans="1:26" s="24" customFormat="1" hidden="1" outlineLevel="2" x14ac:dyDescent="0.25">
      <c r="A42" s="27"/>
      <c r="B42" s="12" t="str">
        <f>CONCATENATE("          ", "6381", " - ", "BANK/CREDIT CARD FEES")</f>
        <v xml:space="preserve">          6381 - BANK/CREDIT CARD FEES</v>
      </c>
      <c r="C42" s="12"/>
      <c r="D42" s="7"/>
      <c r="E42" s="3"/>
      <c r="F42" s="8">
        <f t="shared" si="24"/>
        <v>0</v>
      </c>
      <c r="G42" s="3"/>
      <c r="H42" s="7">
        <v>0</v>
      </c>
      <c r="I42" s="3"/>
      <c r="J42" s="8">
        <f t="shared" si="25"/>
        <v>0</v>
      </c>
      <c r="K42" s="3"/>
      <c r="L42" s="7">
        <f t="shared" si="26"/>
        <v>0</v>
      </c>
      <c r="M42" s="3"/>
      <c r="N42" s="8">
        <f t="shared" si="27"/>
        <v>0</v>
      </c>
      <c r="O42" s="12"/>
      <c r="P42" s="7"/>
      <c r="Q42" s="3"/>
      <c r="R42" s="8">
        <f t="shared" si="28"/>
        <v>0</v>
      </c>
      <c r="S42" s="3"/>
      <c r="T42" s="7">
        <v>0</v>
      </c>
      <c r="U42" s="3"/>
      <c r="V42" s="8">
        <f t="shared" si="29"/>
        <v>0</v>
      </c>
      <c r="W42" s="3"/>
      <c r="X42" s="7">
        <f t="shared" si="30"/>
        <v>0</v>
      </c>
      <c r="Y42" s="3"/>
      <c r="Z42" s="8">
        <f t="shared" si="31"/>
        <v>0</v>
      </c>
    </row>
    <row r="43" spans="1:26" s="29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58.03</v>
      </c>
      <c r="E43" s="1"/>
      <c r="F43" s="5">
        <f t="shared" si="24"/>
        <v>0</v>
      </c>
      <c r="G43" s="1"/>
      <c r="H43" s="1">
        <f>SUM(OSRRefH22_3x_0)</f>
        <v>630</v>
      </c>
      <c r="I43" s="1"/>
      <c r="J43" s="5">
        <f t="shared" si="25"/>
        <v>0</v>
      </c>
      <c r="K43" s="1"/>
      <c r="L43" s="1">
        <f t="shared" si="26"/>
        <v>-571.97</v>
      </c>
      <c r="M43" s="1"/>
      <c r="N43" s="5">
        <f t="shared" si="27"/>
        <v>-0.90788888888888897</v>
      </c>
      <c r="O43" s="14"/>
      <c r="P43" s="1">
        <f>SUM(OSRRefP22_3x_0)</f>
        <v>58.03</v>
      </c>
      <c r="Q43" s="1"/>
      <c r="R43" s="5">
        <f t="shared" si="28"/>
        <v>0</v>
      </c>
      <c r="S43" s="1"/>
      <c r="T43" s="1">
        <f>SUM(OSRRefT22_3x_0)</f>
        <v>630</v>
      </c>
      <c r="U43" s="1"/>
      <c r="V43" s="5">
        <f t="shared" si="29"/>
        <v>0</v>
      </c>
      <c r="W43" s="1"/>
      <c r="X43" s="1">
        <f t="shared" si="30"/>
        <v>-571.97</v>
      </c>
      <c r="Y43" s="1"/>
      <c r="Z43" s="5">
        <f t="shared" si="31"/>
        <v>-0.90788888888888897</v>
      </c>
    </row>
    <row r="44" spans="1:26" s="24" customFormat="1" hidden="1" outlineLevel="2" x14ac:dyDescent="0.25">
      <c r="A44" s="27"/>
      <c r="B44" s="12" t="str">
        <f>CONCATENATE("          ", "6322", " - ", "EQUIPMENT DEPRECIATION EXPENSE")</f>
        <v xml:space="preserve">          6322 - EQUIPMENT DEPRECIATION EXPENSE</v>
      </c>
      <c r="C44" s="12"/>
      <c r="D44" s="7">
        <v>58.03</v>
      </c>
      <c r="E44" s="3"/>
      <c r="F44" s="8">
        <f t="shared" si="24"/>
        <v>0</v>
      </c>
      <c r="G44" s="3"/>
      <c r="H44" s="7">
        <v>630</v>
      </c>
      <c r="I44" s="3"/>
      <c r="J44" s="8">
        <f t="shared" si="25"/>
        <v>0</v>
      </c>
      <c r="K44" s="3"/>
      <c r="L44" s="7">
        <f t="shared" si="26"/>
        <v>-571.97</v>
      </c>
      <c r="M44" s="3"/>
      <c r="N44" s="8">
        <f t="shared" si="27"/>
        <v>-0.90788888888888897</v>
      </c>
      <c r="O44" s="12"/>
      <c r="P44" s="7">
        <v>58.03</v>
      </c>
      <c r="Q44" s="3"/>
      <c r="R44" s="8">
        <f t="shared" si="28"/>
        <v>0</v>
      </c>
      <c r="S44" s="3"/>
      <c r="T44" s="7">
        <v>630</v>
      </c>
      <c r="U44" s="3"/>
      <c r="V44" s="8">
        <f t="shared" si="29"/>
        <v>0</v>
      </c>
      <c r="W44" s="3"/>
      <c r="X44" s="7">
        <f t="shared" si="30"/>
        <v>-571.97</v>
      </c>
      <c r="Y44" s="3"/>
      <c r="Z44" s="8">
        <f t="shared" si="31"/>
        <v>-0.90788888888888897</v>
      </c>
    </row>
    <row r="45" spans="1:26" s="29" customFormat="1" outlineLevel="1" collapsed="1" x14ac:dyDescent="0.25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SUM(OSRRefD22_4x_0)</f>
        <v>0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4"/>
      <c r="P45" s="1">
        <f>SUM(OSRRefP22_4x_0)</f>
        <v>0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0</v>
      </c>
      <c r="Y45" s="1"/>
      <c r="Z45" s="5">
        <f t="shared" si="31"/>
        <v>0</v>
      </c>
    </row>
    <row r="46" spans="1:26" s="24" customFormat="1" hidden="1" outlineLevel="2" x14ac:dyDescent="0.25">
      <c r="A46" s="27"/>
      <c r="B46" s="12" t="str">
        <f>CONCATENATE("          ", "6279", " - ", "GENERAL EXPENSE")</f>
        <v xml:space="preserve">          6279 - GENERAL EXPENSE</v>
      </c>
      <c r="C46" s="12"/>
      <c r="D46" s="7"/>
      <c r="E46" s="3"/>
      <c r="F46" s="8">
        <f t="shared" si="24"/>
        <v>0</v>
      </c>
      <c r="G46" s="3"/>
      <c r="H46" s="7">
        <v>0</v>
      </c>
      <c r="I46" s="3"/>
      <c r="J46" s="8">
        <f t="shared" si="25"/>
        <v>0</v>
      </c>
      <c r="K46" s="3"/>
      <c r="L46" s="7">
        <f t="shared" si="26"/>
        <v>0</v>
      </c>
      <c r="M46" s="3"/>
      <c r="N46" s="8">
        <f t="shared" si="27"/>
        <v>0</v>
      </c>
      <c r="O46" s="12"/>
      <c r="P46" s="7"/>
      <c r="Q46" s="3"/>
      <c r="R46" s="8">
        <f t="shared" si="28"/>
        <v>0</v>
      </c>
      <c r="S46" s="3"/>
      <c r="T46" s="7">
        <v>0</v>
      </c>
      <c r="U46" s="3"/>
      <c r="V46" s="8">
        <f t="shared" si="29"/>
        <v>0</v>
      </c>
      <c r="W46" s="3"/>
      <c r="X46" s="7">
        <f t="shared" si="30"/>
        <v>0</v>
      </c>
      <c r="Y46" s="3"/>
      <c r="Z46" s="8">
        <f t="shared" si="31"/>
        <v>0</v>
      </c>
    </row>
    <row r="47" spans="1:26" s="29" customFormat="1" outlineLevel="1" collapsed="1" x14ac:dyDescent="0.25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0</v>
      </c>
      <c r="E47" s="1"/>
      <c r="F47" s="5">
        <f t="shared" si="24"/>
        <v>0</v>
      </c>
      <c r="G47" s="1"/>
      <c r="H47" s="1">
        <f>SUM(OSRRefH22_5x_0)</f>
        <v>0</v>
      </c>
      <c r="I47" s="1"/>
      <c r="J47" s="5">
        <f t="shared" si="25"/>
        <v>0</v>
      </c>
      <c r="K47" s="1"/>
      <c r="L47" s="1">
        <f t="shared" si="26"/>
        <v>0</v>
      </c>
      <c r="M47" s="1"/>
      <c r="N47" s="5">
        <f t="shared" si="27"/>
        <v>0</v>
      </c>
      <c r="O47" s="14"/>
      <c r="P47" s="1">
        <f>SUM(OSRRefP22_5x_0)</f>
        <v>0</v>
      </c>
      <c r="Q47" s="1"/>
      <c r="R47" s="5">
        <f t="shared" si="28"/>
        <v>0</v>
      </c>
      <c r="S47" s="1"/>
      <c r="T47" s="1">
        <f>SUM(OSRRefT22_5x_0)</f>
        <v>0</v>
      </c>
      <c r="U47" s="1"/>
      <c r="V47" s="5">
        <f t="shared" si="29"/>
        <v>0</v>
      </c>
      <c r="W47" s="1"/>
      <c r="X47" s="1">
        <f t="shared" si="30"/>
        <v>0</v>
      </c>
      <c r="Y47" s="1"/>
      <c r="Z47" s="5">
        <f t="shared" si="31"/>
        <v>0</v>
      </c>
    </row>
    <row r="48" spans="1:26" s="24" customFormat="1" hidden="1" outlineLevel="2" x14ac:dyDescent="0.25">
      <c r="A48" s="27"/>
      <c r="B48" s="12" t="str">
        <f>CONCATENATE("          ", "6373", " - ", "MAINTENANCE CONTRACTS")</f>
        <v xml:space="preserve">          6373 - MAINTENANCE CONTRACTS</v>
      </c>
      <c r="C48" s="12"/>
      <c r="D48" s="7"/>
      <c r="E48" s="3"/>
      <c r="F48" s="8">
        <f t="shared" si="24"/>
        <v>0</v>
      </c>
      <c r="G48" s="3"/>
      <c r="H48" s="7">
        <v>0</v>
      </c>
      <c r="I48" s="3"/>
      <c r="J48" s="8">
        <f t="shared" si="25"/>
        <v>0</v>
      </c>
      <c r="K48" s="3"/>
      <c r="L48" s="7">
        <f t="shared" si="26"/>
        <v>0</v>
      </c>
      <c r="M48" s="3"/>
      <c r="N48" s="8">
        <f t="shared" si="27"/>
        <v>0</v>
      </c>
      <c r="O48" s="12"/>
      <c r="P48" s="7"/>
      <c r="Q48" s="3"/>
      <c r="R48" s="8">
        <f t="shared" si="28"/>
        <v>0</v>
      </c>
      <c r="S48" s="3"/>
      <c r="T48" s="7">
        <v>0</v>
      </c>
      <c r="U48" s="3"/>
      <c r="V48" s="8">
        <f t="shared" si="29"/>
        <v>0</v>
      </c>
      <c r="W48" s="3"/>
      <c r="X48" s="7">
        <f t="shared" si="30"/>
        <v>0</v>
      </c>
      <c r="Y48" s="3"/>
      <c r="Z48" s="8">
        <f t="shared" si="31"/>
        <v>0</v>
      </c>
    </row>
    <row r="49" spans="1:26" s="24" customFormat="1" hidden="1" outlineLevel="2" x14ac:dyDescent="0.25">
      <c r="A49" s="27"/>
      <c r="B49" s="12" t="str">
        <f>CONCATENATE("          ", "6375", " - ", "OUTSIDE REPAIRS &amp; MAINTENANCE")</f>
        <v xml:space="preserve">          6375 - OUTSIDE REPAIRS &amp; MAINTENANCE</v>
      </c>
      <c r="C49" s="12"/>
      <c r="D49" s="7"/>
      <c r="E49" s="3"/>
      <c r="F49" s="8">
        <f t="shared" si="24"/>
        <v>0</v>
      </c>
      <c r="G49" s="3"/>
      <c r="H49" s="7">
        <v>0</v>
      </c>
      <c r="I49" s="3"/>
      <c r="J49" s="8">
        <f t="shared" si="25"/>
        <v>0</v>
      </c>
      <c r="K49" s="3"/>
      <c r="L49" s="7">
        <f t="shared" si="26"/>
        <v>0</v>
      </c>
      <c r="M49" s="3"/>
      <c r="N49" s="8">
        <f t="shared" si="27"/>
        <v>0</v>
      </c>
      <c r="O49" s="12"/>
      <c r="P49" s="7"/>
      <c r="Q49" s="3"/>
      <c r="R49" s="8">
        <f t="shared" si="28"/>
        <v>0</v>
      </c>
      <c r="S49" s="3"/>
      <c r="T49" s="7">
        <v>0</v>
      </c>
      <c r="U49" s="3"/>
      <c r="V49" s="8">
        <f t="shared" si="29"/>
        <v>0</v>
      </c>
      <c r="W49" s="3"/>
      <c r="X49" s="7">
        <f t="shared" si="30"/>
        <v>0</v>
      </c>
      <c r="Y49" s="3"/>
      <c r="Z49" s="8">
        <f t="shared" si="31"/>
        <v>0</v>
      </c>
    </row>
    <row r="50" spans="1:26" s="29" customFormat="1" outlineLevel="1" collapsed="1" x14ac:dyDescent="0.25">
      <c r="A50" s="28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SUM(OSRRefD22_6x_0)</f>
        <v>286.62</v>
      </c>
      <c r="E50" s="1"/>
      <c r="F50" s="5">
        <f t="shared" ref="F50:F54" si="32">IF(D$12=0,0,D50/D$12)</f>
        <v>0</v>
      </c>
      <c r="G50" s="1"/>
      <c r="H50" s="1">
        <f>SUM(OSRRefH22_6x_0)</f>
        <v>0</v>
      </c>
      <c r="I50" s="1"/>
      <c r="J50" s="5">
        <f t="shared" ref="J50:J54" si="33">IF(H$12=0,0,H50/H$12)</f>
        <v>0</v>
      </c>
      <c r="K50" s="1"/>
      <c r="L50" s="1">
        <f t="shared" ref="L50:L54" si="34">+D50-H50</f>
        <v>286.62</v>
      </c>
      <c r="M50" s="1"/>
      <c r="N50" s="5">
        <f t="shared" ref="N50:N54" si="35">IF(H50=0,0,L50/H50)</f>
        <v>0</v>
      </c>
      <c r="O50" s="14"/>
      <c r="P50" s="1">
        <f>SUM(OSRRefP22_6x_0)</f>
        <v>286.62</v>
      </c>
      <c r="Q50" s="1"/>
      <c r="R50" s="5">
        <f t="shared" ref="R50:R54" si="36">IF(P$12=0,0,P50/P$12)</f>
        <v>0</v>
      </c>
      <c r="S50" s="1"/>
      <c r="T50" s="1">
        <f>SUM(OSRRefT22_6x_0)</f>
        <v>0</v>
      </c>
      <c r="U50" s="1"/>
      <c r="V50" s="5">
        <f t="shared" ref="V50:V54" si="37">IF(T$12=0,0,T50/T$12)</f>
        <v>0</v>
      </c>
      <c r="W50" s="1"/>
      <c r="X50" s="1">
        <f t="shared" ref="X50:X54" si="38">+P50-T50</f>
        <v>286.62</v>
      </c>
      <c r="Y50" s="1"/>
      <c r="Z50" s="5">
        <f t="shared" ref="Z50:Z54" si="39">IF(T50=0,0,X50/T50)</f>
        <v>0</v>
      </c>
    </row>
    <row r="51" spans="1:26" s="24" customFormat="1" hidden="1" outlineLevel="2" x14ac:dyDescent="0.25">
      <c r="A51" s="27"/>
      <c r="B51" s="12" t="str">
        <f>CONCATENATE("          ", "6282", " - ", "JANITORIAL/EXTERMINATOR EXPENS")</f>
        <v xml:space="preserve">          6282 - JANITORIAL/EXTERMINATOR EXPENS</v>
      </c>
      <c r="C51" s="12"/>
      <c r="D51" s="7">
        <v>286.62</v>
      </c>
      <c r="E51" s="3"/>
      <c r="F51" s="8">
        <f t="shared" si="32"/>
        <v>0</v>
      </c>
      <c r="G51" s="3"/>
      <c r="H51" s="7"/>
      <c r="I51" s="3"/>
      <c r="J51" s="8">
        <f t="shared" si="33"/>
        <v>0</v>
      </c>
      <c r="K51" s="3"/>
      <c r="L51" s="7">
        <f t="shared" si="34"/>
        <v>286.62</v>
      </c>
      <c r="M51" s="3"/>
      <c r="N51" s="8">
        <f t="shared" si="35"/>
        <v>0</v>
      </c>
      <c r="O51" s="12"/>
      <c r="P51" s="7">
        <v>286.62</v>
      </c>
      <c r="Q51" s="3"/>
      <c r="R51" s="8">
        <f t="shared" si="36"/>
        <v>0</v>
      </c>
      <c r="S51" s="3"/>
      <c r="T51" s="7"/>
      <c r="U51" s="3"/>
      <c r="V51" s="8">
        <f t="shared" si="37"/>
        <v>0</v>
      </c>
      <c r="W51" s="3"/>
      <c r="X51" s="7">
        <f t="shared" si="38"/>
        <v>286.62</v>
      </c>
      <c r="Y51" s="3"/>
      <c r="Z51" s="8">
        <f t="shared" si="39"/>
        <v>0</v>
      </c>
    </row>
    <row r="52" spans="1:26" s="29" customFormat="1" outlineLevel="1" collapsed="1" x14ac:dyDescent="0.25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SUM(OSRRefD22_7x_0)</f>
        <v>0</v>
      </c>
      <c r="E52" s="1"/>
      <c r="F52" s="5">
        <f t="shared" si="32"/>
        <v>0</v>
      </c>
      <c r="G52" s="1"/>
      <c r="H52" s="1">
        <f>SUM(OSRRefH22_7x_0)</f>
        <v>0</v>
      </c>
      <c r="I52" s="1"/>
      <c r="J52" s="5">
        <f t="shared" si="33"/>
        <v>0</v>
      </c>
      <c r="K52" s="1"/>
      <c r="L52" s="1">
        <f t="shared" si="34"/>
        <v>0</v>
      </c>
      <c r="M52" s="1"/>
      <c r="N52" s="5">
        <f t="shared" si="35"/>
        <v>0</v>
      </c>
      <c r="O52" s="14"/>
      <c r="P52" s="1">
        <f>SUM(OSRRefP22_7x_0)</f>
        <v>0</v>
      </c>
      <c r="Q52" s="1"/>
      <c r="R52" s="5">
        <f t="shared" si="36"/>
        <v>0</v>
      </c>
      <c r="S52" s="1"/>
      <c r="T52" s="1">
        <f>SUM(OSRRefT22_7x_0)</f>
        <v>0</v>
      </c>
      <c r="U52" s="1"/>
      <c r="V52" s="5">
        <f t="shared" si="37"/>
        <v>0</v>
      </c>
      <c r="W52" s="1"/>
      <c r="X52" s="1">
        <f t="shared" si="38"/>
        <v>0</v>
      </c>
      <c r="Y52" s="1"/>
      <c r="Z52" s="5">
        <f t="shared" si="39"/>
        <v>0</v>
      </c>
    </row>
    <row r="53" spans="1:26" s="24" customFormat="1" hidden="1" outlineLevel="2" x14ac:dyDescent="0.25">
      <c r="A53" s="27"/>
      <c r="B53" s="12" t="str">
        <f>CONCATENATE("          ", "6235", " - ", "COVID-19 EXPENSES")</f>
        <v xml:space="preserve">          6235 - COVID-19 EXPENSES</v>
      </c>
      <c r="C53" s="12"/>
      <c r="D53" s="7"/>
      <c r="E53" s="3"/>
      <c r="F53" s="8">
        <f t="shared" si="32"/>
        <v>0</v>
      </c>
      <c r="G53" s="3"/>
      <c r="H53" s="7">
        <v>0</v>
      </c>
      <c r="I53" s="3"/>
      <c r="J53" s="8">
        <f t="shared" si="33"/>
        <v>0</v>
      </c>
      <c r="K53" s="3"/>
      <c r="L53" s="7">
        <f t="shared" si="34"/>
        <v>0</v>
      </c>
      <c r="M53" s="3"/>
      <c r="N53" s="8">
        <f t="shared" si="35"/>
        <v>0</v>
      </c>
      <c r="O53" s="12"/>
      <c r="P53" s="7"/>
      <c r="Q53" s="3"/>
      <c r="R53" s="8">
        <f t="shared" si="36"/>
        <v>0</v>
      </c>
      <c r="S53" s="3"/>
      <c r="T53" s="7">
        <v>0</v>
      </c>
      <c r="U53" s="3"/>
      <c r="V53" s="8">
        <f t="shared" si="37"/>
        <v>0</v>
      </c>
      <c r="W53" s="3"/>
      <c r="X53" s="7">
        <f t="shared" si="38"/>
        <v>0</v>
      </c>
      <c r="Y53" s="3"/>
      <c r="Z53" s="8">
        <f t="shared" si="39"/>
        <v>0</v>
      </c>
    </row>
    <row r="54" spans="1:26" s="24" customFormat="1" hidden="1" outlineLevel="2" x14ac:dyDescent="0.25">
      <c r="A54" s="27"/>
      <c r="B54" s="12" t="str">
        <f>CONCATENATE("          ", "6248", " - ", "UNIFORMS")</f>
        <v xml:space="preserve">          6248 - UNIFORMS</v>
      </c>
      <c r="C54" s="12"/>
      <c r="D54" s="7"/>
      <c r="E54" s="3"/>
      <c r="F54" s="8">
        <f t="shared" si="32"/>
        <v>0</v>
      </c>
      <c r="G54" s="3"/>
      <c r="H54" s="7">
        <v>0</v>
      </c>
      <c r="I54" s="3"/>
      <c r="J54" s="8">
        <f t="shared" si="33"/>
        <v>0</v>
      </c>
      <c r="K54" s="3"/>
      <c r="L54" s="7">
        <f t="shared" si="34"/>
        <v>0</v>
      </c>
      <c r="M54" s="3"/>
      <c r="N54" s="8">
        <f t="shared" si="35"/>
        <v>0</v>
      </c>
      <c r="O54" s="12"/>
      <c r="P54" s="7"/>
      <c r="Q54" s="3"/>
      <c r="R54" s="8">
        <f t="shared" si="36"/>
        <v>0</v>
      </c>
      <c r="S54" s="3"/>
      <c r="T54" s="7">
        <v>0</v>
      </c>
      <c r="U54" s="3"/>
      <c r="V54" s="8">
        <f t="shared" si="37"/>
        <v>0</v>
      </c>
      <c r="W54" s="3"/>
      <c r="X54" s="7">
        <f t="shared" si="38"/>
        <v>0</v>
      </c>
      <c r="Y54" s="3"/>
      <c r="Z54" s="8">
        <f t="shared" si="39"/>
        <v>0</v>
      </c>
    </row>
    <row r="55" spans="1:26" s="29" customFormat="1" outlineLevel="1" collapsed="1" x14ac:dyDescent="0.25">
      <c r="A55" s="28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SUM(OSRRefD22_8x_0)</f>
        <v>21</v>
      </c>
      <c r="E55" s="1"/>
      <c r="F55" s="5">
        <f t="shared" ref="F55:F57" si="40">IF(D$12=0,0,D55/D$12)</f>
        <v>0</v>
      </c>
      <c r="G55" s="1"/>
      <c r="H55" s="1">
        <f>SUM(OSRRefH22_8x_0)</f>
        <v>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21</v>
      </c>
      <c r="M55" s="1"/>
      <c r="N55" s="5">
        <f t="shared" ref="N55:N57" si="43">IF(H55=0,0,L55/H55)</f>
        <v>0</v>
      </c>
      <c r="O55" s="14"/>
      <c r="P55" s="1">
        <f>SUM(OSRRefP22_8x_0)</f>
        <v>21</v>
      </c>
      <c r="Q55" s="1"/>
      <c r="R55" s="5">
        <f t="shared" ref="R55:R57" si="44">IF(P$12=0,0,P55/P$12)</f>
        <v>0</v>
      </c>
      <c r="S55" s="1"/>
      <c r="T55" s="1">
        <f>SUM(OSRRefT22_8x_0)</f>
        <v>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21</v>
      </c>
      <c r="Y55" s="1"/>
      <c r="Z55" s="5">
        <f t="shared" ref="Z55:Z57" si="47">IF(T55=0,0,X55/T55)</f>
        <v>0</v>
      </c>
    </row>
    <row r="56" spans="1:26" s="24" customFormat="1" hidden="1" outlineLevel="2" x14ac:dyDescent="0.25">
      <c r="A56" s="27"/>
      <c r="B56" s="12" t="str">
        <f>CONCATENATE("          ", "6303", " - ", "DATA PHONE LINES")</f>
        <v xml:space="preserve">          6303 - DATA PHONE LINES</v>
      </c>
      <c r="C56" s="12"/>
      <c r="D56" s="7"/>
      <c r="E56" s="3"/>
      <c r="F56" s="8">
        <f t="shared" si="40"/>
        <v>0</v>
      </c>
      <c r="G56" s="3"/>
      <c r="H56" s="7">
        <v>0</v>
      </c>
      <c r="I56" s="3"/>
      <c r="J56" s="8">
        <f t="shared" si="41"/>
        <v>0</v>
      </c>
      <c r="K56" s="3"/>
      <c r="L56" s="7">
        <f t="shared" si="42"/>
        <v>0</v>
      </c>
      <c r="M56" s="3"/>
      <c r="N56" s="8">
        <f t="shared" si="43"/>
        <v>0</v>
      </c>
      <c r="O56" s="12"/>
      <c r="P56" s="7"/>
      <c r="Q56" s="3"/>
      <c r="R56" s="8">
        <f t="shared" si="44"/>
        <v>0</v>
      </c>
      <c r="S56" s="3"/>
      <c r="T56" s="7">
        <v>0</v>
      </c>
      <c r="U56" s="3"/>
      <c r="V56" s="8">
        <f t="shared" si="45"/>
        <v>0</v>
      </c>
      <c r="W56" s="3"/>
      <c r="X56" s="7">
        <f t="shared" si="46"/>
        <v>0</v>
      </c>
      <c r="Y56" s="3"/>
      <c r="Z56" s="8">
        <f t="shared" si="47"/>
        <v>0</v>
      </c>
    </row>
    <row r="57" spans="1:26" s="24" customFormat="1" hidden="1" outlineLevel="2" x14ac:dyDescent="0.25">
      <c r="A57" s="27"/>
      <c r="B57" s="12" t="str">
        <f>CONCATENATE("          ", "6309", " - ", "TELEPHONE")</f>
        <v xml:space="preserve">          6309 - TELEPHONE</v>
      </c>
      <c r="C57" s="12"/>
      <c r="D57" s="7">
        <v>21</v>
      </c>
      <c r="E57" s="3"/>
      <c r="F57" s="8">
        <f t="shared" si="40"/>
        <v>0</v>
      </c>
      <c r="G57" s="3"/>
      <c r="H57" s="7">
        <v>0</v>
      </c>
      <c r="I57" s="3"/>
      <c r="J57" s="8">
        <f t="shared" si="41"/>
        <v>0</v>
      </c>
      <c r="K57" s="3"/>
      <c r="L57" s="7">
        <f t="shared" si="42"/>
        <v>21</v>
      </c>
      <c r="M57" s="3"/>
      <c r="N57" s="8">
        <f t="shared" si="43"/>
        <v>0</v>
      </c>
      <c r="O57" s="12"/>
      <c r="P57" s="7">
        <v>21</v>
      </c>
      <c r="Q57" s="3"/>
      <c r="R57" s="8">
        <f t="shared" si="44"/>
        <v>0</v>
      </c>
      <c r="S57" s="3"/>
      <c r="T57" s="7">
        <v>0</v>
      </c>
      <c r="U57" s="3"/>
      <c r="V57" s="8">
        <f t="shared" si="45"/>
        <v>0</v>
      </c>
      <c r="W57" s="3"/>
      <c r="X57" s="7">
        <f t="shared" si="46"/>
        <v>21</v>
      </c>
      <c r="Y57" s="3"/>
      <c r="Z57" s="8">
        <f t="shared" si="47"/>
        <v>0</v>
      </c>
    </row>
    <row r="58" spans="1:26" s="54" customFormat="1" x14ac:dyDescent="0.25">
      <c r="A58" s="36"/>
      <c r="B58" s="36"/>
      <c r="C58" s="36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2" customFormat="1" x14ac:dyDescent="0.25">
      <c r="A59" s="10"/>
      <c r="B59" s="26" t="s">
        <v>0</v>
      </c>
      <c r="C59" s="10"/>
      <c r="D59" s="4">
        <f>SUM(0)</f>
        <v>0</v>
      </c>
      <c r="E59" s="4"/>
      <c r="F59" s="11">
        <f>IF(D$12=0,0,D59/D$12)</f>
        <v>0</v>
      </c>
      <c r="G59" s="4"/>
      <c r="H59" s="4">
        <f>SUM(0)</f>
        <v>0</v>
      </c>
      <c r="I59" s="4"/>
      <c r="J59" s="11">
        <f>IF(H$12=0,0,H59/H$12)</f>
        <v>0</v>
      </c>
      <c r="K59" s="4"/>
      <c r="L59" s="4">
        <f>+D59-H59</f>
        <v>0</v>
      </c>
      <c r="M59" s="4"/>
      <c r="N59" s="11">
        <f>IF(H59=0,0,L59/H59)</f>
        <v>0</v>
      </c>
      <c r="O59" s="10"/>
      <c r="P59" s="4">
        <f>SUM(0)</f>
        <v>0</v>
      </c>
      <c r="Q59" s="4"/>
      <c r="R59" s="11">
        <f>IF(P$12=0,0,P59/P$12)</f>
        <v>0</v>
      </c>
      <c r="S59" s="4"/>
      <c r="T59" s="4">
        <f>SUM(0)</f>
        <v>0</v>
      </c>
      <c r="U59" s="4"/>
      <c r="V59" s="11">
        <f>IF(T$12=0,0,T59/T$12)</f>
        <v>0</v>
      </c>
      <c r="W59" s="4"/>
      <c r="X59" s="4">
        <f>+P59-T59</f>
        <v>0</v>
      </c>
      <c r="Y59" s="4"/>
      <c r="Z59" s="11">
        <f>IF(T59=0,0,X59/T59)</f>
        <v>0</v>
      </c>
    </row>
    <row r="60" spans="1:26" x14ac:dyDescent="0.25">
      <c r="A60" s="9"/>
      <c r="B60" s="10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10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2" customFormat="1" x14ac:dyDescent="0.25">
      <c r="A61" s="10"/>
      <c r="B61" s="25" t="s">
        <v>3</v>
      </c>
      <c r="C61" s="25"/>
      <c r="D61" s="21">
        <f>+D17-D19+D59</f>
        <v>-4118.5600000000004</v>
      </c>
      <c r="E61" s="13"/>
      <c r="F61" s="20">
        <f>IF(D$12=0,0,D61/D$12)</f>
        <v>0</v>
      </c>
      <c r="G61" s="13"/>
      <c r="H61" s="21">
        <f>+H17-H19+H59</f>
        <v>-630</v>
      </c>
      <c r="I61" s="13"/>
      <c r="J61" s="20">
        <f>IF(H$12=0,0,H61/H$12)</f>
        <v>0</v>
      </c>
      <c r="K61" s="15"/>
      <c r="L61" s="21">
        <f>+D61-H61</f>
        <v>-3488.5600000000004</v>
      </c>
      <c r="M61" s="15"/>
      <c r="N61" s="20">
        <f>IF(H61=0,0,L61/H61)</f>
        <v>5.5373968253968258</v>
      </c>
      <c r="O61" s="26"/>
      <c r="P61" s="21">
        <f>+P17-P19+P59</f>
        <v>-4118.5600000000004</v>
      </c>
      <c r="Q61" s="13"/>
      <c r="R61" s="20">
        <f>IF(P$12=0,0,P61/P$12)</f>
        <v>0</v>
      </c>
      <c r="S61" s="13"/>
      <c r="T61" s="21">
        <f>+T17-T19+T59</f>
        <v>-630</v>
      </c>
      <c r="U61" s="13"/>
      <c r="V61" s="20">
        <f>IF(T$12=0,0,T61/T$12)</f>
        <v>0</v>
      </c>
      <c r="W61" s="15"/>
      <c r="X61" s="21">
        <f>+P61-T61</f>
        <v>-3488.5600000000004</v>
      </c>
      <c r="Y61" s="15"/>
      <c r="Z61" s="20">
        <f>IF(T61=0,0,X61/T61)</f>
        <v>5.5373968253968258</v>
      </c>
    </row>
    <row r="62" spans="1:26" x14ac:dyDescent="0.25">
      <c r="A62" s="9"/>
      <c r="B62" s="10"/>
      <c r="C62" s="9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2" customFormat="1" x14ac:dyDescent="0.25">
      <c r="A63" s="52"/>
      <c r="B63" s="10" t="s">
        <v>14</v>
      </c>
      <c r="C63" s="10"/>
      <c r="D63" s="4"/>
      <c r="E63" s="4"/>
      <c r="F63" s="11">
        <f>IF(D$12=0,0,D63/D$12)</f>
        <v>0</v>
      </c>
      <c r="G63" s="4"/>
      <c r="H63" s="4"/>
      <c r="I63" s="4"/>
      <c r="J63" s="11">
        <f>IF(H$12=0,0,H63/H$12)</f>
        <v>0</v>
      </c>
      <c r="K63" s="4"/>
      <c r="L63" s="4">
        <f>+D63-H63</f>
        <v>0</v>
      </c>
      <c r="M63" s="4"/>
      <c r="N63" s="11">
        <f>IF(H63=0,0,L63/H63)</f>
        <v>0</v>
      </c>
      <c r="O63" s="10"/>
      <c r="P63" s="4"/>
      <c r="Q63" s="4"/>
      <c r="R63" s="11">
        <f>IF(P$12=0,0,P63/P$12)</f>
        <v>0</v>
      </c>
      <c r="S63" s="4"/>
      <c r="T63" s="4"/>
      <c r="U63" s="4"/>
      <c r="V63" s="11">
        <f>IF(T$12=0,0,T63/T$12)</f>
        <v>0</v>
      </c>
      <c r="W63" s="4"/>
      <c r="X63" s="4">
        <f>+P63-T63</f>
        <v>0</v>
      </c>
      <c r="Y63" s="4"/>
      <c r="Z63" s="11">
        <f>IF(T63=0,0,X63/T63)</f>
        <v>0</v>
      </c>
    </row>
    <row r="64" spans="1:26" x14ac:dyDescent="0.25">
      <c r="A64" s="9"/>
      <c r="B64" s="10"/>
      <c r="C64" s="10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10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2" customFormat="1" ht="15.75" thickBot="1" x14ac:dyDescent="0.3">
      <c r="A65" s="10"/>
      <c r="B65" s="25" t="s">
        <v>4</v>
      </c>
      <c r="C65" s="25"/>
      <c r="D65" s="34">
        <f>+D61-D63</f>
        <v>-4118.5600000000004</v>
      </c>
      <c r="E65" s="13"/>
      <c r="F65" s="30">
        <f>IF(D$12=0,0,D65/D$12)</f>
        <v>0</v>
      </c>
      <c r="G65" s="13"/>
      <c r="H65" s="34">
        <f>+H61-H63</f>
        <v>-630</v>
      </c>
      <c r="I65" s="13"/>
      <c r="J65" s="30">
        <f>IF(H$12=0,0,H65/H$12)</f>
        <v>0</v>
      </c>
      <c r="K65" s="15"/>
      <c r="L65" s="34">
        <f>D65-H65</f>
        <v>-3488.5600000000004</v>
      </c>
      <c r="M65" s="15"/>
      <c r="N65" s="30">
        <f>IF(H65=0,0,L65/H65)</f>
        <v>5.5373968253968258</v>
      </c>
      <c r="O65" s="26"/>
      <c r="P65" s="34">
        <f>+P61-P63</f>
        <v>-4118.5600000000004</v>
      </c>
      <c r="Q65" s="13"/>
      <c r="R65" s="30">
        <f>IF(P$12=0,0,P65/P$12)</f>
        <v>0</v>
      </c>
      <c r="S65" s="13"/>
      <c r="T65" s="34">
        <f>+T61-T63</f>
        <v>-630</v>
      </c>
      <c r="U65" s="13"/>
      <c r="V65" s="30">
        <f>IF(T$12=0,0,T65/T$12)</f>
        <v>0</v>
      </c>
      <c r="W65" s="15"/>
      <c r="X65" s="34">
        <f>P65-T65</f>
        <v>-3488.5600000000004</v>
      </c>
      <c r="Y65" s="15"/>
      <c r="Z65" s="30">
        <f>IF(T65=0,0,X65/T65)</f>
        <v>5.5373968253968258</v>
      </c>
    </row>
    <row r="66" spans="1:26" ht="15.75" thickTop="1" x14ac:dyDescent="0.25">
      <c r="A66" s="9"/>
      <c r="B66" s="9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x14ac:dyDescent="0.25">
      <c r="A67" s="9"/>
      <c r="B67" s="9"/>
      <c r="C67" s="9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2" customFormat="1" ht="15.75" thickBot="1" x14ac:dyDescent="0.3">
      <c r="A68" s="10"/>
      <c r="B68" s="25" t="s">
        <v>5</v>
      </c>
      <c r="C68" s="25"/>
      <c r="D68" s="32">
        <f>SUM(D65:D67)</f>
        <v>-4118.5600000000004</v>
      </c>
      <c r="E68" s="13"/>
      <c r="F68" s="33">
        <f>IF(D$12=0,0,D68/D$12)</f>
        <v>0</v>
      </c>
      <c r="G68" s="13"/>
      <c r="H68" s="32">
        <f>SUM(H65:H67)</f>
        <v>-630</v>
      </c>
      <c r="I68" s="13"/>
      <c r="J68" s="33">
        <f>IF(H$12=0,0,H68/H$12)</f>
        <v>0</v>
      </c>
      <c r="K68" s="15"/>
      <c r="L68" s="32">
        <f>+D68-H68</f>
        <v>-3488.5600000000004</v>
      </c>
      <c r="M68" s="15"/>
      <c r="N68" s="33">
        <f>IF(H68=0,0,L68/H68)</f>
        <v>5.5373968253968258</v>
      </c>
      <c r="O68" s="26"/>
      <c r="P68" s="32">
        <f>SUM(P65:P67)</f>
        <v>-4118.5600000000004</v>
      </c>
      <c r="Q68" s="13"/>
      <c r="R68" s="33">
        <f>IF(P$12=0,0,P68/P$12)</f>
        <v>0</v>
      </c>
      <c r="S68" s="13"/>
      <c r="T68" s="32">
        <f>SUM(T65:T67)</f>
        <v>-630</v>
      </c>
      <c r="U68" s="13"/>
      <c r="V68" s="33">
        <f>IF(T$12=0,0,T68/T$12)</f>
        <v>0</v>
      </c>
      <c r="W68" s="15"/>
      <c r="X68" s="32">
        <f>+P68-T68</f>
        <v>-3488.5600000000004</v>
      </c>
      <c r="Y68" s="15"/>
      <c r="Z68" s="33">
        <f>IF(T68=0,0,X68/T68)</f>
        <v>5.5373968253968258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8">
        <v>44104.686319872686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6" t="s">
        <v>314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2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","414", " - ", "Starbucks UDP")</f>
        <v>Department 414 - Starbucks UDP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974.91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5" si="0">+D12-H12</f>
        <v>974.91</v>
      </c>
      <c r="M12" s="4"/>
      <c r="N12" s="11">
        <f t="shared" ref="N12:N15" si="1">IF(H12=0,0,L12/H12)</f>
        <v>0</v>
      </c>
      <c r="O12" s="10"/>
      <c r="P12" s="4">
        <f>SUM(OSRRefP13x_0)</f>
        <v>974.91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5" si="2">+P12-T12</f>
        <v>974.91</v>
      </c>
      <c r="Y12" s="4"/>
      <c r="Z12" s="11">
        <f t="shared" ref="Z12:Z15" si="3">IF(T12=0,0,X12/T12)</f>
        <v>0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s="24" customFormat="1" hidden="1" outlineLevel="1" x14ac:dyDescent="0.25">
      <c r="A14" s="51"/>
      <c r="B14" s="12" t="str">
        <f>CONCATENATE("          ", "4058", " - ", "TAXABLE SALES-FOOD")</f>
        <v xml:space="preserve">          4058 - TAXABLE SALES-FOOD</v>
      </c>
      <c r="C14" s="12"/>
      <c r="D14" s="3">
        <f>--974.91</f>
        <v>974.91</v>
      </c>
      <c r="E14" s="3"/>
      <c r="F14" s="23"/>
      <c r="G14" s="3"/>
      <c r="H14" s="3"/>
      <c r="I14" s="3"/>
      <c r="J14" s="23"/>
      <c r="K14" s="3"/>
      <c r="L14" s="3">
        <f t="shared" si="0"/>
        <v>974.91</v>
      </c>
      <c r="M14" s="3"/>
      <c r="N14" s="23">
        <f t="shared" si="1"/>
        <v>0</v>
      </c>
      <c r="O14" s="12"/>
      <c r="P14" s="3">
        <f>--974.91</f>
        <v>974.91</v>
      </c>
      <c r="Q14" s="3"/>
      <c r="R14" s="23"/>
      <c r="S14" s="3"/>
      <c r="T14" s="3"/>
      <c r="U14" s="3"/>
      <c r="V14" s="23"/>
      <c r="W14" s="3"/>
      <c r="X14" s="3">
        <f t="shared" si="2"/>
        <v>974.91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"4100", " - ", "NON-TAXABLE SALES")</f>
        <v xml:space="preserve">          4100 - NON-TAXABLE SALES</v>
      </c>
      <c r="C15" s="12"/>
      <c r="D15" s="3">
        <f>0</f>
        <v>0</v>
      </c>
      <c r="E15" s="3"/>
      <c r="F15" s="23"/>
      <c r="G15" s="3"/>
      <c r="H15" s="3">
        <v>0</v>
      </c>
      <c r="I15" s="3"/>
      <c r="J15" s="23"/>
      <c r="K15" s="3"/>
      <c r="L15" s="3">
        <f t="shared" si="0"/>
        <v>0</v>
      </c>
      <c r="M15" s="3"/>
      <c r="N15" s="23">
        <f t="shared" si="1"/>
        <v>0</v>
      </c>
      <c r="O15" s="12"/>
      <c r="P15" s="3">
        <f>0</f>
        <v>0</v>
      </c>
      <c r="Q15" s="3"/>
      <c r="R15" s="23"/>
      <c r="S15" s="3"/>
      <c r="T15" s="3">
        <v>0</v>
      </c>
      <c r="U15" s="3"/>
      <c r="V15" s="23"/>
      <c r="W15" s="3"/>
      <c r="X15" s="3">
        <f t="shared" si="2"/>
        <v>0</v>
      </c>
      <c r="Y15" s="3"/>
      <c r="Z15" s="23">
        <f t="shared" si="3"/>
        <v>0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1">
        <f t="shared" ref="F17:F18" si="4">IF(D$12=0,0,D17/D$12)</f>
        <v>0</v>
      </c>
      <c r="G17" s="4"/>
      <c r="H17" s="4">
        <f>SUM(OSRRefH16x_0)</f>
        <v>0</v>
      </c>
      <c r="I17" s="4"/>
      <c r="J17" s="11">
        <f t="shared" ref="J17:J18" si="5">IF(H$12=0,0,H17/H$12)</f>
        <v>0</v>
      </c>
      <c r="K17" s="4"/>
      <c r="L17" s="4">
        <f t="shared" ref="L17:L18" si="6">+D17-H17</f>
        <v>0</v>
      </c>
      <c r="M17" s="4"/>
      <c r="N17" s="11">
        <f t="shared" ref="N17:N18" si="7">IF(H17=0,0,L17/H17)</f>
        <v>0</v>
      </c>
      <c r="O17" s="10"/>
      <c r="P17" s="4">
        <f>SUM(OSRRefP16x_0)</f>
        <v>0</v>
      </c>
      <c r="Q17" s="4"/>
      <c r="R17" s="11">
        <f t="shared" ref="R17:R18" si="8">IF(P$12=0,0,P17/P$12)</f>
        <v>0</v>
      </c>
      <c r="S17" s="4"/>
      <c r="T17" s="4">
        <f>SUM(OSRRefT16x_0)</f>
        <v>0</v>
      </c>
      <c r="U17" s="4"/>
      <c r="V17" s="11">
        <f t="shared" ref="V17:V18" si="9">IF(T$12=0,0,T17/T$12)</f>
        <v>0</v>
      </c>
      <c r="W17" s="4"/>
      <c r="X17" s="4">
        <f t="shared" ref="X17:X18" si="10">+P17-T17</f>
        <v>0</v>
      </c>
      <c r="Y17" s="4"/>
      <c r="Z17" s="11">
        <f t="shared" ref="Z17:Z18" si="11">IF(T17=0,0,X17/T17)</f>
        <v>0</v>
      </c>
    </row>
    <row r="18" spans="1:26" s="24" customFormat="1" hidden="1" outlineLevel="1" x14ac:dyDescent="0.25">
      <c r="A18" s="51"/>
      <c r="B18" s="12" t="str">
        <f>CONCATENATE("          ", "5000", " - ", "PURCHASES @ COST")</f>
        <v xml:space="preserve">          5000 - PURCHASES @ COST</v>
      </c>
      <c r="C18" s="12"/>
      <c r="D18" s="3"/>
      <c r="E18" s="3"/>
      <c r="F18" s="23">
        <f t="shared" si="4"/>
        <v>0</v>
      </c>
      <c r="G18" s="3"/>
      <c r="H18" s="3">
        <v>0</v>
      </c>
      <c r="I18" s="3"/>
      <c r="J18" s="23">
        <f t="shared" si="5"/>
        <v>0</v>
      </c>
      <c r="K18" s="3"/>
      <c r="L18" s="3">
        <f t="shared" si="6"/>
        <v>0</v>
      </c>
      <c r="M18" s="3"/>
      <c r="N18" s="23">
        <f t="shared" si="7"/>
        <v>0</v>
      </c>
      <c r="O18" s="12"/>
      <c r="P18" s="3"/>
      <c r="Q18" s="3"/>
      <c r="R18" s="23">
        <f t="shared" si="8"/>
        <v>0</v>
      </c>
      <c r="S18" s="3"/>
      <c r="T18" s="3">
        <v>0</v>
      </c>
      <c r="U18" s="3"/>
      <c r="V18" s="23">
        <f t="shared" si="9"/>
        <v>0</v>
      </c>
      <c r="W18" s="3"/>
      <c r="X18" s="3">
        <f t="shared" si="10"/>
        <v>0</v>
      </c>
      <c r="Y18" s="3"/>
      <c r="Z18" s="23">
        <f t="shared" si="11"/>
        <v>0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2" customFormat="1" x14ac:dyDescent="0.25">
      <c r="A20" s="10"/>
      <c r="B20" s="25" t="s">
        <v>6</v>
      </c>
      <c r="C20" s="25"/>
      <c r="D20" s="21">
        <f>D12-D17</f>
        <v>974.91</v>
      </c>
      <c r="E20" s="13"/>
      <c r="F20" s="20">
        <f>IF(D$12=0,0,D20/D$12)</f>
        <v>1</v>
      </c>
      <c r="G20" s="13"/>
      <c r="H20" s="21">
        <f>H12-H17</f>
        <v>0</v>
      </c>
      <c r="I20" s="13"/>
      <c r="J20" s="20">
        <f>IF(H$12=0,0,H20/H$12)</f>
        <v>0</v>
      </c>
      <c r="K20" s="15"/>
      <c r="L20" s="21">
        <f>+D20-H20</f>
        <v>974.91</v>
      </c>
      <c r="M20" s="15"/>
      <c r="N20" s="20">
        <f>IF(H20=0,0,L20/H20)</f>
        <v>0</v>
      </c>
      <c r="O20" s="26"/>
      <c r="P20" s="21">
        <f>P12-P17</f>
        <v>974.91</v>
      </c>
      <c r="Q20" s="13"/>
      <c r="R20" s="20">
        <f>IF(P$12=0,0,P20/P$12)</f>
        <v>1</v>
      </c>
      <c r="S20" s="13"/>
      <c r="T20" s="21">
        <f>T12-T17</f>
        <v>0</v>
      </c>
      <c r="U20" s="13"/>
      <c r="V20" s="20">
        <f>IF(T$12=0,0,T20/T$12)</f>
        <v>0</v>
      </c>
      <c r="W20" s="15"/>
      <c r="X20" s="21">
        <f>+P20-T20</f>
        <v>974.91</v>
      </c>
      <c r="Y20" s="15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2" customFormat="1" x14ac:dyDescent="0.25">
      <c r="A22" s="10"/>
      <c r="B22" s="26" t="s">
        <v>9</v>
      </c>
      <c r="C22" s="10"/>
      <c r="D22" s="19">
        <f>SUM(OSRRefD22x_0)</f>
        <v>2674.56</v>
      </c>
      <c r="E22" s="19"/>
      <c r="F22" s="31">
        <f t="shared" ref="F22:F32" si="12">IF(D$12=0,0,D22/D$12)</f>
        <v>2.7433916976951718</v>
      </c>
      <c r="G22" s="19"/>
      <c r="H22" s="19">
        <f>SUM(OSRRefH22x_0)</f>
        <v>1972</v>
      </c>
      <c r="I22" s="19"/>
      <c r="J22" s="31">
        <f t="shared" ref="J22:J32" si="13">IF(H$12=0,0,H22/H$12)</f>
        <v>0</v>
      </c>
      <c r="K22" s="4"/>
      <c r="L22" s="19">
        <f t="shared" ref="L22:L32" si="14">+D22-H22</f>
        <v>702.56</v>
      </c>
      <c r="M22" s="4"/>
      <c r="N22" s="31">
        <f t="shared" ref="N22:N32" si="15">IF(H22=0,0,L22/H22)</f>
        <v>0.3562677484787018</v>
      </c>
      <c r="O22" s="10"/>
      <c r="P22" s="19">
        <f>SUM(OSRRefP22x_0)</f>
        <v>2674.56</v>
      </c>
      <c r="Q22" s="19"/>
      <c r="R22" s="31">
        <f t="shared" ref="R22:R32" si="16">IF(P$12=0,0,P22/P$12)</f>
        <v>2.7433916976951718</v>
      </c>
      <c r="S22" s="19"/>
      <c r="T22" s="19">
        <f>SUM(OSRRefT22x_0)</f>
        <v>1972</v>
      </c>
      <c r="U22" s="19"/>
      <c r="V22" s="31">
        <f t="shared" ref="V22:V32" si="17">IF(T$12=0,0,T22/T$12)</f>
        <v>0</v>
      </c>
      <c r="W22" s="4"/>
      <c r="X22" s="19">
        <f t="shared" ref="X22:X32" si="18">+P22-T22</f>
        <v>702.56</v>
      </c>
      <c r="Y22" s="4"/>
      <c r="Z22" s="31">
        <f t="shared" ref="Z22:Z32" si="19">IF(T22=0,0,X22/T22)</f>
        <v>0.3562677484787018</v>
      </c>
    </row>
    <row r="23" spans="1:26" s="29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702.51</v>
      </c>
      <c r="E23" s="1"/>
      <c r="F23" s="5">
        <f t="shared" si="12"/>
        <v>0.72058959288549718</v>
      </c>
      <c r="G23" s="1"/>
      <c r="H23" s="1">
        <f>SUM(OSRRefH22_0x_0)</f>
        <v>0</v>
      </c>
      <c r="I23" s="1"/>
      <c r="J23" s="5">
        <f t="shared" si="13"/>
        <v>0</v>
      </c>
      <c r="K23" s="1"/>
      <c r="L23" s="1">
        <f t="shared" si="14"/>
        <v>702.51</v>
      </c>
      <c r="M23" s="1"/>
      <c r="N23" s="5">
        <f t="shared" si="15"/>
        <v>0</v>
      </c>
      <c r="O23" s="14"/>
      <c r="P23" s="1">
        <f>SUM(OSRRefP22_0x_0)</f>
        <v>702.51</v>
      </c>
      <c r="Q23" s="1"/>
      <c r="R23" s="5">
        <f t="shared" si="16"/>
        <v>0.72058959288549718</v>
      </c>
      <c r="S23" s="1"/>
      <c r="T23" s="1">
        <f>SUM(OSRRefT22_0x_0)</f>
        <v>0</v>
      </c>
      <c r="U23" s="1"/>
      <c r="V23" s="5">
        <f t="shared" si="17"/>
        <v>0</v>
      </c>
      <c r="W23" s="1"/>
      <c r="X23" s="1">
        <f t="shared" si="18"/>
        <v>702.51</v>
      </c>
      <c r="Y23" s="1"/>
      <c r="Z23" s="5">
        <f t="shared" si="19"/>
        <v>0</v>
      </c>
    </row>
    <row r="24" spans="1:26" s="24" customFormat="1" hidden="1" outlineLevel="2" x14ac:dyDescent="0.25">
      <c r="A24" s="27"/>
      <c r="B24" s="12" t="str">
        <f>CONCATENATE("          ", "6111", " - ", "F.I.C.A.")</f>
        <v xml:space="preserve">          6111 - F.I.C.A.</v>
      </c>
      <c r="C24" s="12"/>
      <c r="D24" s="7"/>
      <c r="E24" s="3"/>
      <c r="F24" s="8">
        <f t="shared" si="12"/>
        <v>0</v>
      </c>
      <c r="G24" s="3"/>
      <c r="H24" s="7">
        <v>0</v>
      </c>
      <c r="I24" s="3"/>
      <c r="J24" s="8">
        <f t="shared" si="13"/>
        <v>0</v>
      </c>
      <c r="K24" s="3"/>
      <c r="L24" s="7">
        <f t="shared" si="14"/>
        <v>0</v>
      </c>
      <c r="M24" s="3"/>
      <c r="N24" s="8">
        <f t="shared" si="15"/>
        <v>0</v>
      </c>
      <c r="O24" s="12"/>
      <c r="P24" s="7"/>
      <c r="Q24" s="3"/>
      <c r="R24" s="8">
        <f t="shared" si="16"/>
        <v>0</v>
      </c>
      <c r="S24" s="3"/>
      <c r="T24" s="7">
        <v>0</v>
      </c>
      <c r="U24" s="3"/>
      <c r="V24" s="8">
        <f t="shared" si="17"/>
        <v>0</v>
      </c>
      <c r="W24" s="3"/>
      <c r="X24" s="7">
        <f t="shared" si="18"/>
        <v>0</v>
      </c>
      <c r="Y24" s="3"/>
      <c r="Z24" s="8">
        <f t="shared" si="19"/>
        <v>0</v>
      </c>
    </row>
    <row r="25" spans="1:26" s="24" customFormat="1" hidden="1" outlineLevel="2" x14ac:dyDescent="0.25">
      <c r="A25" s="27"/>
      <c r="B25" s="12" t="str">
        <f>CONCATENATE("          ", "6112", " - ", "COMPENSATION INSURANCE")</f>
        <v xml:space="preserve">          6112 - COMPENSATION INSURANCE</v>
      </c>
      <c r="C25" s="12"/>
      <c r="D25" s="7"/>
      <c r="E25" s="3"/>
      <c r="F25" s="8">
        <f t="shared" si="12"/>
        <v>0</v>
      </c>
      <c r="G25" s="3"/>
      <c r="H25" s="7">
        <v>0</v>
      </c>
      <c r="I25" s="3"/>
      <c r="J25" s="8">
        <f t="shared" si="13"/>
        <v>0</v>
      </c>
      <c r="K25" s="3"/>
      <c r="L25" s="7">
        <f t="shared" si="14"/>
        <v>0</v>
      </c>
      <c r="M25" s="3"/>
      <c r="N25" s="8">
        <f t="shared" si="15"/>
        <v>0</v>
      </c>
      <c r="O25" s="12"/>
      <c r="P25" s="7"/>
      <c r="Q25" s="3"/>
      <c r="R25" s="8">
        <f t="shared" si="16"/>
        <v>0</v>
      </c>
      <c r="S25" s="3"/>
      <c r="T25" s="7">
        <v>0</v>
      </c>
      <c r="U25" s="3"/>
      <c r="V25" s="8">
        <f t="shared" si="17"/>
        <v>0</v>
      </c>
      <c r="W25" s="3"/>
      <c r="X25" s="7">
        <f t="shared" si="18"/>
        <v>0</v>
      </c>
      <c r="Y25" s="3"/>
      <c r="Z25" s="8">
        <f t="shared" si="19"/>
        <v>0</v>
      </c>
    </row>
    <row r="26" spans="1:26" s="24" customFormat="1" hidden="1" outlineLevel="2" x14ac:dyDescent="0.25">
      <c r="A26" s="27"/>
      <c r="B26" s="12" t="str">
        <f>CONCATENATE("          ", "6113", " - ", "GROUP INSURANCE")</f>
        <v xml:space="preserve">          6113 - GROUP INSURANCE</v>
      </c>
      <c r="C26" s="12"/>
      <c r="D26" s="7">
        <v>702.51</v>
      </c>
      <c r="E26" s="3"/>
      <c r="F26" s="8">
        <f t="shared" si="12"/>
        <v>0.72058959288549718</v>
      </c>
      <c r="G26" s="3"/>
      <c r="H26" s="7">
        <v>0</v>
      </c>
      <c r="I26" s="3"/>
      <c r="J26" s="8">
        <f t="shared" si="13"/>
        <v>0</v>
      </c>
      <c r="K26" s="3"/>
      <c r="L26" s="7">
        <f t="shared" si="14"/>
        <v>702.51</v>
      </c>
      <c r="M26" s="3"/>
      <c r="N26" s="8">
        <f t="shared" si="15"/>
        <v>0</v>
      </c>
      <c r="O26" s="12"/>
      <c r="P26" s="7">
        <v>702.51</v>
      </c>
      <c r="Q26" s="3"/>
      <c r="R26" s="8">
        <f t="shared" si="16"/>
        <v>0.72058959288549718</v>
      </c>
      <c r="S26" s="3"/>
      <c r="T26" s="7">
        <v>0</v>
      </c>
      <c r="U26" s="3"/>
      <c r="V26" s="8">
        <f t="shared" si="17"/>
        <v>0</v>
      </c>
      <c r="W26" s="3"/>
      <c r="X26" s="7">
        <f t="shared" si="18"/>
        <v>702.51</v>
      </c>
      <c r="Y26" s="3"/>
      <c r="Z26" s="8">
        <f t="shared" si="19"/>
        <v>0</v>
      </c>
    </row>
    <row r="27" spans="1:26" s="24" customFormat="1" hidden="1" outlineLevel="2" x14ac:dyDescent="0.25">
      <c r="A27" s="27"/>
      <c r="B27" s="12" t="str">
        <f>CONCATENATE("          ", "6114", " - ", "STATE UNEMPLOYMENT INSURANCE")</f>
        <v xml:space="preserve">          6114 - STATE UNEMPLOYMENT INSURANCE</v>
      </c>
      <c r="C27" s="12"/>
      <c r="D27" s="7"/>
      <c r="E27" s="3"/>
      <c r="F27" s="8">
        <f t="shared" si="12"/>
        <v>0</v>
      </c>
      <c r="G27" s="3"/>
      <c r="H27" s="7">
        <v>0</v>
      </c>
      <c r="I27" s="3"/>
      <c r="J27" s="8">
        <f t="shared" si="13"/>
        <v>0</v>
      </c>
      <c r="K27" s="3"/>
      <c r="L27" s="7">
        <f t="shared" si="14"/>
        <v>0</v>
      </c>
      <c r="M27" s="3"/>
      <c r="N27" s="8">
        <f t="shared" si="15"/>
        <v>0</v>
      </c>
      <c r="O27" s="12"/>
      <c r="P27" s="7"/>
      <c r="Q27" s="3"/>
      <c r="R27" s="8">
        <f t="shared" si="16"/>
        <v>0</v>
      </c>
      <c r="S27" s="3"/>
      <c r="T27" s="7">
        <v>0</v>
      </c>
      <c r="U27" s="3"/>
      <c r="V27" s="8">
        <f t="shared" si="17"/>
        <v>0</v>
      </c>
      <c r="W27" s="3"/>
      <c r="X27" s="7">
        <f t="shared" si="18"/>
        <v>0</v>
      </c>
      <c r="Y27" s="3"/>
      <c r="Z27" s="8">
        <f t="shared" si="19"/>
        <v>0</v>
      </c>
    </row>
    <row r="28" spans="1:26" s="24" customFormat="1" hidden="1" outlineLevel="2" x14ac:dyDescent="0.25">
      <c r="A28" s="27"/>
      <c r="B28" s="12" t="str">
        <f>CONCATENATE("          ", "6115", " - ", "P.E.R.S.")</f>
        <v xml:space="preserve">          6115 - P.E.R.S.</v>
      </c>
      <c r="C28" s="12"/>
      <c r="D28" s="7"/>
      <c r="E28" s="3"/>
      <c r="F28" s="8">
        <f t="shared" si="12"/>
        <v>0</v>
      </c>
      <c r="G28" s="3"/>
      <c r="H28" s="7">
        <v>0</v>
      </c>
      <c r="I28" s="3"/>
      <c r="J28" s="8">
        <f t="shared" si="13"/>
        <v>0</v>
      </c>
      <c r="K28" s="3"/>
      <c r="L28" s="7">
        <f t="shared" si="14"/>
        <v>0</v>
      </c>
      <c r="M28" s="3"/>
      <c r="N28" s="8">
        <f t="shared" si="15"/>
        <v>0</v>
      </c>
      <c r="O28" s="12"/>
      <c r="P28" s="7"/>
      <c r="Q28" s="3"/>
      <c r="R28" s="8">
        <f t="shared" si="16"/>
        <v>0</v>
      </c>
      <c r="S28" s="3"/>
      <c r="T28" s="7">
        <v>0</v>
      </c>
      <c r="U28" s="3"/>
      <c r="V28" s="8">
        <f t="shared" si="17"/>
        <v>0</v>
      </c>
      <c r="W28" s="3"/>
      <c r="X28" s="7">
        <f t="shared" si="18"/>
        <v>0</v>
      </c>
      <c r="Y28" s="3"/>
      <c r="Z28" s="8">
        <f t="shared" si="19"/>
        <v>0</v>
      </c>
    </row>
    <row r="29" spans="1:26" s="24" customFormat="1" hidden="1" outlineLevel="2" x14ac:dyDescent="0.25">
      <c r="A29" s="27"/>
      <c r="B29" s="12" t="str">
        <f>CONCATENATE("          ", "6116", " - ", "EDUCATIONAL BENEFITS")</f>
        <v xml:space="preserve">          6116 - EDUCATIONAL BENEFITS</v>
      </c>
      <c r="C29" s="12"/>
      <c r="D29" s="7"/>
      <c r="E29" s="3"/>
      <c r="F29" s="8">
        <f t="shared" si="12"/>
        <v>0</v>
      </c>
      <c r="G29" s="3"/>
      <c r="H29" s="7">
        <v>0</v>
      </c>
      <c r="I29" s="3"/>
      <c r="J29" s="8">
        <f t="shared" si="13"/>
        <v>0</v>
      </c>
      <c r="K29" s="3"/>
      <c r="L29" s="7">
        <f t="shared" si="14"/>
        <v>0</v>
      </c>
      <c r="M29" s="3"/>
      <c r="N29" s="8">
        <f t="shared" si="15"/>
        <v>0</v>
      </c>
      <c r="O29" s="12"/>
      <c r="P29" s="7"/>
      <c r="Q29" s="3"/>
      <c r="R29" s="8">
        <f t="shared" si="16"/>
        <v>0</v>
      </c>
      <c r="S29" s="3"/>
      <c r="T29" s="7">
        <v>0</v>
      </c>
      <c r="U29" s="3"/>
      <c r="V29" s="8">
        <f t="shared" si="17"/>
        <v>0</v>
      </c>
      <c r="W29" s="3"/>
      <c r="X29" s="7">
        <f t="shared" si="18"/>
        <v>0</v>
      </c>
      <c r="Y29" s="3"/>
      <c r="Z29" s="8">
        <f t="shared" si="19"/>
        <v>0</v>
      </c>
    </row>
    <row r="30" spans="1:26" s="24" customFormat="1" hidden="1" outlineLevel="2" x14ac:dyDescent="0.25">
      <c r="A30" s="27"/>
      <c r="B30" s="12" t="str">
        <f>CONCATENATE("          ", "6118", " - ", "VACATION")</f>
        <v xml:space="preserve">          6118 - VACATION</v>
      </c>
      <c r="C30" s="12"/>
      <c r="D30" s="7"/>
      <c r="E30" s="3"/>
      <c r="F30" s="8">
        <f t="shared" si="12"/>
        <v>0</v>
      </c>
      <c r="G30" s="3"/>
      <c r="H30" s="7">
        <v>0</v>
      </c>
      <c r="I30" s="3"/>
      <c r="J30" s="8">
        <f t="shared" si="13"/>
        <v>0</v>
      </c>
      <c r="K30" s="3"/>
      <c r="L30" s="7">
        <f t="shared" si="14"/>
        <v>0</v>
      </c>
      <c r="M30" s="3"/>
      <c r="N30" s="8">
        <f t="shared" si="15"/>
        <v>0</v>
      </c>
      <c r="O30" s="12"/>
      <c r="P30" s="7"/>
      <c r="Q30" s="3"/>
      <c r="R30" s="8">
        <f t="shared" si="16"/>
        <v>0</v>
      </c>
      <c r="S30" s="3"/>
      <c r="T30" s="7">
        <v>0</v>
      </c>
      <c r="U30" s="3"/>
      <c r="V30" s="8">
        <f t="shared" si="17"/>
        <v>0</v>
      </c>
      <c r="W30" s="3"/>
      <c r="X30" s="7">
        <f t="shared" si="18"/>
        <v>0</v>
      </c>
      <c r="Y30" s="3"/>
      <c r="Z30" s="8">
        <f t="shared" si="19"/>
        <v>0</v>
      </c>
    </row>
    <row r="31" spans="1:26" s="24" customFormat="1" hidden="1" outlineLevel="2" x14ac:dyDescent="0.25">
      <c r="A31" s="27"/>
      <c r="B31" s="12" t="str">
        <f>CONCATENATE("          ", "6119", " - ", "SICK LEAVE")</f>
        <v xml:space="preserve">          6119 - SICK LEAVE</v>
      </c>
      <c r="C31" s="12"/>
      <c r="D31" s="7"/>
      <c r="E31" s="3"/>
      <c r="F31" s="8">
        <f t="shared" si="12"/>
        <v>0</v>
      </c>
      <c r="G31" s="3"/>
      <c r="H31" s="7">
        <v>0</v>
      </c>
      <c r="I31" s="3"/>
      <c r="J31" s="8">
        <f t="shared" si="13"/>
        <v>0</v>
      </c>
      <c r="K31" s="3"/>
      <c r="L31" s="7">
        <f t="shared" si="14"/>
        <v>0</v>
      </c>
      <c r="M31" s="3"/>
      <c r="N31" s="8">
        <f t="shared" si="15"/>
        <v>0</v>
      </c>
      <c r="O31" s="12"/>
      <c r="P31" s="7"/>
      <c r="Q31" s="3"/>
      <c r="R31" s="8">
        <f t="shared" si="16"/>
        <v>0</v>
      </c>
      <c r="S31" s="3"/>
      <c r="T31" s="7">
        <v>0</v>
      </c>
      <c r="U31" s="3"/>
      <c r="V31" s="8">
        <f t="shared" si="17"/>
        <v>0</v>
      </c>
      <c r="W31" s="3"/>
      <c r="X31" s="7">
        <f t="shared" si="18"/>
        <v>0</v>
      </c>
      <c r="Y31" s="3"/>
      <c r="Z31" s="8">
        <f t="shared" si="19"/>
        <v>0</v>
      </c>
    </row>
    <row r="32" spans="1:26" s="24" customFormat="1" hidden="1" outlineLevel="2" x14ac:dyDescent="0.25">
      <c r="A32" s="27"/>
      <c r="B32" s="12" t="str">
        <f>CONCATENATE("          ", "6156", " - ", "EMPLOYEE MEALS")</f>
        <v xml:space="preserve">          6156 - EMPLOYEE MEALS</v>
      </c>
      <c r="C32" s="12"/>
      <c r="D32" s="7"/>
      <c r="E32" s="3"/>
      <c r="F32" s="8">
        <f t="shared" si="12"/>
        <v>0</v>
      </c>
      <c r="G32" s="3"/>
      <c r="H32" s="7">
        <v>0</v>
      </c>
      <c r="I32" s="3"/>
      <c r="J32" s="8">
        <f t="shared" si="13"/>
        <v>0</v>
      </c>
      <c r="K32" s="3"/>
      <c r="L32" s="7">
        <f t="shared" si="14"/>
        <v>0</v>
      </c>
      <c r="M32" s="3"/>
      <c r="N32" s="8">
        <f t="shared" si="15"/>
        <v>0</v>
      </c>
      <c r="O32" s="12"/>
      <c r="P32" s="7"/>
      <c r="Q32" s="3"/>
      <c r="R32" s="8">
        <f t="shared" si="16"/>
        <v>0</v>
      </c>
      <c r="S32" s="3"/>
      <c r="T32" s="7">
        <v>0</v>
      </c>
      <c r="U32" s="3"/>
      <c r="V32" s="8">
        <f t="shared" si="17"/>
        <v>0</v>
      </c>
      <c r="W32" s="3"/>
      <c r="X32" s="7">
        <f t="shared" si="18"/>
        <v>0</v>
      </c>
      <c r="Y32" s="3"/>
      <c r="Z32" s="8">
        <f t="shared" si="19"/>
        <v>0</v>
      </c>
    </row>
    <row r="33" spans="1:26" s="29" customFormat="1" outlineLevel="1" collapsed="1" x14ac:dyDescent="0.25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0">IF(D$12=0,0,D33/D$12)</f>
        <v>0</v>
      </c>
      <c r="G33" s="1"/>
      <c r="H33" s="1">
        <f>SUM(OSRRefH22_1x_0)</f>
        <v>0</v>
      </c>
      <c r="I33" s="1"/>
      <c r="J33" s="5">
        <f t="shared" ref="J33:J43" si="21">IF(H$12=0,0,H33/H$12)</f>
        <v>0</v>
      </c>
      <c r="K33" s="1"/>
      <c r="L33" s="1">
        <f t="shared" ref="L33:L43" si="22">+D33-H33</f>
        <v>0</v>
      </c>
      <c r="M33" s="1"/>
      <c r="N33" s="5">
        <f t="shared" ref="N33:N43" si="23">IF(H33=0,0,L33/H33)</f>
        <v>0</v>
      </c>
      <c r="O33" s="14"/>
      <c r="P33" s="1">
        <f>SUM(OSRRefP22_1x_0)</f>
        <v>0</v>
      </c>
      <c r="Q33" s="1"/>
      <c r="R33" s="5">
        <f t="shared" ref="R33:R43" si="24">IF(P$12=0,0,P33/P$12)</f>
        <v>0</v>
      </c>
      <c r="S33" s="1"/>
      <c r="T33" s="1">
        <f>SUM(OSRRefT22_1x_0)</f>
        <v>0</v>
      </c>
      <c r="U33" s="1"/>
      <c r="V33" s="5">
        <f t="shared" ref="V33:V43" si="25">IF(T$12=0,0,T33/T$12)</f>
        <v>0</v>
      </c>
      <c r="W33" s="1"/>
      <c r="X33" s="1">
        <f t="shared" ref="X33:X43" si="26">+P33-T33</f>
        <v>0</v>
      </c>
      <c r="Y33" s="1"/>
      <c r="Z33" s="5">
        <f t="shared" ref="Z33:Z43" si="27">IF(T33=0,0,X33/T33)</f>
        <v>0</v>
      </c>
    </row>
    <row r="34" spans="1:26" s="24" customFormat="1" hidden="1" outlineLevel="2" x14ac:dyDescent="0.25">
      <c r="A34" s="27"/>
      <c r="B34" s="12" t="str">
        <f>CONCATENATE("          ", "6001", " - ", "ADMINISTRATIVE SALARIES")</f>
        <v xml:space="preserve">          6001 - ADMINISTRATIVE SALARIES</v>
      </c>
      <c r="C34" s="12"/>
      <c r="D34" s="7"/>
      <c r="E34" s="3"/>
      <c r="F34" s="8">
        <f t="shared" si="20"/>
        <v>0</v>
      </c>
      <c r="G34" s="3"/>
      <c r="H34" s="7">
        <v>0</v>
      </c>
      <c r="I34" s="3"/>
      <c r="J34" s="8">
        <f t="shared" si="21"/>
        <v>0</v>
      </c>
      <c r="K34" s="3"/>
      <c r="L34" s="7">
        <f t="shared" si="22"/>
        <v>0</v>
      </c>
      <c r="M34" s="3"/>
      <c r="N34" s="8">
        <f t="shared" si="23"/>
        <v>0</v>
      </c>
      <c r="O34" s="12"/>
      <c r="P34" s="7"/>
      <c r="Q34" s="3"/>
      <c r="R34" s="8">
        <f t="shared" si="24"/>
        <v>0</v>
      </c>
      <c r="S34" s="3"/>
      <c r="T34" s="7">
        <v>0</v>
      </c>
      <c r="U34" s="3"/>
      <c r="V34" s="8">
        <f t="shared" si="25"/>
        <v>0</v>
      </c>
      <c r="W34" s="3"/>
      <c r="X34" s="7">
        <f t="shared" si="26"/>
        <v>0</v>
      </c>
      <c r="Y34" s="3"/>
      <c r="Z34" s="8">
        <f t="shared" si="27"/>
        <v>0</v>
      </c>
    </row>
    <row r="35" spans="1:26" s="24" customFormat="1" hidden="1" outlineLevel="2" x14ac:dyDescent="0.25">
      <c r="A35" s="27"/>
      <c r="B35" s="12" t="str">
        <f>CONCATENATE("          ", "6002", " - ", "STAFF SALARIES")</f>
        <v xml:space="preserve">          6002 - STAFF SALARIES</v>
      </c>
      <c r="C35" s="12"/>
      <c r="D35" s="7"/>
      <c r="E35" s="3"/>
      <c r="F35" s="8">
        <f t="shared" si="20"/>
        <v>0</v>
      </c>
      <c r="G35" s="3"/>
      <c r="H35" s="7">
        <v>0</v>
      </c>
      <c r="I35" s="3"/>
      <c r="J35" s="8">
        <f t="shared" si="21"/>
        <v>0</v>
      </c>
      <c r="K35" s="3"/>
      <c r="L35" s="7">
        <f t="shared" si="22"/>
        <v>0</v>
      </c>
      <c r="M35" s="3"/>
      <c r="N35" s="8">
        <f t="shared" si="23"/>
        <v>0</v>
      </c>
      <c r="O35" s="12"/>
      <c r="P35" s="7"/>
      <c r="Q35" s="3"/>
      <c r="R35" s="8">
        <f t="shared" si="24"/>
        <v>0</v>
      </c>
      <c r="S35" s="3"/>
      <c r="T35" s="7">
        <v>0</v>
      </c>
      <c r="U35" s="3"/>
      <c r="V35" s="8">
        <f t="shared" si="25"/>
        <v>0</v>
      </c>
      <c r="W35" s="3"/>
      <c r="X35" s="7">
        <f t="shared" si="26"/>
        <v>0</v>
      </c>
      <c r="Y35" s="3"/>
      <c r="Z35" s="8">
        <f t="shared" si="27"/>
        <v>0</v>
      </c>
    </row>
    <row r="36" spans="1:26" s="24" customFormat="1" hidden="1" outlineLevel="2" x14ac:dyDescent="0.25">
      <c r="A36" s="27"/>
      <c r="B36" s="12" t="str">
        <f>CONCATENATE("          ", "6003", " - ", "STAFF HOURLY-9 MONTH")</f>
        <v xml:space="preserve">          6003 - STAFF HOURLY-9 MONTH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"6004", " - ", "STAFF HOURLY")</f>
        <v xml:space="preserve">          6004 - STAFF HOURLY</v>
      </c>
      <c r="C37" s="12"/>
      <c r="D37" s="7"/>
      <c r="E37" s="3"/>
      <c r="F37" s="8">
        <f t="shared" si="20"/>
        <v>0</v>
      </c>
      <c r="G37" s="3"/>
      <c r="H37" s="7">
        <v>0</v>
      </c>
      <c r="I37" s="3"/>
      <c r="J37" s="8">
        <f t="shared" si="21"/>
        <v>0</v>
      </c>
      <c r="K37" s="3"/>
      <c r="L37" s="7">
        <f t="shared" si="22"/>
        <v>0</v>
      </c>
      <c r="M37" s="3"/>
      <c r="N37" s="8">
        <f t="shared" si="23"/>
        <v>0</v>
      </c>
      <c r="O37" s="12"/>
      <c r="P37" s="7"/>
      <c r="Q37" s="3"/>
      <c r="R37" s="8">
        <f t="shared" si="24"/>
        <v>0</v>
      </c>
      <c r="S37" s="3"/>
      <c r="T37" s="7">
        <v>0</v>
      </c>
      <c r="U37" s="3"/>
      <c r="V37" s="8">
        <f t="shared" si="25"/>
        <v>0</v>
      </c>
      <c r="W37" s="3"/>
      <c r="X37" s="7">
        <f t="shared" si="26"/>
        <v>0</v>
      </c>
      <c r="Y37" s="3"/>
      <c r="Z37" s="8">
        <f t="shared" si="27"/>
        <v>0</v>
      </c>
    </row>
    <row r="38" spans="1:26" s="24" customFormat="1" hidden="1" outlineLevel="2" x14ac:dyDescent="0.25">
      <c r="A38" s="27"/>
      <c r="B38" s="12" t="str">
        <f>CONCATENATE("          ", "6005", " - ", "TEMPORARY WAGES-HOURLY")</f>
        <v xml:space="preserve">          6005 - TEMPORARY WAGES-HOURLY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"6006", " - ", "TEMPORARY PART TIME")</f>
        <v xml:space="preserve">          6006 - TEMPORARY PART TIME</v>
      </c>
      <c r="C39" s="12"/>
      <c r="D39" s="7"/>
      <c r="E39" s="3"/>
      <c r="F39" s="8">
        <f t="shared" si="20"/>
        <v>0</v>
      </c>
      <c r="G39" s="3"/>
      <c r="H39" s="7">
        <v>0</v>
      </c>
      <c r="I39" s="3"/>
      <c r="J39" s="8">
        <f t="shared" si="21"/>
        <v>0</v>
      </c>
      <c r="K39" s="3"/>
      <c r="L39" s="7">
        <f t="shared" si="22"/>
        <v>0</v>
      </c>
      <c r="M39" s="3"/>
      <c r="N39" s="8">
        <f t="shared" si="23"/>
        <v>0</v>
      </c>
      <c r="O39" s="12"/>
      <c r="P39" s="7"/>
      <c r="Q39" s="3"/>
      <c r="R39" s="8">
        <f t="shared" si="24"/>
        <v>0</v>
      </c>
      <c r="S39" s="3"/>
      <c r="T39" s="7">
        <v>0</v>
      </c>
      <c r="U39" s="3"/>
      <c r="V39" s="8">
        <f t="shared" si="25"/>
        <v>0</v>
      </c>
      <c r="W39" s="3"/>
      <c r="X39" s="7">
        <f t="shared" si="26"/>
        <v>0</v>
      </c>
      <c r="Y39" s="3"/>
      <c r="Z39" s="8">
        <f t="shared" si="27"/>
        <v>0</v>
      </c>
    </row>
    <row r="40" spans="1:26" s="24" customFormat="1" hidden="1" outlineLevel="2" x14ac:dyDescent="0.25">
      <c r="A40" s="27"/>
      <c r="B40" s="12" t="str">
        <f>CONCATENATE("          ", "6007", " - ", "STUDENT HOURLY")</f>
        <v xml:space="preserve">          6007 - STUDENT HOURLY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4" customFormat="1" hidden="1" outlineLevel="2" x14ac:dyDescent="0.25">
      <c r="A41" s="27"/>
      <c r="B41" s="12" t="str">
        <f>CONCATENATE("          ", "6008", " - ", "STUDENT HOURLY-FICA EXEMPT")</f>
        <v xml:space="preserve">          6008 - STUDENT HOURLY-FICA EXEMPT</v>
      </c>
      <c r="C41" s="12"/>
      <c r="D41" s="7"/>
      <c r="E41" s="3"/>
      <c r="F41" s="8">
        <f t="shared" si="20"/>
        <v>0</v>
      </c>
      <c r="G41" s="3"/>
      <c r="H41" s="7">
        <v>0</v>
      </c>
      <c r="I41" s="3"/>
      <c r="J41" s="8">
        <f t="shared" si="21"/>
        <v>0</v>
      </c>
      <c r="K41" s="3"/>
      <c r="L41" s="7">
        <f t="shared" si="22"/>
        <v>0</v>
      </c>
      <c r="M41" s="3"/>
      <c r="N41" s="8">
        <f t="shared" si="23"/>
        <v>0</v>
      </c>
      <c r="O41" s="12"/>
      <c r="P41" s="7"/>
      <c r="Q41" s="3"/>
      <c r="R41" s="8">
        <f t="shared" si="24"/>
        <v>0</v>
      </c>
      <c r="S41" s="3"/>
      <c r="T41" s="7">
        <v>0</v>
      </c>
      <c r="U41" s="3"/>
      <c r="V41" s="8">
        <f t="shared" si="25"/>
        <v>0</v>
      </c>
      <c r="W41" s="3"/>
      <c r="X41" s="7">
        <f t="shared" si="26"/>
        <v>0</v>
      </c>
      <c r="Y41" s="3"/>
      <c r="Z41" s="8">
        <f t="shared" si="27"/>
        <v>0</v>
      </c>
    </row>
    <row r="42" spans="1:26" s="24" customFormat="1" hidden="1" outlineLevel="2" x14ac:dyDescent="0.25">
      <c r="A42" s="27"/>
      <c r="B42" s="12" t="str">
        <f>CONCATENATE("          ", "6009", " - ", "TEMPORARY-SEASONAL")</f>
        <v xml:space="preserve">          6009 - TEMPORARY-SEASONAL</v>
      </c>
      <c r="C42" s="12"/>
      <c r="D42" s="7"/>
      <c r="E42" s="3"/>
      <c r="F42" s="8">
        <f t="shared" si="20"/>
        <v>0</v>
      </c>
      <c r="G42" s="3"/>
      <c r="H42" s="7">
        <v>0</v>
      </c>
      <c r="I42" s="3"/>
      <c r="J42" s="8">
        <f t="shared" si="21"/>
        <v>0</v>
      </c>
      <c r="K42" s="3"/>
      <c r="L42" s="7">
        <f t="shared" si="22"/>
        <v>0</v>
      </c>
      <c r="M42" s="3"/>
      <c r="N42" s="8">
        <f t="shared" si="23"/>
        <v>0</v>
      </c>
      <c r="O42" s="12"/>
      <c r="P42" s="7"/>
      <c r="Q42" s="3"/>
      <c r="R42" s="8">
        <f t="shared" si="24"/>
        <v>0</v>
      </c>
      <c r="S42" s="3"/>
      <c r="T42" s="7">
        <v>0</v>
      </c>
      <c r="U42" s="3"/>
      <c r="V42" s="8">
        <f t="shared" si="25"/>
        <v>0</v>
      </c>
      <c r="W42" s="3"/>
      <c r="X42" s="7">
        <f t="shared" si="26"/>
        <v>0</v>
      </c>
      <c r="Y42" s="3"/>
      <c r="Z42" s="8">
        <f t="shared" si="27"/>
        <v>0</v>
      </c>
    </row>
    <row r="43" spans="1:26" s="24" customFormat="1" hidden="1" outlineLevel="2" x14ac:dyDescent="0.25">
      <c r="A43" s="27"/>
      <c r="B43" s="12" t="str">
        <f>CONCATENATE("          ", "6010", " - ", "GRATUITY")</f>
        <v xml:space="preserve">          6010 - GRATUITY</v>
      </c>
      <c r="C43" s="12"/>
      <c r="D43" s="7"/>
      <c r="E43" s="3"/>
      <c r="F43" s="8">
        <f t="shared" si="20"/>
        <v>0</v>
      </c>
      <c r="G43" s="3"/>
      <c r="H43" s="7">
        <v>0</v>
      </c>
      <c r="I43" s="3"/>
      <c r="J43" s="8">
        <f t="shared" si="21"/>
        <v>0</v>
      </c>
      <c r="K43" s="3"/>
      <c r="L43" s="7">
        <f t="shared" si="22"/>
        <v>0</v>
      </c>
      <c r="M43" s="3"/>
      <c r="N43" s="8">
        <f t="shared" si="23"/>
        <v>0</v>
      </c>
      <c r="O43" s="12"/>
      <c r="P43" s="7"/>
      <c r="Q43" s="3"/>
      <c r="R43" s="8">
        <f t="shared" si="24"/>
        <v>0</v>
      </c>
      <c r="S43" s="3"/>
      <c r="T43" s="7">
        <v>0</v>
      </c>
      <c r="U43" s="3"/>
      <c r="V43" s="8">
        <f t="shared" si="25"/>
        <v>0</v>
      </c>
      <c r="W43" s="3"/>
      <c r="X43" s="7">
        <f t="shared" si="26"/>
        <v>0</v>
      </c>
      <c r="Y43" s="3"/>
      <c r="Z43" s="8">
        <f t="shared" si="27"/>
        <v>0</v>
      </c>
    </row>
    <row r="44" spans="1:26" s="29" customFormat="1" outlineLevel="1" collapsed="1" x14ac:dyDescent="0.25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1" si="28">IF(D$12=0,0,D44/D$12)</f>
        <v>0</v>
      </c>
      <c r="G44" s="1"/>
      <c r="H44" s="1">
        <f>SUM(OSRRefH22_2x_0)</f>
        <v>0</v>
      </c>
      <c r="I44" s="1"/>
      <c r="J44" s="5">
        <f t="shared" ref="J44:J61" si="29">IF(H$12=0,0,H44/H$12)</f>
        <v>0</v>
      </c>
      <c r="K44" s="1"/>
      <c r="L44" s="1">
        <f t="shared" ref="L44:L61" si="30">+D44-H44</f>
        <v>0</v>
      </c>
      <c r="M44" s="1"/>
      <c r="N44" s="5">
        <f t="shared" ref="N44:N61" si="31">IF(H44=0,0,L44/H44)</f>
        <v>0</v>
      </c>
      <c r="O44" s="14"/>
      <c r="P44" s="1">
        <f>SUM(OSRRefP22_2x_0)</f>
        <v>0</v>
      </c>
      <c r="Q44" s="1"/>
      <c r="R44" s="5">
        <f t="shared" ref="R44:R61" si="32">IF(P$12=0,0,P44/P$12)</f>
        <v>0</v>
      </c>
      <c r="S44" s="1"/>
      <c r="T44" s="1">
        <f>SUM(OSRRefT22_2x_0)</f>
        <v>0</v>
      </c>
      <c r="U44" s="1"/>
      <c r="V44" s="5">
        <f t="shared" ref="V44:V61" si="33">IF(T$12=0,0,T44/T$12)</f>
        <v>0</v>
      </c>
      <c r="W44" s="1"/>
      <c r="X44" s="1">
        <f t="shared" ref="X44:X61" si="34">+P44-T44</f>
        <v>0</v>
      </c>
      <c r="Y44" s="1"/>
      <c r="Z44" s="5">
        <f t="shared" ref="Z44:Z61" si="35">IF(T44=0,0,X44/T44)</f>
        <v>0</v>
      </c>
    </row>
    <row r="45" spans="1:26" s="24" customFormat="1" hidden="1" outlineLevel="2" x14ac:dyDescent="0.25">
      <c r="A45" s="27"/>
      <c r="B45" s="12" t="str">
        <f>CONCATENATE("          ", "6362", " - ", "ADVERTISING EXPENSE")</f>
        <v xml:space="preserve">          6362 - ADVERTISING EXPENSE</v>
      </c>
      <c r="C45" s="12"/>
      <c r="D45" s="7"/>
      <c r="E45" s="3"/>
      <c r="F45" s="8">
        <f t="shared" si="28"/>
        <v>0</v>
      </c>
      <c r="G45" s="3"/>
      <c r="H45" s="7">
        <v>0</v>
      </c>
      <c r="I45" s="3"/>
      <c r="J45" s="8">
        <f t="shared" si="29"/>
        <v>0</v>
      </c>
      <c r="K45" s="3"/>
      <c r="L45" s="7">
        <f t="shared" si="30"/>
        <v>0</v>
      </c>
      <c r="M45" s="3"/>
      <c r="N45" s="8">
        <f t="shared" si="31"/>
        <v>0</v>
      </c>
      <c r="O45" s="12"/>
      <c r="P45" s="7"/>
      <c r="Q45" s="3"/>
      <c r="R45" s="8">
        <f t="shared" si="32"/>
        <v>0</v>
      </c>
      <c r="S45" s="3"/>
      <c r="T45" s="7">
        <v>0</v>
      </c>
      <c r="U45" s="3"/>
      <c r="V45" s="8">
        <f t="shared" si="33"/>
        <v>0</v>
      </c>
      <c r="W45" s="3"/>
      <c r="X45" s="7">
        <f t="shared" si="34"/>
        <v>0</v>
      </c>
      <c r="Y45" s="3"/>
      <c r="Z45" s="8">
        <f t="shared" si="35"/>
        <v>0</v>
      </c>
    </row>
    <row r="46" spans="1:26" s="29" customFormat="1" outlineLevel="1" collapsed="1" x14ac:dyDescent="0.25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28"/>
        <v>0</v>
      </c>
      <c r="G46" s="1"/>
      <c r="H46" s="1">
        <f>SUM(OSRRefH22_3x_0)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SUM(OSRRefP22_3x_0)</f>
        <v>0</v>
      </c>
      <c r="Q46" s="1"/>
      <c r="R46" s="5">
        <f t="shared" si="32"/>
        <v>0</v>
      </c>
      <c r="S46" s="1"/>
      <c r="T46" s="1">
        <f>SUM(OSRRefT22_3x_0)</f>
        <v>0</v>
      </c>
      <c r="U46" s="1"/>
      <c r="V46" s="5">
        <f t="shared" si="33"/>
        <v>0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25">
      <c r="A47" s="27"/>
      <c r="B47" s="12" t="str">
        <f>CONCATENATE("          ", "6381", " - ", "BANK/CREDIT CARD FEES")</f>
        <v xml:space="preserve">          6381 - BANK/CREDIT CARD FEES</v>
      </c>
      <c r="C47" s="12"/>
      <c r="D47" s="7"/>
      <c r="E47" s="3"/>
      <c r="F47" s="8">
        <f t="shared" si="28"/>
        <v>0</v>
      </c>
      <c r="G47" s="3"/>
      <c r="H47" s="7">
        <v>0</v>
      </c>
      <c r="I47" s="3"/>
      <c r="J47" s="8">
        <f t="shared" si="29"/>
        <v>0</v>
      </c>
      <c r="K47" s="3"/>
      <c r="L47" s="7">
        <f t="shared" si="30"/>
        <v>0</v>
      </c>
      <c r="M47" s="3"/>
      <c r="N47" s="8">
        <f t="shared" si="31"/>
        <v>0</v>
      </c>
      <c r="O47" s="12"/>
      <c r="P47" s="7"/>
      <c r="Q47" s="3"/>
      <c r="R47" s="8">
        <f t="shared" si="32"/>
        <v>0</v>
      </c>
      <c r="S47" s="3"/>
      <c r="T47" s="7">
        <v>0</v>
      </c>
      <c r="U47" s="3"/>
      <c r="V47" s="8">
        <f t="shared" si="33"/>
        <v>0</v>
      </c>
      <c r="W47" s="3"/>
      <c r="X47" s="7">
        <f t="shared" si="34"/>
        <v>0</v>
      </c>
      <c r="Y47" s="3"/>
      <c r="Z47" s="8">
        <f t="shared" si="35"/>
        <v>0</v>
      </c>
    </row>
    <row r="48" spans="1:26" s="29" customFormat="1" outlineLevel="1" collapsed="1" x14ac:dyDescent="0.25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1972.05</v>
      </c>
      <c r="E48" s="1"/>
      <c r="F48" s="5">
        <f t="shared" si="28"/>
        <v>2.0228021048096747</v>
      </c>
      <c r="G48" s="1"/>
      <c r="H48" s="1">
        <f>SUM(OSRRefH22_4x_0)</f>
        <v>1972</v>
      </c>
      <c r="I48" s="1"/>
      <c r="J48" s="5">
        <f t="shared" si="29"/>
        <v>0</v>
      </c>
      <c r="K48" s="1"/>
      <c r="L48" s="1">
        <f t="shared" si="30"/>
        <v>4.9999999999954525E-2</v>
      </c>
      <c r="M48" s="1"/>
      <c r="N48" s="5">
        <f t="shared" si="31"/>
        <v>2.5354969574013451E-5</v>
      </c>
      <c r="O48" s="14"/>
      <c r="P48" s="1">
        <f>SUM(OSRRefP22_4x_0)</f>
        <v>1972.05</v>
      </c>
      <c r="Q48" s="1"/>
      <c r="R48" s="5">
        <f t="shared" si="32"/>
        <v>2.0228021048096747</v>
      </c>
      <c r="S48" s="1"/>
      <c r="T48" s="1">
        <f>SUM(OSRRefT22_4x_0)</f>
        <v>1972</v>
      </c>
      <c r="U48" s="1"/>
      <c r="V48" s="5">
        <f t="shared" si="33"/>
        <v>0</v>
      </c>
      <c r="W48" s="1"/>
      <c r="X48" s="1">
        <f t="shared" si="34"/>
        <v>4.9999999999954525E-2</v>
      </c>
      <c r="Y48" s="1"/>
      <c r="Z48" s="5">
        <f t="shared" si="35"/>
        <v>2.5354969574013451E-5</v>
      </c>
    </row>
    <row r="49" spans="1:26" s="24" customFormat="1" hidden="1" outlineLevel="2" x14ac:dyDescent="0.25">
      <c r="A49" s="27"/>
      <c r="B49" s="12" t="str">
        <f>CONCATENATE("          ", "6322", " - ", "EQUIPMENT DEPRECIATION EXPENSE")</f>
        <v xml:space="preserve">          6322 - EQUIPMENT DEPRECIATION EXPENSE</v>
      </c>
      <c r="C49" s="12"/>
      <c r="D49" s="7">
        <v>1972.05</v>
      </c>
      <c r="E49" s="3"/>
      <c r="F49" s="8">
        <f t="shared" si="28"/>
        <v>2.0228021048096747</v>
      </c>
      <c r="G49" s="3"/>
      <c r="H49" s="7">
        <v>1972</v>
      </c>
      <c r="I49" s="3"/>
      <c r="J49" s="8">
        <f t="shared" si="29"/>
        <v>0</v>
      </c>
      <c r="K49" s="3"/>
      <c r="L49" s="7">
        <f t="shared" si="30"/>
        <v>4.9999999999954525E-2</v>
      </c>
      <c r="M49" s="3"/>
      <c r="N49" s="8">
        <f t="shared" si="31"/>
        <v>2.5354969574013451E-5</v>
      </c>
      <c r="O49" s="12"/>
      <c r="P49" s="7">
        <v>1972.05</v>
      </c>
      <c r="Q49" s="3"/>
      <c r="R49" s="8">
        <f t="shared" si="32"/>
        <v>2.0228021048096747</v>
      </c>
      <c r="S49" s="3"/>
      <c r="T49" s="7">
        <v>1972</v>
      </c>
      <c r="U49" s="3"/>
      <c r="V49" s="8">
        <f t="shared" si="33"/>
        <v>0</v>
      </c>
      <c r="W49" s="3"/>
      <c r="X49" s="7">
        <f t="shared" si="34"/>
        <v>4.9999999999954525E-2</v>
      </c>
      <c r="Y49" s="3"/>
      <c r="Z49" s="8">
        <f t="shared" si="35"/>
        <v>2.5354969574013451E-5</v>
      </c>
    </row>
    <row r="50" spans="1:26" s="29" customFormat="1" outlineLevel="1" collapsed="1" x14ac:dyDescent="0.25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SUM(OSRRefD22_5x_0)</f>
        <v>0</v>
      </c>
      <c r="E50" s="1"/>
      <c r="F50" s="5">
        <f t="shared" si="28"/>
        <v>0</v>
      </c>
      <c r="G50" s="1"/>
      <c r="H50" s="1">
        <f>SUM(OSRRefH22_5x_0)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SUM(OSRRefP22_5x_0)</f>
        <v>0</v>
      </c>
      <c r="Q50" s="1"/>
      <c r="R50" s="5">
        <f t="shared" si="32"/>
        <v>0</v>
      </c>
      <c r="S50" s="1"/>
      <c r="T50" s="1">
        <f>SUM(OSRRefT22_5x_0)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7"/>
      <c r="B51" s="12" t="str">
        <f>CONCATENATE("          ", "6277", " - ", "EMPLOYEE APPRECIATION")</f>
        <v xml:space="preserve">          6277 - EMPLOYEE APPRECIATION</v>
      </c>
      <c r="C51" s="12"/>
      <c r="D51" s="7"/>
      <c r="E51" s="3"/>
      <c r="F51" s="8">
        <f t="shared" si="28"/>
        <v>0</v>
      </c>
      <c r="G51" s="3"/>
      <c r="H51" s="7">
        <v>0</v>
      </c>
      <c r="I51" s="3"/>
      <c r="J51" s="8">
        <f t="shared" si="29"/>
        <v>0</v>
      </c>
      <c r="K51" s="3"/>
      <c r="L51" s="7">
        <f t="shared" si="30"/>
        <v>0</v>
      </c>
      <c r="M51" s="3"/>
      <c r="N51" s="8">
        <f t="shared" si="31"/>
        <v>0</v>
      </c>
      <c r="O51" s="12"/>
      <c r="P51" s="7"/>
      <c r="Q51" s="3"/>
      <c r="R51" s="8">
        <f t="shared" si="32"/>
        <v>0</v>
      </c>
      <c r="S51" s="3"/>
      <c r="T51" s="7">
        <v>0</v>
      </c>
      <c r="U51" s="3"/>
      <c r="V51" s="8">
        <f t="shared" si="33"/>
        <v>0</v>
      </c>
      <c r="W51" s="3"/>
      <c r="X51" s="7">
        <f t="shared" si="34"/>
        <v>0</v>
      </c>
      <c r="Y51" s="3"/>
      <c r="Z51" s="8">
        <f t="shared" si="35"/>
        <v>0</v>
      </c>
    </row>
    <row r="52" spans="1:26" s="29" customFormat="1" outlineLevel="1" collapsed="1" x14ac:dyDescent="0.25">
      <c r="A52" s="28"/>
      <c r="B52" s="14" t="str">
        <f>CONCATENATE("     ","Royalty &amp; Commissions                             ")</f>
        <v xml:space="preserve">     Royalty &amp; Commissions                             </v>
      </c>
      <c r="C52" s="14"/>
      <c r="D52" s="1">
        <f>SUM(OSRRefD22_6x_0)</f>
        <v>0</v>
      </c>
      <c r="E52" s="1"/>
      <c r="F52" s="5">
        <f t="shared" si="28"/>
        <v>0</v>
      </c>
      <c r="G52" s="1"/>
      <c r="H52" s="1">
        <f>SUM(OSRRefH22_6x_0)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SUM(OSRRefP22_6x_0)</f>
        <v>0</v>
      </c>
      <c r="Q52" s="1"/>
      <c r="R52" s="5">
        <f t="shared" si="32"/>
        <v>0</v>
      </c>
      <c r="S52" s="1"/>
      <c r="T52" s="1">
        <f>SUM(OSRRefT22_6x_0)</f>
        <v>0</v>
      </c>
      <c r="U52" s="1"/>
      <c r="V52" s="5">
        <f t="shared" si="33"/>
        <v>0</v>
      </c>
      <c r="W52" s="1"/>
      <c r="X52" s="1">
        <f t="shared" si="34"/>
        <v>0</v>
      </c>
      <c r="Y52" s="1"/>
      <c r="Z52" s="5">
        <f t="shared" si="35"/>
        <v>0</v>
      </c>
    </row>
    <row r="53" spans="1:26" s="24" customFormat="1" hidden="1" outlineLevel="2" x14ac:dyDescent="0.25">
      <c r="A53" s="27"/>
      <c r="B53" s="12" t="str">
        <f>CONCATENATE("          ", "6259", " - ", "ROYALTY &amp; COMMISSIONS")</f>
        <v xml:space="preserve">          6259 - ROYALTY &amp; COMMISSIONS</v>
      </c>
      <c r="C53" s="12"/>
      <c r="D53" s="7"/>
      <c r="E53" s="3"/>
      <c r="F53" s="8">
        <f t="shared" si="28"/>
        <v>0</v>
      </c>
      <c r="G53" s="3"/>
      <c r="H53" s="7">
        <v>0</v>
      </c>
      <c r="I53" s="3"/>
      <c r="J53" s="8">
        <f t="shared" si="29"/>
        <v>0</v>
      </c>
      <c r="K53" s="3"/>
      <c r="L53" s="7">
        <f t="shared" si="30"/>
        <v>0</v>
      </c>
      <c r="M53" s="3"/>
      <c r="N53" s="8">
        <f t="shared" si="31"/>
        <v>0</v>
      </c>
      <c r="O53" s="12"/>
      <c r="P53" s="7"/>
      <c r="Q53" s="3"/>
      <c r="R53" s="8">
        <f t="shared" si="32"/>
        <v>0</v>
      </c>
      <c r="S53" s="3"/>
      <c r="T53" s="7">
        <v>0</v>
      </c>
      <c r="U53" s="3"/>
      <c r="V53" s="8">
        <f t="shared" si="33"/>
        <v>0</v>
      </c>
      <c r="W53" s="3"/>
      <c r="X53" s="7">
        <f t="shared" si="34"/>
        <v>0</v>
      </c>
      <c r="Y53" s="3"/>
      <c r="Z53" s="8">
        <f t="shared" si="35"/>
        <v>0</v>
      </c>
    </row>
    <row r="54" spans="1:26" s="29" customFormat="1" outlineLevel="1" collapsed="1" x14ac:dyDescent="0.25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0</v>
      </c>
      <c r="U54" s="1"/>
      <c r="V54" s="5">
        <f t="shared" si="33"/>
        <v>0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7"/>
      <c r="B55" s="12" t="str">
        <f>CONCATENATE("          ", "6286", " - ", "LAUNDRY EXPENSE")</f>
        <v xml:space="preserve">          6286 - LAUNDRY EXPENSE</v>
      </c>
      <c r="C55" s="12"/>
      <c r="D55" s="7"/>
      <c r="E55" s="3"/>
      <c r="F55" s="8">
        <f t="shared" si="28"/>
        <v>0</v>
      </c>
      <c r="G55" s="3"/>
      <c r="H55" s="7">
        <v>0</v>
      </c>
      <c r="I55" s="3"/>
      <c r="J55" s="8">
        <f t="shared" si="29"/>
        <v>0</v>
      </c>
      <c r="K55" s="3"/>
      <c r="L55" s="7">
        <f t="shared" si="30"/>
        <v>0</v>
      </c>
      <c r="M55" s="3"/>
      <c r="N55" s="8">
        <f t="shared" si="31"/>
        <v>0</v>
      </c>
      <c r="O55" s="12"/>
      <c r="P55" s="7"/>
      <c r="Q55" s="3"/>
      <c r="R55" s="8">
        <f t="shared" si="32"/>
        <v>0</v>
      </c>
      <c r="S55" s="3"/>
      <c r="T55" s="7">
        <v>0</v>
      </c>
      <c r="U55" s="3"/>
      <c r="V55" s="8">
        <f t="shared" si="33"/>
        <v>0</v>
      </c>
      <c r="W55" s="3"/>
      <c r="X55" s="7">
        <f t="shared" si="34"/>
        <v>0</v>
      </c>
      <c r="Y55" s="3"/>
      <c r="Z55" s="8">
        <f t="shared" si="35"/>
        <v>0</v>
      </c>
    </row>
    <row r="56" spans="1:26" s="29" customFormat="1" outlineLevel="1" collapsed="1" x14ac:dyDescent="0.25">
      <c r="A56" s="28"/>
      <c r="B56" s="14" t="str">
        <f>CONCATENATE("     ","Subscriptions &amp; Dues                              ")</f>
        <v xml:space="preserve">     Subscriptions &amp; Dues                              </v>
      </c>
      <c r="C56" s="14"/>
      <c r="D56" s="1">
        <f>SUM(OSRRefD22_8x_0)</f>
        <v>0</v>
      </c>
      <c r="E56" s="1"/>
      <c r="F56" s="5">
        <f t="shared" si="28"/>
        <v>0</v>
      </c>
      <c r="G56" s="1"/>
      <c r="H56" s="1">
        <f>SUM(OSRRefH22_8x_0)</f>
        <v>0</v>
      </c>
      <c r="I56" s="1"/>
      <c r="J56" s="5">
        <f t="shared" si="29"/>
        <v>0</v>
      </c>
      <c r="K56" s="1"/>
      <c r="L56" s="1">
        <f t="shared" si="30"/>
        <v>0</v>
      </c>
      <c r="M56" s="1"/>
      <c r="N56" s="5">
        <f t="shared" si="31"/>
        <v>0</v>
      </c>
      <c r="O56" s="14"/>
      <c r="P56" s="1">
        <f>SUM(OSRRefP22_8x_0)</f>
        <v>0</v>
      </c>
      <c r="Q56" s="1"/>
      <c r="R56" s="5">
        <f t="shared" si="32"/>
        <v>0</v>
      </c>
      <c r="S56" s="1"/>
      <c r="T56" s="1">
        <f>SUM(OSRRefT22_8x_0)</f>
        <v>0</v>
      </c>
      <c r="U56" s="1"/>
      <c r="V56" s="5">
        <f t="shared" si="33"/>
        <v>0</v>
      </c>
      <c r="W56" s="1"/>
      <c r="X56" s="1">
        <f t="shared" si="34"/>
        <v>0</v>
      </c>
      <c r="Y56" s="1"/>
      <c r="Z56" s="5">
        <f t="shared" si="35"/>
        <v>0</v>
      </c>
    </row>
    <row r="57" spans="1:26" s="24" customFormat="1" hidden="1" outlineLevel="2" x14ac:dyDescent="0.25">
      <c r="A57" s="27"/>
      <c r="B57" s="12" t="str">
        <f>CONCATENATE("          ", "6275", " - ", "SUBSCRIPTIONS")</f>
        <v xml:space="preserve">          6275 - SUBSCRIPTIONS</v>
      </c>
      <c r="C57" s="12"/>
      <c r="D57" s="7"/>
      <c r="E57" s="3"/>
      <c r="F57" s="8">
        <f t="shared" si="28"/>
        <v>0</v>
      </c>
      <c r="G57" s="3"/>
      <c r="H57" s="7">
        <v>0</v>
      </c>
      <c r="I57" s="3"/>
      <c r="J57" s="8">
        <f t="shared" si="29"/>
        <v>0</v>
      </c>
      <c r="K57" s="3"/>
      <c r="L57" s="7">
        <f t="shared" si="30"/>
        <v>0</v>
      </c>
      <c r="M57" s="3"/>
      <c r="N57" s="8">
        <f t="shared" si="31"/>
        <v>0</v>
      </c>
      <c r="O57" s="12"/>
      <c r="P57" s="7"/>
      <c r="Q57" s="3"/>
      <c r="R57" s="8">
        <f t="shared" si="32"/>
        <v>0</v>
      </c>
      <c r="S57" s="3"/>
      <c r="T57" s="7">
        <v>0</v>
      </c>
      <c r="U57" s="3"/>
      <c r="V57" s="8">
        <f t="shared" si="33"/>
        <v>0</v>
      </c>
      <c r="W57" s="3"/>
      <c r="X57" s="7">
        <f t="shared" si="34"/>
        <v>0</v>
      </c>
      <c r="Y57" s="3"/>
      <c r="Z57" s="8">
        <f t="shared" si="35"/>
        <v>0</v>
      </c>
    </row>
    <row r="58" spans="1:26" s="29" customFormat="1" outlineLevel="1" collapsed="1" x14ac:dyDescent="0.25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SUM(OSRRefD22_9x_0)</f>
        <v>0</v>
      </c>
      <c r="E58" s="1"/>
      <c r="F58" s="5">
        <f t="shared" si="28"/>
        <v>0</v>
      </c>
      <c r="G58" s="1"/>
      <c r="H58" s="1">
        <f>SUM(OSRRefH22_9x_0)</f>
        <v>0</v>
      </c>
      <c r="I58" s="1"/>
      <c r="J58" s="5">
        <f t="shared" si="29"/>
        <v>0</v>
      </c>
      <c r="K58" s="1"/>
      <c r="L58" s="1">
        <f t="shared" si="30"/>
        <v>0</v>
      </c>
      <c r="M58" s="1"/>
      <c r="N58" s="5">
        <f t="shared" si="31"/>
        <v>0</v>
      </c>
      <c r="O58" s="14"/>
      <c r="P58" s="1">
        <f>SUM(OSRRefP22_9x_0)</f>
        <v>0</v>
      </c>
      <c r="Q58" s="1"/>
      <c r="R58" s="5">
        <f t="shared" si="32"/>
        <v>0</v>
      </c>
      <c r="S58" s="1"/>
      <c r="T58" s="1">
        <f>SUM(OSRRefT22_9x_0)</f>
        <v>0</v>
      </c>
      <c r="U58" s="1"/>
      <c r="V58" s="5">
        <f t="shared" si="33"/>
        <v>0</v>
      </c>
      <c r="W58" s="1"/>
      <c r="X58" s="1">
        <f t="shared" si="34"/>
        <v>0</v>
      </c>
      <c r="Y58" s="1"/>
      <c r="Z58" s="5">
        <f t="shared" si="35"/>
        <v>0</v>
      </c>
    </row>
    <row r="59" spans="1:26" s="24" customFormat="1" hidden="1" outlineLevel="2" x14ac:dyDescent="0.25">
      <c r="A59" s="27"/>
      <c r="B59" s="12" t="str">
        <f>CONCATENATE("          ", "6235", " - ", "COVID-19 EXPENSES")</f>
        <v xml:space="preserve">          6235 - COVID-19 EXPENSES</v>
      </c>
      <c r="C59" s="12"/>
      <c r="D59" s="7"/>
      <c r="E59" s="3"/>
      <c r="F59" s="8">
        <f t="shared" si="28"/>
        <v>0</v>
      </c>
      <c r="G59" s="3"/>
      <c r="H59" s="7">
        <v>0</v>
      </c>
      <c r="I59" s="3"/>
      <c r="J59" s="8">
        <f t="shared" si="29"/>
        <v>0</v>
      </c>
      <c r="K59" s="3"/>
      <c r="L59" s="7">
        <f t="shared" si="30"/>
        <v>0</v>
      </c>
      <c r="M59" s="3"/>
      <c r="N59" s="8">
        <f t="shared" si="31"/>
        <v>0</v>
      </c>
      <c r="O59" s="12"/>
      <c r="P59" s="7"/>
      <c r="Q59" s="3"/>
      <c r="R59" s="8">
        <f t="shared" si="32"/>
        <v>0</v>
      </c>
      <c r="S59" s="3"/>
      <c r="T59" s="7">
        <v>0</v>
      </c>
      <c r="U59" s="3"/>
      <c r="V59" s="8">
        <f t="shared" si="33"/>
        <v>0</v>
      </c>
      <c r="W59" s="3"/>
      <c r="X59" s="7">
        <f t="shared" si="34"/>
        <v>0</v>
      </c>
      <c r="Y59" s="3"/>
      <c r="Z59" s="8">
        <f t="shared" si="35"/>
        <v>0</v>
      </c>
    </row>
    <row r="60" spans="1:26" s="24" customFormat="1" hidden="1" outlineLevel="2" x14ac:dyDescent="0.25">
      <c r="A60" s="27"/>
      <c r="B60" s="12" t="str">
        <f>CONCATENATE("          ", "6241", " - ", "OFFICE EXPENSE")</f>
        <v xml:space="preserve">          6241 - OFFICE EXPENSE</v>
      </c>
      <c r="C60" s="12"/>
      <c r="D60" s="7"/>
      <c r="E60" s="3"/>
      <c r="F60" s="8">
        <f t="shared" si="28"/>
        <v>0</v>
      </c>
      <c r="G60" s="3"/>
      <c r="H60" s="7">
        <v>0</v>
      </c>
      <c r="I60" s="3"/>
      <c r="J60" s="8">
        <f t="shared" si="29"/>
        <v>0</v>
      </c>
      <c r="K60" s="3"/>
      <c r="L60" s="7">
        <f t="shared" si="30"/>
        <v>0</v>
      </c>
      <c r="M60" s="3"/>
      <c r="N60" s="8">
        <f t="shared" si="31"/>
        <v>0</v>
      </c>
      <c r="O60" s="12"/>
      <c r="P60" s="7"/>
      <c r="Q60" s="3"/>
      <c r="R60" s="8">
        <f t="shared" si="32"/>
        <v>0</v>
      </c>
      <c r="S60" s="3"/>
      <c r="T60" s="7">
        <v>0</v>
      </c>
      <c r="U60" s="3"/>
      <c r="V60" s="8">
        <f t="shared" si="33"/>
        <v>0</v>
      </c>
      <c r="W60" s="3"/>
      <c r="X60" s="7">
        <f t="shared" si="34"/>
        <v>0</v>
      </c>
      <c r="Y60" s="3"/>
      <c r="Z60" s="8">
        <f t="shared" si="35"/>
        <v>0</v>
      </c>
    </row>
    <row r="61" spans="1:26" s="24" customFormat="1" hidden="1" outlineLevel="2" x14ac:dyDescent="0.25">
      <c r="A61" s="27"/>
      <c r="B61" s="12" t="str">
        <f>CONCATENATE("          ", "6247", " - ", "STORE SUPPLIES")</f>
        <v xml:space="preserve">          6247 - STORE SUPPLIES</v>
      </c>
      <c r="C61" s="12"/>
      <c r="D61" s="7"/>
      <c r="E61" s="3"/>
      <c r="F61" s="8">
        <f t="shared" si="28"/>
        <v>0</v>
      </c>
      <c r="G61" s="3"/>
      <c r="H61" s="7">
        <v>0</v>
      </c>
      <c r="I61" s="3"/>
      <c r="J61" s="8">
        <f t="shared" si="29"/>
        <v>0</v>
      </c>
      <c r="K61" s="3"/>
      <c r="L61" s="7">
        <f t="shared" si="30"/>
        <v>0</v>
      </c>
      <c r="M61" s="3"/>
      <c r="N61" s="8">
        <f t="shared" si="31"/>
        <v>0</v>
      </c>
      <c r="O61" s="12"/>
      <c r="P61" s="7"/>
      <c r="Q61" s="3"/>
      <c r="R61" s="8">
        <f t="shared" si="32"/>
        <v>0</v>
      </c>
      <c r="S61" s="3"/>
      <c r="T61" s="7">
        <v>0</v>
      </c>
      <c r="U61" s="3"/>
      <c r="V61" s="8">
        <f t="shared" si="33"/>
        <v>0</v>
      </c>
      <c r="W61" s="3"/>
      <c r="X61" s="7">
        <f t="shared" si="34"/>
        <v>0</v>
      </c>
      <c r="Y61" s="3"/>
      <c r="Z61" s="8">
        <f t="shared" si="35"/>
        <v>0</v>
      </c>
    </row>
    <row r="62" spans="1:26" s="29" customFormat="1" outlineLevel="1" collapsed="1" x14ac:dyDescent="0.25">
      <c r="A62" s="28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SUM(OSRRefD22_10x_0)</f>
        <v>0</v>
      </c>
      <c r="E62" s="1"/>
      <c r="F62" s="5">
        <f t="shared" ref="F62:F67" si="36">IF(D$12=0,0,D62/D$12)</f>
        <v>0</v>
      </c>
      <c r="G62" s="1"/>
      <c r="H62" s="1">
        <f>SUM(OSRRefH22_10x_0)</f>
        <v>0</v>
      </c>
      <c r="I62" s="1"/>
      <c r="J62" s="5">
        <f t="shared" ref="J62:J67" si="37">IF(H$12=0,0,H62/H$12)</f>
        <v>0</v>
      </c>
      <c r="K62" s="1"/>
      <c r="L62" s="1">
        <f t="shared" ref="L62:L67" si="38">+D62-H62</f>
        <v>0</v>
      </c>
      <c r="M62" s="1"/>
      <c r="N62" s="5">
        <f t="shared" ref="N62:N67" si="39">IF(H62=0,0,L62/H62)</f>
        <v>0</v>
      </c>
      <c r="O62" s="14"/>
      <c r="P62" s="1">
        <f>SUM(OSRRefP22_10x_0)</f>
        <v>0</v>
      </c>
      <c r="Q62" s="1"/>
      <c r="R62" s="5">
        <f t="shared" ref="R62:R67" si="40">IF(P$12=0,0,P62/P$12)</f>
        <v>0</v>
      </c>
      <c r="S62" s="1"/>
      <c r="T62" s="1">
        <f>SUM(OSRRefT22_10x_0)</f>
        <v>0</v>
      </c>
      <c r="U62" s="1"/>
      <c r="V62" s="5">
        <f t="shared" ref="V62:V67" si="41">IF(T$12=0,0,T62/T$12)</f>
        <v>0</v>
      </c>
      <c r="W62" s="1"/>
      <c r="X62" s="1">
        <f t="shared" ref="X62:X67" si="42">+P62-T62</f>
        <v>0</v>
      </c>
      <c r="Y62" s="1"/>
      <c r="Z62" s="5">
        <f t="shared" ref="Z62:Z67" si="43">IF(T62=0,0,X62/T62)</f>
        <v>0</v>
      </c>
    </row>
    <row r="63" spans="1:26" s="24" customFormat="1" hidden="1" outlineLevel="2" x14ac:dyDescent="0.25">
      <c r="A63" s="27"/>
      <c r="B63" s="12" t="str">
        <f>CONCATENATE("          ", "6309", " - ", "TELEPHONE")</f>
        <v xml:space="preserve">          6309 - TELEPHONE</v>
      </c>
      <c r="C63" s="12"/>
      <c r="D63" s="7"/>
      <c r="E63" s="3"/>
      <c r="F63" s="8">
        <f t="shared" si="36"/>
        <v>0</v>
      </c>
      <c r="G63" s="3"/>
      <c r="H63" s="7">
        <v>0</v>
      </c>
      <c r="I63" s="3"/>
      <c r="J63" s="8">
        <f t="shared" si="37"/>
        <v>0</v>
      </c>
      <c r="K63" s="3"/>
      <c r="L63" s="7">
        <f t="shared" si="38"/>
        <v>0</v>
      </c>
      <c r="M63" s="3"/>
      <c r="N63" s="8">
        <f t="shared" si="39"/>
        <v>0</v>
      </c>
      <c r="O63" s="12"/>
      <c r="P63" s="7"/>
      <c r="Q63" s="3"/>
      <c r="R63" s="8">
        <f t="shared" si="40"/>
        <v>0</v>
      </c>
      <c r="S63" s="3"/>
      <c r="T63" s="7">
        <v>0</v>
      </c>
      <c r="U63" s="3"/>
      <c r="V63" s="8">
        <f t="shared" si="41"/>
        <v>0</v>
      </c>
      <c r="W63" s="3"/>
      <c r="X63" s="7">
        <f t="shared" si="42"/>
        <v>0</v>
      </c>
      <c r="Y63" s="3"/>
      <c r="Z63" s="8">
        <f t="shared" si="43"/>
        <v>0</v>
      </c>
    </row>
    <row r="64" spans="1:26" s="29" customFormat="1" outlineLevel="1" collapsed="1" x14ac:dyDescent="0.25">
      <c r="A64" s="28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SUM(OSRRefD22_11x_0)</f>
        <v>0</v>
      </c>
      <c r="E64" s="1"/>
      <c r="F64" s="5">
        <f t="shared" si="36"/>
        <v>0</v>
      </c>
      <c r="G64" s="1"/>
      <c r="H64" s="1">
        <f>SUM(OSRRefH22_11x_0)</f>
        <v>0</v>
      </c>
      <c r="I64" s="1"/>
      <c r="J64" s="5">
        <f t="shared" si="37"/>
        <v>0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SUM(OSRRefP22_11x_0)</f>
        <v>0</v>
      </c>
      <c r="Q64" s="1"/>
      <c r="R64" s="5">
        <f t="shared" si="40"/>
        <v>0</v>
      </c>
      <c r="S64" s="1"/>
      <c r="T64" s="1">
        <f>SUM(OSRRefT22_11x_0)</f>
        <v>0</v>
      </c>
      <c r="U64" s="1"/>
      <c r="V64" s="5">
        <f t="shared" si="41"/>
        <v>0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25">
      <c r="A65" s="27"/>
      <c r="B65" s="12" t="str">
        <f>CONCATENATE("          ", "6376", " - ", "TRAINING")</f>
        <v xml:space="preserve">          6376 - TRAINING</v>
      </c>
      <c r="C65" s="12"/>
      <c r="D65" s="7"/>
      <c r="E65" s="3"/>
      <c r="F65" s="8">
        <f t="shared" si="36"/>
        <v>0</v>
      </c>
      <c r="G65" s="3"/>
      <c r="H65" s="7">
        <v>0</v>
      </c>
      <c r="I65" s="3"/>
      <c r="J65" s="8">
        <f t="shared" si="37"/>
        <v>0</v>
      </c>
      <c r="K65" s="3"/>
      <c r="L65" s="7">
        <f t="shared" si="38"/>
        <v>0</v>
      </c>
      <c r="M65" s="3"/>
      <c r="N65" s="8">
        <f t="shared" si="39"/>
        <v>0</v>
      </c>
      <c r="O65" s="12"/>
      <c r="P65" s="7"/>
      <c r="Q65" s="3"/>
      <c r="R65" s="8">
        <f t="shared" si="40"/>
        <v>0</v>
      </c>
      <c r="S65" s="3"/>
      <c r="T65" s="7">
        <v>0</v>
      </c>
      <c r="U65" s="3"/>
      <c r="V65" s="8">
        <f t="shared" si="41"/>
        <v>0</v>
      </c>
      <c r="W65" s="3"/>
      <c r="X65" s="7">
        <f t="shared" si="42"/>
        <v>0</v>
      </c>
      <c r="Y65" s="3"/>
      <c r="Z65" s="8">
        <f t="shared" si="43"/>
        <v>0</v>
      </c>
    </row>
    <row r="66" spans="1:26" s="29" customFormat="1" outlineLevel="1" collapsed="1" x14ac:dyDescent="0.25">
      <c r="A66" s="28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SUM(OSRRefD22_12x_0)</f>
        <v>0</v>
      </c>
      <c r="E66" s="1"/>
      <c r="F66" s="5">
        <f t="shared" si="36"/>
        <v>0</v>
      </c>
      <c r="G66" s="1"/>
      <c r="H66" s="1">
        <f>SUM(OSRRefH22_12x_0)</f>
        <v>0</v>
      </c>
      <c r="I66" s="1"/>
      <c r="J66" s="5">
        <f t="shared" si="37"/>
        <v>0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SUM(OSRRefP22_12x_0)</f>
        <v>0</v>
      </c>
      <c r="Q66" s="1"/>
      <c r="R66" s="5">
        <f t="shared" si="40"/>
        <v>0</v>
      </c>
      <c r="S66" s="1"/>
      <c r="T66" s="1">
        <f>SUM(OSRRefT22_12x_0)</f>
        <v>0</v>
      </c>
      <c r="U66" s="1"/>
      <c r="V66" s="5">
        <f t="shared" si="41"/>
        <v>0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25">
      <c r="A67" s="27"/>
      <c r="B67" s="12" t="str">
        <f>CONCATENATE("          ", "6292", " - ", "TRAVEL/CONFERENCE")</f>
        <v xml:space="preserve">          6292 - TRAVEL/CONFERENCE</v>
      </c>
      <c r="C67" s="12"/>
      <c r="D67" s="7"/>
      <c r="E67" s="3"/>
      <c r="F67" s="8">
        <f t="shared" si="36"/>
        <v>0</v>
      </c>
      <c r="G67" s="3"/>
      <c r="H67" s="7">
        <v>0</v>
      </c>
      <c r="I67" s="3"/>
      <c r="J67" s="8">
        <f t="shared" si="37"/>
        <v>0</v>
      </c>
      <c r="K67" s="3"/>
      <c r="L67" s="7">
        <f t="shared" si="38"/>
        <v>0</v>
      </c>
      <c r="M67" s="3"/>
      <c r="N67" s="8">
        <f t="shared" si="39"/>
        <v>0</v>
      </c>
      <c r="O67" s="12"/>
      <c r="P67" s="7"/>
      <c r="Q67" s="3"/>
      <c r="R67" s="8">
        <f t="shared" si="40"/>
        <v>0</v>
      </c>
      <c r="S67" s="3"/>
      <c r="T67" s="7">
        <v>0</v>
      </c>
      <c r="U67" s="3"/>
      <c r="V67" s="8">
        <f t="shared" si="41"/>
        <v>0</v>
      </c>
      <c r="W67" s="3"/>
      <c r="X67" s="7">
        <f t="shared" si="42"/>
        <v>0</v>
      </c>
      <c r="Y67" s="3"/>
      <c r="Z67" s="8">
        <f t="shared" si="43"/>
        <v>0</v>
      </c>
    </row>
    <row r="68" spans="1:26" s="54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2" customFormat="1" x14ac:dyDescent="0.25">
      <c r="A69" s="10"/>
      <c r="B69" s="26" t="s">
        <v>0</v>
      </c>
      <c r="C69" s="10"/>
      <c r="D69" s="4">
        <f>SUM(0)</f>
        <v>0</v>
      </c>
      <c r="E69" s="4"/>
      <c r="F69" s="11">
        <f>IF(D$12=0,0,D69/D$12)</f>
        <v>0</v>
      </c>
      <c r="G69" s="4"/>
      <c r="H69" s="4">
        <f>SUM(0)</f>
        <v>0</v>
      </c>
      <c r="I69" s="4"/>
      <c r="J69" s="11">
        <f>IF(H$12=0,0,H69/H$12)</f>
        <v>0</v>
      </c>
      <c r="K69" s="4"/>
      <c r="L69" s="4">
        <f>+D69-H69</f>
        <v>0</v>
      </c>
      <c r="M69" s="4"/>
      <c r="N69" s="11">
        <f>IF(H69=0,0,L69/H69)</f>
        <v>0</v>
      </c>
      <c r="O69" s="10"/>
      <c r="P69" s="4">
        <f>SUM(0)</f>
        <v>0</v>
      </c>
      <c r="Q69" s="4"/>
      <c r="R69" s="11">
        <f>IF(P$12=0,0,P69/P$12)</f>
        <v>0</v>
      </c>
      <c r="S69" s="4"/>
      <c r="T69" s="4">
        <f>SUM(0)</f>
        <v>0</v>
      </c>
      <c r="U69" s="4"/>
      <c r="V69" s="11">
        <f>IF(T$12=0,0,T69/T$12)</f>
        <v>0</v>
      </c>
      <c r="W69" s="4"/>
      <c r="X69" s="4">
        <f>+P69-T69</f>
        <v>0</v>
      </c>
      <c r="Y69" s="4"/>
      <c r="Z69" s="11">
        <f>IF(T69=0,0,X69/T69)</f>
        <v>0</v>
      </c>
    </row>
    <row r="70" spans="1:26" x14ac:dyDescent="0.25">
      <c r="A70" s="9"/>
      <c r="B70" s="10"/>
      <c r="C70" s="10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10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2" customFormat="1" x14ac:dyDescent="0.25">
      <c r="A71" s="10"/>
      <c r="B71" s="25" t="s">
        <v>3</v>
      </c>
      <c r="C71" s="25"/>
      <c r="D71" s="21">
        <f>+D20-D22+D69</f>
        <v>-1699.65</v>
      </c>
      <c r="E71" s="13"/>
      <c r="F71" s="20">
        <f>IF(D$12=0,0,D71/D$12)</f>
        <v>-1.743391697695172</v>
      </c>
      <c r="G71" s="13"/>
      <c r="H71" s="21">
        <f>+H20-H22+H69</f>
        <v>-1972</v>
      </c>
      <c r="I71" s="13"/>
      <c r="J71" s="20">
        <f>IF(H$12=0,0,H71/H$12)</f>
        <v>0</v>
      </c>
      <c r="K71" s="15"/>
      <c r="L71" s="21">
        <f>+D71-H71</f>
        <v>272.34999999999991</v>
      </c>
      <c r="M71" s="15"/>
      <c r="N71" s="20">
        <f>IF(H71=0,0,L71/H71)</f>
        <v>-0.13810851926977682</v>
      </c>
      <c r="O71" s="26"/>
      <c r="P71" s="21">
        <f>+P20-P22+P69</f>
        <v>-1699.65</v>
      </c>
      <c r="Q71" s="13"/>
      <c r="R71" s="20">
        <f>IF(P$12=0,0,P71/P$12)</f>
        <v>-1.743391697695172</v>
      </c>
      <c r="S71" s="13"/>
      <c r="T71" s="21">
        <f>+T20-T22+T69</f>
        <v>-1972</v>
      </c>
      <c r="U71" s="13"/>
      <c r="V71" s="20">
        <f>IF(T$12=0,0,T71/T$12)</f>
        <v>0</v>
      </c>
      <c r="W71" s="15"/>
      <c r="X71" s="21">
        <f>+P71-T71</f>
        <v>272.34999999999991</v>
      </c>
      <c r="Y71" s="15"/>
      <c r="Z71" s="20">
        <f>IF(T71=0,0,X71/T71)</f>
        <v>-0.13810851926977682</v>
      </c>
    </row>
    <row r="72" spans="1:26" x14ac:dyDescent="0.25">
      <c r="A72" s="9"/>
      <c r="B72" s="10"/>
      <c r="C72" s="9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2" customFormat="1" x14ac:dyDescent="0.25">
      <c r="A73" s="52"/>
      <c r="B73" s="10" t="s">
        <v>14</v>
      </c>
      <c r="C73" s="10"/>
      <c r="D73" s="4">
        <v>468.88</v>
      </c>
      <c r="E73" s="4"/>
      <c r="F73" s="11">
        <f>IF(D$12=0,0,D73/D$12)</f>
        <v>0.48094695920649089</v>
      </c>
      <c r="G73" s="4"/>
      <c r="H73" s="4"/>
      <c r="I73" s="4"/>
      <c r="J73" s="11">
        <f>IF(H$12=0,0,H73/H$12)</f>
        <v>0</v>
      </c>
      <c r="K73" s="4"/>
      <c r="L73" s="4">
        <f>+D73-H73</f>
        <v>468.88</v>
      </c>
      <c r="M73" s="4"/>
      <c r="N73" s="11">
        <f>IF(H73=0,0,L73/H73)</f>
        <v>0</v>
      </c>
      <c r="O73" s="10"/>
      <c r="P73" s="4">
        <v>468.88</v>
      </c>
      <c r="Q73" s="4"/>
      <c r="R73" s="11">
        <f>IF(P$12=0,0,P73/P$12)</f>
        <v>0.48094695920649089</v>
      </c>
      <c r="S73" s="4"/>
      <c r="T73" s="4"/>
      <c r="U73" s="4"/>
      <c r="V73" s="11">
        <f>IF(T$12=0,0,T73/T$12)</f>
        <v>0</v>
      </c>
      <c r="W73" s="4"/>
      <c r="X73" s="4">
        <f>+P73-T73</f>
        <v>468.88</v>
      </c>
      <c r="Y73" s="4"/>
      <c r="Z73" s="11">
        <f>IF(T73=0,0,X73/T73)</f>
        <v>0</v>
      </c>
    </row>
    <row r="74" spans="1:26" x14ac:dyDescent="0.25">
      <c r="A74" s="9"/>
      <c r="B74" s="10"/>
      <c r="C74" s="10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10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2" customFormat="1" ht="15.75" thickBot="1" x14ac:dyDescent="0.3">
      <c r="A75" s="10"/>
      <c r="B75" s="25" t="s">
        <v>4</v>
      </c>
      <c r="C75" s="25"/>
      <c r="D75" s="34">
        <f>+D71-D73</f>
        <v>-2168.5300000000002</v>
      </c>
      <c r="E75" s="13"/>
      <c r="F75" s="30">
        <f>IF(D$12=0,0,D75/D$12)</f>
        <v>-2.2243386569016632</v>
      </c>
      <c r="G75" s="13"/>
      <c r="H75" s="34">
        <f>+H71-H73</f>
        <v>-1972</v>
      </c>
      <c r="I75" s="13"/>
      <c r="J75" s="30">
        <f>IF(H$12=0,0,H75/H$12)</f>
        <v>0</v>
      </c>
      <c r="K75" s="15"/>
      <c r="L75" s="34">
        <f>D75-H75</f>
        <v>-196.5300000000002</v>
      </c>
      <c r="M75" s="15"/>
      <c r="N75" s="30">
        <f>IF(H75=0,0,L75/H75)</f>
        <v>9.9660243407708016E-2</v>
      </c>
      <c r="O75" s="26"/>
      <c r="P75" s="34">
        <f>+P71-P73</f>
        <v>-2168.5300000000002</v>
      </c>
      <c r="Q75" s="13"/>
      <c r="R75" s="30">
        <f>IF(P$12=0,0,P75/P$12)</f>
        <v>-2.2243386569016632</v>
      </c>
      <c r="S75" s="13"/>
      <c r="T75" s="34">
        <f>+T71-T73</f>
        <v>-1972</v>
      </c>
      <c r="U75" s="13"/>
      <c r="V75" s="30">
        <f>IF(T$12=0,0,T75/T$12)</f>
        <v>0</v>
      </c>
      <c r="W75" s="15"/>
      <c r="X75" s="34">
        <f>P75-T75</f>
        <v>-196.5300000000002</v>
      </c>
      <c r="Y75" s="15"/>
      <c r="Z75" s="30">
        <f>IF(T75=0,0,X75/T75)</f>
        <v>9.9660243407708016E-2</v>
      </c>
    </row>
    <row r="76" spans="1:26" ht="15.75" thickTop="1" x14ac:dyDescent="0.25">
      <c r="A76" s="9"/>
      <c r="B76" s="9"/>
      <c r="C76" s="9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x14ac:dyDescent="0.25">
      <c r="A77" s="9"/>
      <c r="B77" s="9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2" customFormat="1" ht="15.75" thickBot="1" x14ac:dyDescent="0.3">
      <c r="A78" s="10"/>
      <c r="B78" s="25" t="s">
        <v>5</v>
      </c>
      <c r="C78" s="25"/>
      <c r="D78" s="32">
        <f>SUM(D75:D77)</f>
        <v>-2168.5300000000002</v>
      </c>
      <c r="E78" s="13"/>
      <c r="F78" s="33">
        <f>IF(D$12=0,0,D78/D$12)</f>
        <v>-2.2243386569016632</v>
      </c>
      <c r="G78" s="13"/>
      <c r="H78" s="32">
        <f>SUM(H75:H77)</f>
        <v>-1972</v>
      </c>
      <c r="I78" s="13"/>
      <c r="J78" s="33">
        <f>IF(H$12=0,0,H78/H$12)</f>
        <v>0</v>
      </c>
      <c r="K78" s="15"/>
      <c r="L78" s="32">
        <f>+D78-H78</f>
        <v>-196.5300000000002</v>
      </c>
      <c r="M78" s="15"/>
      <c r="N78" s="33">
        <f>IF(H78=0,0,L78/H78)</f>
        <v>9.9660243407708016E-2</v>
      </c>
      <c r="O78" s="26"/>
      <c r="P78" s="32">
        <f>SUM(P75:P77)</f>
        <v>-2168.5300000000002</v>
      </c>
      <c r="Q78" s="13"/>
      <c r="R78" s="33">
        <f>IF(P$12=0,0,P78/P$12)</f>
        <v>-2.2243386569016632</v>
      </c>
      <c r="S78" s="13"/>
      <c r="T78" s="32">
        <f>SUM(T75:T77)</f>
        <v>-1972</v>
      </c>
      <c r="U78" s="13"/>
      <c r="V78" s="33">
        <f>IF(T$12=0,0,T78/T$12)</f>
        <v>0</v>
      </c>
      <c r="W78" s="15"/>
      <c r="X78" s="32">
        <f>+P78-T78</f>
        <v>-196.5300000000002</v>
      </c>
      <c r="Y78" s="15"/>
      <c r="Z78" s="33">
        <f>IF(T78=0,0,X78/T78)</f>
        <v>9.9660243407708016E-2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8">
        <v>44104.686334062499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6" t="s">
        <v>314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62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","415", " - ", "Outpost")</f>
        <v>Department 415 - Outpost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4335</v>
      </c>
      <c r="I12" s="4"/>
      <c r="J12" s="11"/>
      <c r="K12" s="4"/>
      <c r="L12" s="4">
        <f t="shared" ref="L12:L14" si="0">+D12-H12</f>
        <v>-4335</v>
      </c>
      <c r="M12" s="4"/>
      <c r="N12" s="11">
        <f t="shared" ref="N12:N14" si="1">IF(H12=0,0,L12/H12)</f>
        <v>-1</v>
      </c>
      <c r="O12" s="10"/>
      <c r="P12" s="4">
        <f>SUM(OSRRefP13x_0)</f>
        <v>0</v>
      </c>
      <c r="Q12" s="4"/>
      <c r="R12" s="11"/>
      <c r="S12" s="4"/>
      <c r="T12" s="4">
        <f>SUM(OSRRefT13x_0)</f>
        <v>4335</v>
      </c>
      <c r="U12" s="4"/>
      <c r="V12" s="11"/>
      <c r="W12" s="4"/>
      <c r="X12" s="4">
        <f t="shared" ref="X12:X14" si="2">+P12-T12</f>
        <v>-4335</v>
      </c>
      <c r="Y12" s="4"/>
      <c r="Z12" s="11">
        <f t="shared" ref="Z12:Z14" si="3">IF(T12=0,0,X12/T12)</f>
        <v>-1</v>
      </c>
    </row>
    <row r="13" spans="1:26" s="24" customFormat="1" hidden="1" outlineLevel="1" x14ac:dyDescent="0.25">
      <c r="A13" s="51"/>
      <c r="B13" s="12" t="str">
        <f>CONCATENATE("          ", "4000", " - ", "TAXABLE SALES")</f>
        <v xml:space="preserve">          4000 - TAXABLE SALES</v>
      </c>
      <c r="C13" s="12"/>
      <c r="D13" s="3">
        <f t="shared" ref="D13:D14" si="4">0</f>
        <v>0</v>
      </c>
      <c r="E13" s="3"/>
      <c r="F13" s="23"/>
      <c r="G13" s="3"/>
      <c r="H13" s="3">
        <v>1348</v>
      </c>
      <c r="I13" s="3"/>
      <c r="J13" s="23"/>
      <c r="K13" s="3"/>
      <c r="L13" s="3">
        <f t="shared" si="0"/>
        <v>-1348</v>
      </c>
      <c r="M13" s="3"/>
      <c r="N13" s="23">
        <f t="shared" si="1"/>
        <v>-1</v>
      </c>
      <c r="O13" s="12"/>
      <c r="P13" s="3">
        <f t="shared" ref="P13:P14" si="5">0</f>
        <v>0</v>
      </c>
      <c r="Q13" s="3"/>
      <c r="R13" s="23"/>
      <c r="S13" s="3"/>
      <c r="T13" s="3">
        <v>1348</v>
      </c>
      <c r="U13" s="3"/>
      <c r="V13" s="23"/>
      <c r="W13" s="3"/>
      <c r="X13" s="3">
        <f t="shared" si="2"/>
        <v>-1348</v>
      </c>
      <c r="Y13" s="3"/>
      <c r="Z13" s="23">
        <f t="shared" si="3"/>
        <v>-1</v>
      </c>
    </row>
    <row r="14" spans="1:26" s="24" customFormat="1" hidden="1" outlineLevel="1" x14ac:dyDescent="0.25">
      <c r="A14" s="51"/>
      <c r="B14" s="12" t="str">
        <f>CONCATENATE("          ", "4100", " - ", "NON-TAXABLE SALES")</f>
        <v xml:space="preserve">          4100 - NON-TAXABLE SALES</v>
      </c>
      <c r="C14" s="12"/>
      <c r="D14" s="3">
        <f t="shared" si="4"/>
        <v>0</v>
      </c>
      <c r="E14" s="3"/>
      <c r="F14" s="23"/>
      <c r="G14" s="3"/>
      <c r="H14" s="3">
        <v>2987</v>
      </c>
      <c r="I14" s="3"/>
      <c r="J14" s="23"/>
      <c r="K14" s="3"/>
      <c r="L14" s="3">
        <f t="shared" si="0"/>
        <v>-2987</v>
      </c>
      <c r="M14" s="3"/>
      <c r="N14" s="23">
        <f t="shared" si="1"/>
        <v>-1</v>
      </c>
      <c r="O14" s="12"/>
      <c r="P14" s="3">
        <f t="shared" si="5"/>
        <v>0</v>
      </c>
      <c r="Q14" s="3"/>
      <c r="R14" s="23"/>
      <c r="S14" s="3"/>
      <c r="T14" s="3">
        <v>2987</v>
      </c>
      <c r="U14" s="3"/>
      <c r="V14" s="23"/>
      <c r="W14" s="3"/>
      <c r="X14" s="3">
        <f t="shared" si="2"/>
        <v>-2987</v>
      </c>
      <c r="Y14" s="3"/>
      <c r="Z14" s="23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1">
        <f t="shared" ref="F16:F17" si="6">IF(D$12=0,0,D16/D$12)</f>
        <v>0</v>
      </c>
      <c r="G16" s="4"/>
      <c r="H16" s="4">
        <f>SUM(OSRRefH16x_0)</f>
        <v>1040</v>
      </c>
      <c r="I16" s="4"/>
      <c r="J16" s="11">
        <f t="shared" ref="J16:J17" si="7">IF(H$12=0,0,H16/H$12)</f>
        <v>0.23990772779700115</v>
      </c>
      <c r="K16" s="4"/>
      <c r="L16" s="4">
        <f t="shared" ref="L16:L17" si="8">+D16-H16</f>
        <v>-1040</v>
      </c>
      <c r="M16" s="4"/>
      <c r="N16" s="11">
        <f t="shared" ref="N16:N17" si="9">IF(H16=0,0,L16/H16)</f>
        <v>-1</v>
      </c>
      <c r="O16" s="10"/>
      <c r="P16" s="4">
        <f>SUM(OSRRefP16x_0)</f>
        <v>0</v>
      </c>
      <c r="Q16" s="4"/>
      <c r="R16" s="11">
        <f t="shared" ref="R16:R17" si="10">IF(P$12=0,0,P16/P$12)</f>
        <v>0</v>
      </c>
      <c r="S16" s="4"/>
      <c r="T16" s="4">
        <f>SUM(OSRRefT16x_0)</f>
        <v>1040</v>
      </c>
      <c r="U16" s="4"/>
      <c r="V16" s="11">
        <f t="shared" ref="V16:V17" si="11">IF(T$12=0,0,T16/T$12)</f>
        <v>0.23990772779700115</v>
      </c>
      <c r="W16" s="4"/>
      <c r="X16" s="4">
        <f t="shared" ref="X16:X17" si="12">+P16-T16</f>
        <v>-1040</v>
      </c>
      <c r="Y16" s="4"/>
      <c r="Z16" s="11">
        <f t="shared" ref="Z16:Z17" si="13">IF(T16=0,0,X16/T16)</f>
        <v>-1</v>
      </c>
    </row>
    <row r="17" spans="1:26" s="24" customFormat="1" hidden="1" outlineLevel="1" x14ac:dyDescent="0.25">
      <c r="A17" s="51"/>
      <c r="B17" s="12" t="str">
        <f>CONCATENATE("          ", "5000", " - ", "PURCHASES @ COST")</f>
        <v xml:space="preserve">          5000 - PURCHASES @ COST</v>
      </c>
      <c r="C17" s="12"/>
      <c r="D17" s="3"/>
      <c r="E17" s="3"/>
      <c r="F17" s="23">
        <f t="shared" si="6"/>
        <v>0</v>
      </c>
      <c r="G17" s="3"/>
      <c r="H17" s="3">
        <v>1040</v>
      </c>
      <c r="I17" s="3"/>
      <c r="J17" s="23">
        <f t="shared" si="7"/>
        <v>0.23990772779700115</v>
      </c>
      <c r="K17" s="3"/>
      <c r="L17" s="3">
        <f t="shared" si="8"/>
        <v>-1040</v>
      </c>
      <c r="M17" s="3"/>
      <c r="N17" s="23">
        <f t="shared" si="9"/>
        <v>-1</v>
      </c>
      <c r="O17" s="12"/>
      <c r="P17" s="3"/>
      <c r="Q17" s="3"/>
      <c r="R17" s="23">
        <f t="shared" si="10"/>
        <v>0</v>
      </c>
      <c r="S17" s="3"/>
      <c r="T17" s="3">
        <v>1040</v>
      </c>
      <c r="U17" s="3"/>
      <c r="V17" s="23">
        <f t="shared" si="11"/>
        <v>0.23990772779700115</v>
      </c>
      <c r="W17" s="3"/>
      <c r="X17" s="3">
        <f t="shared" si="12"/>
        <v>-1040</v>
      </c>
      <c r="Y17" s="3"/>
      <c r="Z17" s="23">
        <f t="shared" si="13"/>
        <v>-1</v>
      </c>
    </row>
    <row r="18" spans="1:26" x14ac:dyDescent="0.25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2" customFormat="1" x14ac:dyDescent="0.25">
      <c r="A19" s="10"/>
      <c r="B19" s="25" t="s">
        <v>6</v>
      </c>
      <c r="C19" s="25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3295</v>
      </c>
      <c r="I19" s="13"/>
      <c r="J19" s="20">
        <f>IF(H$12=0,0,H19/H$12)</f>
        <v>0.7600922722029988</v>
      </c>
      <c r="K19" s="15"/>
      <c r="L19" s="21">
        <f>+D19-H19</f>
        <v>-3295</v>
      </c>
      <c r="M19" s="15"/>
      <c r="N19" s="20">
        <f>IF(H19=0,0,L19/H19)</f>
        <v>-1</v>
      </c>
      <c r="O19" s="26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3295</v>
      </c>
      <c r="U19" s="13"/>
      <c r="V19" s="20">
        <f>IF(T$12=0,0,T19/T$12)</f>
        <v>0.7600922722029988</v>
      </c>
      <c r="W19" s="15"/>
      <c r="X19" s="21">
        <f>+P19-T19</f>
        <v>-3295</v>
      </c>
      <c r="Y19" s="15"/>
      <c r="Z19" s="20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2" customFormat="1" x14ac:dyDescent="0.25">
      <c r="A21" s="10"/>
      <c r="B21" s="26" t="s">
        <v>9</v>
      </c>
      <c r="C21" s="10"/>
      <c r="D21" s="19">
        <f>SUM(OSRRefD22x_0)</f>
        <v>56656.840000000004</v>
      </c>
      <c r="E21" s="19"/>
      <c r="F21" s="31">
        <f t="shared" ref="F21:F31" si="14">IF(D$12=0,0,D21/D$12)</f>
        <v>0</v>
      </c>
      <c r="G21" s="19"/>
      <c r="H21" s="19">
        <f>SUM(OSRRefH22x_0)</f>
        <v>53209.394966365377</v>
      </c>
      <c r="I21" s="19"/>
      <c r="J21" s="31">
        <f t="shared" ref="J21:J31" si="15">IF(H$12=0,0,H21/H$12)</f>
        <v>12.274370234455681</v>
      </c>
      <c r="K21" s="4"/>
      <c r="L21" s="19">
        <f t="shared" ref="L21:L31" si="16">+D21-H21</f>
        <v>3447.4450336346272</v>
      </c>
      <c r="M21" s="4"/>
      <c r="N21" s="31">
        <f t="shared" ref="N21:N31" si="17">IF(H21=0,0,L21/H21)</f>
        <v>6.4790156622036757E-2</v>
      </c>
      <c r="O21" s="10"/>
      <c r="P21" s="19">
        <f>SUM(OSRRefP22x_0)</f>
        <v>56656.840000000004</v>
      </c>
      <c r="Q21" s="19"/>
      <c r="R21" s="31">
        <f t="shared" ref="R21:R31" si="18">IF(P$12=0,0,P21/P$12)</f>
        <v>0</v>
      </c>
      <c r="S21" s="19"/>
      <c r="T21" s="19">
        <f>SUM(OSRRefT22x_0)</f>
        <v>53209.394966365377</v>
      </c>
      <c r="U21" s="19"/>
      <c r="V21" s="31">
        <f t="shared" ref="V21:V31" si="19">IF(T$12=0,0,T21/T$12)</f>
        <v>12.274370234455681</v>
      </c>
      <c r="W21" s="4"/>
      <c r="X21" s="19">
        <f t="shared" ref="X21:X31" si="20">+P21-T21</f>
        <v>3447.4450336346272</v>
      </c>
      <c r="Y21" s="4"/>
      <c r="Z21" s="31">
        <f t="shared" ref="Z21:Z31" si="21">IF(T21=0,0,X21/T21)</f>
        <v>6.4790156622036757E-2</v>
      </c>
    </row>
    <row r="22" spans="1:26" s="29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7755.9</v>
      </c>
      <c r="E22" s="1"/>
      <c r="F22" s="5">
        <f t="shared" si="14"/>
        <v>0</v>
      </c>
      <c r="G22" s="1"/>
      <c r="H22" s="1">
        <f>SUM(OSRRefH22_0x_0)</f>
        <v>6804.0824663653802</v>
      </c>
      <c r="I22" s="1"/>
      <c r="J22" s="5">
        <f t="shared" si="15"/>
        <v>1.569569196393398</v>
      </c>
      <c r="K22" s="1"/>
      <c r="L22" s="1">
        <f t="shared" si="16"/>
        <v>951.81753363461939</v>
      </c>
      <c r="M22" s="1"/>
      <c r="N22" s="5">
        <f t="shared" si="17"/>
        <v>0.13988918246357812</v>
      </c>
      <c r="O22" s="14"/>
      <c r="P22" s="1">
        <f>SUM(OSRRefP22_0x_0)</f>
        <v>7755.9</v>
      </c>
      <c r="Q22" s="1"/>
      <c r="R22" s="5">
        <f t="shared" si="18"/>
        <v>0</v>
      </c>
      <c r="S22" s="1"/>
      <c r="T22" s="1">
        <f>SUM(OSRRefT22_0x_0)</f>
        <v>6804.0824663653802</v>
      </c>
      <c r="U22" s="1"/>
      <c r="V22" s="5">
        <f t="shared" si="19"/>
        <v>1.569569196393398</v>
      </c>
      <c r="W22" s="1"/>
      <c r="X22" s="1">
        <f t="shared" si="20"/>
        <v>951.81753363461939</v>
      </c>
      <c r="Y22" s="1"/>
      <c r="Z22" s="5">
        <f t="shared" si="21"/>
        <v>0.13988918246357812</v>
      </c>
    </row>
    <row r="23" spans="1:26" s="24" customFormat="1" hidden="1" outlineLevel="2" x14ac:dyDescent="0.25">
      <c r="A23" s="27"/>
      <c r="B23" s="12" t="str">
        <f>CONCATENATE("          ", "6111", " - ", "F.I.C.A.")</f>
        <v xml:space="preserve">          6111 - F.I.C.A.</v>
      </c>
      <c r="C23" s="12"/>
      <c r="D23" s="7">
        <v>1011.28</v>
      </c>
      <c r="E23" s="3"/>
      <c r="F23" s="8">
        <f t="shared" si="14"/>
        <v>0</v>
      </c>
      <c r="G23" s="3"/>
      <c r="H23" s="7">
        <v>871.88524425000003</v>
      </c>
      <c r="I23" s="3"/>
      <c r="J23" s="8">
        <f t="shared" si="15"/>
        <v>0.20112693062283737</v>
      </c>
      <c r="K23" s="3"/>
      <c r="L23" s="7">
        <f t="shared" si="16"/>
        <v>139.39475574999994</v>
      </c>
      <c r="M23" s="3"/>
      <c r="N23" s="8">
        <f t="shared" si="17"/>
        <v>0.15987741124109514</v>
      </c>
      <c r="O23" s="12"/>
      <c r="P23" s="7">
        <v>1011.28</v>
      </c>
      <c r="Q23" s="3"/>
      <c r="R23" s="8">
        <f t="shared" si="18"/>
        <v>0</v>
      </c>
      <c r="S23" s="3"/>
      <c r="T23" s="7">
        <v>871.88524425000003</v>
      </c>
      <c r="U23" s="3"/>
      <c r="V23" s="8">
        <f t="shared" si="19"/>
        <v>0.20112693062283737</v>
      </c>
      <c r="W23" s="3"/>
      <c r="X23" s="7">
        <f t="shared" si="20"/>
        <v>139.39475574999994</v>
      </c>
      <c r="Y23" s="3"/>
      <c r="Z23" s="8">
        <f t="shared" si="21"/>
        <v>0.15987741124109514</v>
      </c>
    </row>
    <row r="24" spans="1:26" s="24" customFormat="1" hidden="1" outlineLevel="2" x14ac:dyDescent="0.25">
      <c r="A24" s="27"/>
      <c r="B24" s="12" t="str">
        <f>CONCATENATE("          ", "6112", " - ", "COMPENSATION INSURANCE")</f>
        <v xml:space="preserve">          6112 - COMPENSATION INSURANCE</v>
      </c>
      <c r="C24" s="12"/>
      <c r="D24" s="7">
        <v>443.14</v>
      </c>
      <c r="E24" s="3"/>
      <c r="F24" s="8">
        <f t="shared" si="14"/>
        <v>0</v>
      </c>
      <c r="G24" s="3"/>
      <c r="H24" s="7">
        <v>562.36430249999989</v>
      </c>
      <c r="I24" s="3"/>
      <c r="J24" s="8">
        <f t="shared" si="15"/>
        <v>0.12972648269896192</v>
      </c>
      <c r="K24" s="3"/>
      <c r="L24" s="7">
        <f t="shared" si="16"/>
        <v>-119.22430249999991</v>
      </c>
      <c r="M24" s="3"/>
      <c r="N24" s="8">
        <f t="shared" si="17"/>
        <v>-0.21200545975266616</v>
      </c>
      <c r="O24" s="12"/>
      <c r="P24" s="7">
        <v>443.14</v>
      </c>
      <c r="Q24" s="3"/>
      <c r="R24" s="8">
        <f t="shared" si="18"/>
        <v>0</v>
      </c>
      <c r="S24" s="3"/>
      <c r="T24" s="7">
        <v>562.36430249999989</v>
      </c>
      <c r="U24" s="3"/>
      <c r="V24" s="8">
        <f t="shared" si="19"/>
        <v>0.12972648269896192</v>
      </c>
      <c r="W24" s="3"/>
      <c r="X24" s="7">
        <f t="shared" si="20"/>
        <v>-119.22430249999991</v>
      </c>
      <c r="Y24" s="3"/>
      <c r="Z24" s="8">
        <f t="shared" si="21"/>
        <v>-0.21200545975266616</v>
      </c>
    </row>
    <row r="25" spans="1:26" s="24" customFormat="1" hidden="1" outlineLevel="2" x14ac:dyDescent="0.25">
      <c r="A25" s="27"/>
      <c r="B25" s="12" t="str">
        <f>CONCATENATE("          ", "6113", " - ", "GROUP INSURANCE")</f>
        <v xml:space="preserve">          6113 - GROUP INSURANCE</v>
      </c>
      <c r="C25" s="12"/>
      <c r="D25" s="7">
        <v>3371.81</v>
      </c>
      <c r="E25" s="3"/>
      <c r="F25" s="8">
        <f t="shared" si="14"/>
        <v>0</v>
      </c>
      <c r="G25" s="3"/>
      <c r="H25" s="7">
        <v>3669.6153846153798</v>
      </c>
      <c r="I25" s="3"/>
      <c r="J25" s="8">
        <f t="shared" si="15"/>
        <v>0.84650873924230219</v>
      </c>
      <c r="K25" s="3"/>
      <c r="L25" s="7">
        <f t="shared" si="16"/>
        <v>-297.80538461537981</v>
      </c>
      <c r="M25" s="3"/>
      <c r="N25" s="8">
        <f t="shared" si="17"/>
        <v>-8.1154386332668332E-2</v>
      </c>
      <c r="O25" s="12"/>
      <c r="P25" s="7">
        <v>3371.81</v>
      </c>
      <c r="Q25" s="3"/>
      <c r="R25" s="8">
        <f t="shared" si="18"/>
        <v>0</v>
      </c>
      <c r="S25" s="3"/>
      <c r="T25" s="7">
        <v>3669.6153846153798</v>
      </c>
      <c r="U25" s="3"/>
      <c r="V25" s="8">
        <f t="shared" si="19"/>
        <v>0.84650873924230219</v>
      </c>
      <c r="W25" s="3"/>
      <c r="X25" s="7">
        <f t="shared" si="20"/>
        <v>-297.80538461537981</v>
      </c>
      <c r="Y25" s="3"/>
      <c r="Z25" s="8">
        <f t="shared" si="21"/>
        <v>-8.1154386332668332E-2</v>
      </c>
    </row>
    <row r="26" spans="1:26" s="24" customFormat="1" hidden="1" outlineLevel="2" x14ac:dyDescent="0.25">
      <c r="A26" s="27"/>
      <c r="B26" s="12" t="str">
        <f>CONCATENATE("          ", "6114", " - ", "STATE UNEMPLOYMENT INSURANCE")</f>
        <v xml:space="preserve">          6114 - STATE UNEMPLOYMENT INSURANCE</v>
      </c>
      <c r="C26" s="12"/>
      <c r="D26" s="7">
        <v>47.76</v>
      </c>
      <c r="E26" s="3"/>
      <c r="F26" s="8">
        <f t="shared" si="14"/>
        <v>0</v>
      </c>
      <c r="G26" s="3"/>
      <c r="H26" s="7">
        <v>34.082684999999998</v>
      </c>
      <c r="I26" s="3"/>
      <c r="J26" s="8">
        <f t="shared" si="15"/>
        <v>7.8622110726643598E-3</v>
      </c>
      <c r="K26" s="3"/>
      <c r="L26" s="7">
        <f t="shared" si="16"/>
        <v>13.677315</v>
      </c>
      <c r="M26" s="3"/>
      <c r="N26" s="8">
        <f t="shared" si="17"/>
        <v>0.4012980491413749</v>
      </c>
      <c r="O26" s="12"/>
      <c r="P26" s="7">
        <v>47.76</v>
      </c>
      <c r="Q26" s="3"/>
      <c r="R26" s="8">
        <f t="shared" si="18"/>
        <v>0</v>
      </c>
      <c r="S26" s="3"/>
      <c r="T26" s="7">
        <v>34.082684999999998</v>
      </c>
      <c r="U26" s="3"/>
      <c r="V26" s="8">
        <f t="shared" si="19"/>
        <v>7.8622110726643598E-3</v>
      </c>
      <c r="W26" s="3"/>
      <c r="X26" s="7">
        <f t="shared" si="20"/>
        <v>13.677315</v>
      </c>
      <c r="Y26" s="3"/>
      <c r="Z26" s="8">
        <f t="shared" si="21"/>
        <v>0.4012980491413749</v>
      </c>
    </row>
    <row r="27" spans="1:26" s="24" customFormat="1" hidden="1" outlineLevel="2" x14ac:dyDescent="0.25">
      <c r="A27" s="27"/>
      <c r="B27" s="12" t="str">
        <f>CONCATENATE("          ", "6115", " - ", "P.E.R.S.")</f>
        <v xml:space="preserve">          6115 - P.E.R.S.</v>
      </c>
      <c r="C27" s="12"/>
      <c r="D27" s="7">
        <v>1085.25</v>
      </c>
      <c r="E27" s="3"/>
      <c r="F27" s="8">
        <f t="shared" si="14"/>
        <v>0</v>
      </c>
      <c r="G27" s="3"/>
      <c r="H27" s="7">
        <v>542.72235000000001</v>
      </c>
      <c r="I27" s="3"/>
      <c r="J27" s="8">
        <f t="shared" si="15"/>
        <v>0.12519546712802768</v>
      </c>
      <c r="K27" s="3"/>
      <c r="L27" s="7">
        <f t="shared" si="16"/>
        <v>542.52764999999999</v>
      </c>
      <c r="M27" s="3"/>
      <c r="N27" s="8">
        <f t="shared" si="17"/>
        <v>0.99964125302744578</v>
      </c>
      <c r="O27" s="12"/>
      <c r="P27" s="7">
        <v>1085.25</v>
      </c>
      <c r="Q27" s="3"/>
      <c r="R27" s="8">
        <f t="shared" si="18"/>
        <v>0</v>
      </c>
      <c r="S27" s="3"/>
      <c r="T27" s="7">
        <v>542.72235000000001</v>
      </c>
      <c r="U27" s="3"/>
      <c r="V27" s="8">
        <f t="shared" si="19"/>
        <v>0.12519546712802768</v>
      </c>
      <c r="W27" s="3"/>
      <c r="X27" s="7">
        <f t="shared" si="20"/>
        <v>542.52764999999999</v>
      </c>
      <c r="Y27" s="3"/>
      <c r="Z27" s="8">
        <f t="shared" si="21"/>
        <v>0.99964125302744578</v>
      </c>
    </row>
    <row r="28" spans="1:26" s="24" customFormat="1" hidden="1" outlineLevel="2" x14ac:dyDescent="0.25">
      <c r="A28" s="27"/>
      <c r="B28" s="12" t="str">
        <f>CONCATENATE("          ", "6116", " - ", "EDUCATIONAL BENEFITS")</f>
        <v xml:space="preserve">          6116 - EDUCATIONAL BENEFITS</v>
      </c>
      <c r="C28" s="12"/>
      <c r="D28" s="7"/>
      <c r="E28" s="3"/>
      <c r="F28" s="8">
        <f t="shared" si="14"/>
        <v>0</v>
      </c>
      <c r="G28" s="3"/>
      <c r="H28" s="7">
        <v>0</v>
      </c>
      <c r="I28" s="3"/>
      <c r="J28" s="8">
        <f t="shared" si="15"/>
        <v>0</v>
      </c>
      <c r="K28" s="3"/>
      <c r="L28" s="7">
        <f t="shared" si="16"/>
        <v>0</v>
      </c>
      <c r="M28" s="3"/>
      <c r="N28" s="8">
        <f t="shared" si="17"/>
        <v>0</v>
      </c>
      <c r="O28" s="12"/>
      <c r="P28" s="7"/>
      <c r="Q28" s="3"/>
      <c r="R28" s="8">
        <f t="shared" si="18"/>
        <v>0</v>
      </c>
      <c r="S28" s="3"/>
      <c r="T28" s="7">
        <v>0</v>
      </c>
      <c r="U28" s="3"/>
      <c r="V28" s="8">
        <f t="shared" si="19"/>
        <v>0</v>
      </c>
      <c r="W28" s="3"/>
      <c r="X28" s="7">
        <f t="shared" si="20"/>
        <v>0</v>
      </c>
      <c r="Y28" s="3"/>
      <c r="Z28" s="8">
        <f t="shared" si="21"/>
        <v>0</v>
      </c>
    </row>
    <row r="29" spans="1:26" s="24" customFormat="1" hidden="1" outlineLevel="2" x14ac:dyDescent="0.25">
      <c r="A29" s="27"/>
      <c r="B29" s="12" t="str">
        <f>CONCATENATE("          ", "6118", " - ", "VACATION")</f>
        <v xml:space="preserve">          6118 - VACATION</v>
      </c>
      <c r="C29" s="12"/>
      <c r="D29" s="7">
        <v>915.11</v>
      </c>
      <c r="E29" s="3"/>
      <c r="F29" s="8">
        <f t="shared" si="14"/>
        <v>0</v>
      </c>
      <c r="G29" s="3"/>
      <c r="H29" s="7">
        <v>521.53625</v>
      </c>
      <c r="I29" s="3"/>
      <c r="J29" s="8">
        <f t="shared" si="15"/>
        <v>0.12030824682814302</v>
      </c>
      <c r="K29" s="3"/>
      <c r="L29" s="7">
        <f t="shared" si="16"/>
        <v>393.57375000000002</v>
      </c>
      <c r="M29" s="3"/>
      <c r="N29" s="8">
        <f t="shared" si="17"/>
        <v>0.7546431336268572</v>
      </c>
      <c r="O29" s="12"/>
      <c r="P29" s="7">
        <v>915.11</v>
      </c>
      <c r="Q29" s="3"/>
      <c r="R29" s="8">
        <f t="shared" si="18"/>
        <v>0</v>
      </c>
      <c r="S29" s="3"/>
      <c r="T29" s="7">
        <v>521.53625</v>
      </c>
      <c r="U29" s="3"/>
      <c r="V29" s="8">
        <f t="shared" si="19"/>
        <v>0.12030824682814302</v>
      </c>
      <c r="W29" s="3"/>
      <c r="X29" s="7">
        <f t="shared" si="20"/>
        <v>393.57375000000002</v>
      </c>
      <c r="Y29" s="3"/>
      <c r="Z29" s="8">
        <f t="shared" si="21"/>
        <v>0.7546431336268572</v>
      </c>
    </row>
    <row r="30" spans="1:26" s="24" customFormat="1" hidden="1" outlineLevel="2" x14ac:dyDescent="0.25">
      <c r="A30" s="27"/>
      <c r="B30" s="12" t="str">
        <f>CONCATENATE("          ", "6119", " - ", "SICK LEAVE")</f>
        <v xml:space="preserve">          6119 - SICK LEAVE</v>
      </c>
      <c r="C30" s="12"/>
      <c r="D30" s="7">
        <v>609.79999999999995</v>
      </c>
      <c r="E30" s="3"/>
      <c r="F30" s="8">
        <f t="shared" si="14"/>
        <v>0</v>
      </c>
      <c r="G30" s="3"/>
      <c r="H30" s="7">
        <v>601.87625000000003</v>
      </c>
      <c r="I30" s="3"/>
      <c r="J30" s="8">
        <f t="shared" si="15"/>
        <v>0.13884111880046138</v>
      </c>
      <c r="K30" s="3"/>
      <c r="L30" s="7">
        <f t="shared" si="16"/>
        <v>7.9237499999999272</v>
      </c>
      <c r="M30" s="3"/>
      <c r="N30" s="8">
        <f t="shared" si="17"/>
        <v>1.3165081692457423E-2</v>
      </c>
      <c r="O30" s="12"/>
      <c r="P30" s="7">
        <v>609.79999999999995</v>
      </c>
      <c r="Q30" s="3"/>
      <c r="R30" s="8">
        <f t="shared" si="18"/>
        <v>0</v>
      </c>
      <c r="S30" s="3"/>
      <c r="T30" s="7">
        <v>601.87625000000003</v>
      </c>
      <c r="U30" s="3"/>
      <c r="V30" s="8">
        <f t="shared" si="19"/>
        <v>0.13884111880046138</v>
      </c>
      <c r="W30" s="3"/>
      <c r="X30" s="7">
        <f t="shared" si="20"/>
        <v>7.9237499999999272</v>
      </c>
      <c r="Y30" s="3"/>
      <c r="Z30" s="8">
        <f t="shared" si="21"/>
        <v>1.3165081692457423E-2</v>
      </c>
    </row>
    <row r="31" spans="1:26" s="24" customFormat="1" hidden="1" outlineLevel="2" x14ac:dyDescent="0.25">
      <c r="A31" s="27"/>
      <c r="B31" s="12" t="str">
        <f>CONCATENATE("          ", "6156", " - ", "EMPLOYEE MEALS")</f>
        <v xml:space="preserve">          6156 - EMPLOYEE MEALS</v>
      </c>
      <c r="C31" s="12"/>
      <c r="D31" s="7">
        <v>271.75</v>
      </c>
      <c r="E31" s="3"/>
      <c r="F31" s="8">
        <f t="shared" si="14"/>
        <v>0</v>
      </c>
      <c r="G31" s="3"/>
      <c r="H31" s="7"/>
      <c r="I31" s="3"/>
      <c r="J31" s="8">
        <f t="shared" si="15"/>
        <v>0</v>
      </c>
      <c r="K31" s="3"/>
      <c r="L31" s="7">
        <f t="shared" si="16"/>
        <v>271.75</v>
      </c>
      <c r="M31" s="3"/>
      <c r="N31" s="8">
        <f t="shared" si="17"/>
        <v>0</v>
      </c>
      <c r="O31" s="12"/>
      <c r="P31" s="7">
        <v>271.75</v>
      </c>
      <c r="Q31" s="3"/>
      <c r="R31" s="8">
        <f t="shared" si="18"/>
        <v>0</v>
      </c>
      <c r="S31" s="3"/>
      <c r="T31" s="7"/>
      <c r="U31" s="3"/>
      <c r="V31" s="8">
        <f t="shared" si="19"/>
        <v>0</v>
      </c>
      <c r="W31" s="3"/>
      <c r="X31" s="7">
        <f t="shared" si="20"/>
        <v>271.75</v>
      </c>
      <c r="Y31" s="3"/>
      <c r="Z31" s="8">
        <f t="shared" si="21"/>
        <v>0</v>
      </c>
    </row>
    <row r="32" spans="1:26" s="29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17350.91</v>
      </c>
      <c r="E32" s="1"/>
      <c r="F32" s="5">
        <f t="shared" ref="F32:F42" si="22">IF(D$12=0,0,D32/D$12)</f>
        <v>0</v>
      </c>
      <c r="G32" s="1"/>
      <c r="H32" s="1">
        <f>SUM(OSRRefH22_1x_0)</f>
        <v>11985.3125</v>
      </c>
      <c r="I32" s="1"/>
      <c r="J32" s="5">
        <f t="shared" ref="J32:J42" si="23">IF(H$12=0,0,H32/H$12)</f>
        <v>2.7647779700115342</v>
      </c>
      <c r="K32" s="1"/>
      <c r="L32" s="1">
        <f t="shared" ref="L32:L42" si="24">+D32-H32</f>
        <v>5365.5974999999999</v>
      </c>
      <c r="M32" s="1"/>
      <c r="N32" s="5">
        <f t="shared" ref="N32:N42" si="25">IF(H32=0,0,L32/H32)</f>
        <v>0.44768106797382212</v>
      </c>
      <c r="O32" s="14"/>
      <c r="P32" s="1">
        <f>SUM(OSRRefP22_1x_0)</f>
        <v>17350.91</v>
      </c>
      <c r="Q32" s="1"/>
      <c r="R32" s="5">
        <f t="shared" ref="R32:R42" si="26">IF(P$12=0,0,P32/P$12)</f>
        <v>0</v>
      </c>
      <c r="S32" s="1"/>
      <c r="T32" s="1">
        <f>SUM(OSRRefT22_1x_0)</f>
        <v>11985.3125</v>
      </c>
      <c r="U32" s="1"/>
      <c r="V32" s="5">
        <f t="shared" ref="V32:V42" si="27">IF(T$12=0,0,T32/T$12)</f>
        <v>2.7647779700115342</v>
      </c>
      <c r="W32" s="1"/>
      <c r="X32" s="1">
        <f t="shared" ref="X32:X42" si="28">+P32-T32</f>
        <v>5365.5974999999999</v>
      </c>
      <c r="Y32" s="1"/>
      <c r="Z32" s="5">
        <f t="shared" ref="Z32:Z42" si="29">IF(T32=0,0,X32/T32)</f>
        <v>0.44768106797382212</v>
      </c>
    </row>
    <row r="33" spans="1:26" s="24" customFormat="1" hidden="1" outlineLevel="2" x14ac:dyDescent="0.25">
      <c r="A33" s="27"/>
      <c r="B33" s="12" t="str">
        <f>CONCATENATE("          ", "6001", " - ", "ADMINISTRATIVE SALARIES")</f>
        <v xml:space="preserve">          6001 - ADMINISTRATIVE SALARIES</v>
      </c>
      <c r="C33" s="12"/>
      <c r="D33" s="7"/>
      <c r="E33" s="3"/>
      <c r="F33" s="8">
        <f t="shared" si="22"/>
        <v>0</v>
      </c>
      <c r="G33" s="3"/>
      <c r="H33" s="7">
        <v>0</v>
      </c>
      <c r="I33" s="3"/>
      <c r="J33" s="8">
        <f t="shared" si="23"/>
        <v>0</v>
      </c>
      <c r="K33" s="3"/>
      <c r="L33" s="7">
        <f t="shared" si="24"/>
        <v>0</v>
      </c>
      <c r="M33" s="3"/>
      <c r="N33" s="8">
        <f t="shared" si="25"/>
        <v>0</v>
      </c>
      <c r="O33" s="12"/>
      <c r="P33" s="7"/>
      <c r="Q33" s="3"/>
      <c r="R33" s="8">
        <f t="shared" si="26"/>
        <v>0</v>
      </c>
      <c r="S33" s="3"/>
      <c r="T33" s="7">
        <v>0</v>
      </c>
      <c r="U33" s="3"/>
      <c r="V33" s="8">
        <f t="shared" si="27"/>
        <v>0</v>
      </c>
      <c r="W33" s="3"/>
      <c r="X33" s="7">
        <f t="shared" si="28"/>
        <v>0</v>
      </c>
      <c r="Y33" s="3"/>
      <c r="Z33" s="8">
        <f t="shared" si="29"/>
        <v>0</v>
      </c>
    </row>
    <row r="34" spans="1:26" s="24" customFormat="1" hidden="1" outlineLevel="2" x14ac:dyDescent="0.25">
      <c r="A34" s="27"/>
      <c r="B34" s="12" t="str">
        <f>CONCATENATE("          ", "6002", " - ", "STAFF SALARIES")</f>
        <v xml:space="preserve">          6002 - STAFF SALARIES</v>
      </c>
      <c r="C34" s="12"/>
      <c r="D34" s="7">
        <v>13229.18</v>
      </c>
      <c r="E34" s="3"/>
      <c r="F34" s="8">
        <f t="shared" si="22"/>
        <v>0</v>
      </c>
      <c r="G34" s="3"/>
      <c r="H34" s="7">
        <v>5679.6524999999992</v>
      </c>
      <c r="I34" s="3"/>
      <c r="J34" s="8">
        <f t="shared" si="23"/>
        <v>1.3101851211072664</v>
      </c>
      <c r="K34" s="3"/>
      <c r="L34" s="7">
        <f t="shared" si="24"/>
        <v>7549.5275000000011</v>
      </c>
      <c r="M34" s="3"/>
      <c r="N34" s="8">
        <f t="shared" si="25"/>
        <v>1.3292234868242383</v>
      </c>
      <c r="O34" s="12"/>
      <c r="P34" s="7">
        <v>13229.18</v>
      </c>
      <c r="Q34" s="3"/>
      <c r="R34" s="8">
        <f t="shared" si="26"/>
        <v>0</v>
      </c>
      <c r="S34" s="3"/>
      <c r="T34" s="7">
        <v>5679.6524999999992</v>
      </c>
      <c r="U34" s="3"/>
      <c r="V34" s="8">
        <f t="shared" si="27"/>
        <v>1.3101851211072664</v>
      </c>
      <c r="W34" s="3"/>
      <c r="X34" s="7">
        <f t="shared" si="28"/>
        <v>7549.5275000000011</v>
      </c>
      <c r="Y34" s="3"/>
      <c r="Z34" s="8">
        <f t="shared" si="29"/>
        <v>1.3292234868242383</v>
      </c>
    </row>
    <row r="35" spans="1:26" s="24" customFormat="1" hidden="1" outlineLevel="2" x14ac:dyDescent="0.25">
      <c r="A35" s="27"/>
      <c r="B35" s="12" t="str">
        <f>CONCATENATE("          ", "6003", " - ", "STAFF HOURLY-9 MONTH")</f>
        <v xml:space="preserve">          6003 - STAFF HOURLY-9 MONTH</v>
      </c>
      <c r="C35" s="12"/>
      <c r="D35" s="7"/>
      <c r="E35" s="3"/>
      <c r="F35" s="8">
        <f t="shared" si="22"/>
        <v>0</v>
      </c>
      <c r="G35" s="3"/>
      <c r="H35" s="7">
        <v>0</v>
      </c>
      <c r="I35" s="3"/>
      <c r="J35" s="8">
        <f t="shared" si="23"/>
        <v>0</v>
      </c>
      <c r="K35" s="3"/>
      <c r="L35" s="7">
        <f t="shared" si="24"/>
        <v>0</v>
      </c>
      <c r="M35" s="3"/>
      <c r="N35" s="8">
        <f t="shared" si="25"/>
        <v>0</v>
      </c>
      <c r="O35" s="12"/>
      <c r="P35" s="7"/>
      <c r="Q35" s="3"/>
      <c r="R35" s="8">
        <f t="shared" si="26"/>
        <v>0</v>
      </c>
      <c r="S35" s="3"/>
      <c r="T35" s="7">
        <v>0</v>
      </c>
      <c r="U35" s="3"/>
      <c r="V35" s="8">
        <f t="shared" si="27"/>
        <v>0</v>
      </c>
      <c r="W35" s="3"/>
      <c r="X35" s="7">
        <f t="shared" si="28"/>
        <v>0</v>
      </c>
      <c r="Y35" s="3"/>
      <c r="Z35" s="8">
        <f t="shared" si="29"/>
        <v>0</v>
      </c>
    </row>
    <row r="36" spans="1:26" s="24" customFormat="1" hidden="1" outlineLevel="2" x14ac:dyDescent="0.25">
      <c r="A36" s="27"/>
      <c r="B36" s="12" t="str">
        <f>CONCATENATE("          ", "6004", " - ", "STAFF HOURLY")</f>
        <v xml:space="preserve">          6004 - STAFF HOURLY</v>
      </c>
      <c r="C36" s="12"/>
      <c r="D36" s="7">
        <v>2771.73</v>
      </c>
      <c r="E36" s="3"/>
      <c r="F36" s="8">
        <f t="shared" si="22"/>
        <v>0</v>
      </c>
      <c r="G36" s="3"/>
      <c r="H36" s="7">
        <v>3708</v>
      </c>
      <c r="I36" s="3"/>
      <c r="J36" s="8">
        <f t="shared" si="23"/>
        <v>0.85536332179930796</v>
      </c>
      <c r="K36" s="3"/>
      <c r="L36" s="7">
        <f t="shared" si="24"/>
        <v>-936.27</v>
      </c>
      <c r="M36" s="3"/>
      <c r="N36" s="8">
        <f t="shared" si="25"/>
        <v>-0.2525</v>
      </c>
      <c r="O36" s="12"/>
      <c r="P36" s="7">
        <v>2771.73</v>
      </c>
      <c r="Q36" s="3"/>
      <c r="R36" s="8">
        <f t="shared" si="26"/>
        <v>0</v>
      </c>
      <c r="S36" s="3"/>
      <c r="T36" s="7">
        <v>3708</v>
      </c>
      <c r="U36" s="3"/>
      <c r="V36" s="8">
        <f t="shared" si="27"/>
        <v>0.85536332179930796</v>
      </c>
      <c r="W36" s="3"/>
      <c r="X36" s="7">
        <f t="shared" si="28"/>
        <v>-936.27</v>
      </c>
      <c r="Y36" s="3"/>
      <c r="Z36" s="8">
        <f t="shared" si="29"/>
        <v>-0.2525</v>
      </c>
    </row>
    <row r="37" spans="1:26" s="24" customFormat="1" hidden="1" outlineLevel="2" x14ac:dyDescent="0.25">
      <c r="A37" s="27"/>
      <c r="B37" s="12" t="str">
        <f>CONCATENATE("          ", "6005", " - ", "TEMPORARY WAGES-HOURLY")</f>
        <v xml:space="preserve">          6005 - TEMPORARY WAGES-HOURLY</v>
      </c>
      <c r="C37" s="12"/>
      <c r="D37" s="7"/>
      <c r="E37" s="3"/>
      <c r="F37" s="8">
        <f t="shared" si="22"/>
        <v>0</v>
      </c>
      <c r="G37" s="3"/>
      <c r="H37" s="7">
        <v>1664.52</v>
      </c>
      <c r="I37" s="3"/>
      <c r="J37" s="8">
        <f t="shared" si="23"/>
        <v>0.38397231833910034</v>
      </c>
      <c r="K37" s="3"/>
      <c r="L37" s="7">
        <f t="shared" si="24"/>
        <v>-1664.52</v>
      </c>
      <c r="M37" s="3"/>
      <c r="N37" s="8">
        <f t="shared" si="25"/>
        <v>-1</v>
      </c>
      <c r="O37" s="12"/>
      <c r="P37" s="7"/>
      <c r="Q37" s="3"/>
      <c r="R37" s="8">
        <f t="shared" si="26"/>
        <v>0</v>
      </c>
      <c r="S37" s="3"/>
      <c r="T37" s="7">
        <v>1664.52</v>
      </c>
      <c r="U37" s="3"/>
      <c r="V37" s="8">
        <f t="shared" si="27"/>
        <v>0.38397231833910034</v>
      </c>
      <c r="W37" s="3"/>
      <c r="X37" s="7">
        <f t="shared" si="28"/>
        <v>-1664.52</v>
      </c>
      <c r="Y37" s="3"/>
      <c r="Z37" s="8">
        <f t="shared" si="29"/>
        <v>-1</v>
      </c>
    </row>
    <row r="38" spans="1:26" s="24" customFormat="1" hidden="1" outlineLevel="2" x14ac:dyDescent="0.25">
      <c r="A38" s="27"/>
      <c r="B38" s="12" t="str">
        <f>CONCATENATE("          ", "6006", " - ", "TEMPORARY PART TIME")</f>
        <v xml:space="preserve">          6006 - TEMPORARY PART TIME</v>
      </c>
      <c r="C38" s="12"/>
      <c r="D38" s="7"/>
      <c r="E38" s="3"/>
      <c r="F38" s="8">
        <f t="shared" si="22"/>
        <v>0</v>
      </c>
      <c r="G38" s="3"/>
      <c r="H38" s="7">
        <v>0</v>
      </c>
      <c r="I38" s="3"/>
      <c r="J38" s="8">
        <f t="shared" si="23"/>
        <v>0</v>
      </c>
      <c r="K38" s="3"/>
      <c r="L38" s="7">
        <f t="shared" si="24"/>
        <v>0</v>
      </c>
      <c r="M38" s="3"/>
      <c r="N38" s="8">
        <f t="shared" si="25"/>
        <v>0</v>
      </c>
      <c r="O38" s="12"/>
      <c r="P38" s="7"/>
      <c r="Q38" s="3"/>
      <c r="R38" s="8">
        <f t="shared" si="26"/>
        <v>0</v>
      </c>
      <c r="S38" s="3"/>
      <c r="T38" s="7">
        <v>0</v>
      </c>
      <c r="U38" s="3"/>
      <c r="V38" s="8">
        <f t="shared" si="27"/>
        <v>0</v>
      </c>
      <c r="W38" s="3"/>
      <c r="X38" s="7">
        <f t="shared" si="28"/>
        <v>0</v>
      </c>
      <c r="Y38" s="3"/>
      <c r="Z38" s="8">
        <f t="shared" si="29"/>
        <v>0</v>
      </c>
    </row>
    <row r="39" spans="1:26" s="24" customFormat="1" hidden="1" outlineLevel="2" x14ac:dyDescent="0.25">
      <c r="A39" s="27"/>
      <c r="B39" s="12" t="str">
        <f>CONCATENATE("          ", "6007", " - ", "STUDENT HOURLY")</f>
        <v xml:space="preserve">          6007 - STUDENT HOURLY</v>
      </c>
      <c r="C39" s="12"/>
      <c r="D39" s="7">
        <v>1350</v>
      </c>
      <c r="E39" s="3"/>
      <c r="F39" s="8">
        <f t="shared" si="22"/>
        <v>0</v>
      </c>
      <c r="G39" s="3"/>
      <c r="H39" s="7">
        <v>933.14</v>
      </c>
      <c r="I39" s="3"/>
      <c r="J39" s="8">
        <f t="shared" si="23"/>
        <v>0.21525720876585927</v>
      </c>
      <c r="K39" s="3"/>
      <c r="L39" s="7">
        <f t="shared" si="24"/>
        <v>416.86</v>
      </c>
      <c r="M39" s="3"/>
      <c r="N39" s="8">
        <f t="shared" si="25"/>
        <v>0.44672825085196222</v>
      </c>
      <c r="O39" s="12"/>
      <c r="P39" s="7">
        <v>1350</v>
      </c>
      <c r="Q39" s="3"/>
      <c r="R39" s="8">
        <f t="shared" si="26"/>
        <v>0</v>
      </c>
      <c r="S39" s="3"/>
      <c r="T39" s="7">
        <v>933.14</v>
      </c>
      <c r="U39" s="3"/>
      <c r="V39" s="8">
        <f t="shared" si="27"/>
        <v>0.21525720876585927</v>
      </c>
      <c r="W39" s="3"/>
      <c r="X39" s="7">
        <f t="shared" si="28"/>
        <v>416.86</v>
      </c>
      <c r="Y39" s="3"/>
      <c r="Z39" s="8">
        <f t="shared" si="29"/>
        <v>0.44672825085196222</v>
      </c>
    </row>
    <row r="40" spans="1:26" s="24" customFormat="1" hidden="1" outlineLevel="2" x14ac:dyDescent="0.25">
      <c r="A40" s="27"/>
      <c r="B40" s="12" t="str">
        <f>CONCATENATE("          ", "6008", " - ", "STUDENT HOURLY-FICA EXEMPT")</f>
        <v xml:space="preserve">          6008 - STUDENT HOURLY-FICA EXEMPT</v>
      </c>
      <c r="C40" s="12"/>
      <c r="D40" s="7"/>
      <c r="E40" s="3"/>
      <c r="F40" s="8">
        <f t="shared" si="22"/>
        <v>0</v>
      </c>
      <c r="G40" s="3"/>
      <c r="H40" s="7">
        <v>0</v>
      </c>
      <c r="I40" s="3"/>
      <c r="J40" s="8">
        <f t="shared" si="23"/>
        <v>0</v>
      </c>
      <c r="K40" s="3"/>
      <c r="L40" s="7">
        <f t="shared" si="24"/>
        <v>0</v>
      </c>
      <c r="M40" s="3"/>
      <c r="N40" s="8">
        <f t="shared" si="25"/>
        <v>0</v>
      </c>
      <c r="O40" s="12"/>
      <c r="P40" s="7"/>
      <c r="Q40" s="3"/>
      <c r="R40" s="8">
        <f t="shared" si="26"/>
        <v>0</v>
      </c>
      <c r="S40" s="3"/>
      <c r="T40" s="7">
        <v>0</v>
      </c>
      <c r="U40" s="3"/>
      <c r="V40" s="8">
        <f t="shared" si="27"/>
        <v>0</v>
      </c>
      <c r="W40" s="3"/>
      <c r="X40" s="7">
        <f t="shared" si="28"/>
        <v>0</v>
      </c>
      <c r="Y40" s="3"/>
      <c r="Z40" s="8">
        <f t="shared" si="29"/>
        <v>0</v>
      </c>
    </row>
    <row r="41" spans="1:26" s="24" customFormat="1" hidden="1" outlineLevel="2" x14ac:dyDescent="0.25">
      <c r="A41" s="27"/>
      <c r="B41" s="12" t="str">
        <f>CONCATENATE("          ", "6009", " - ", "TEMPORARY-SEASONAL")</f>
        <v xml:space="preserve">          6009 - TEMPORARY-SEASONAL</v>
      </c>
      <c r="C41" s="12"/>
      <c r="D41" s="7"/>
      <c r="E41" s="3"/>
      <c r="F41" s="8">
        <f t="shared" si="22"/>
        <v>0</v>
      </c>
      <c r="G41" s="3"/>
      <c r="H41" s="7">
        <v>0</v>
      </c>
      <c r="I41" s="3"/>
      <c r="J41" s="8">
        <f t="shared" si="23"/>
        <v>0</v>
      </c>
      <c r="K41" s="3"/>
      <c r="L41" s="7">
        <f t="shared" si="24"/>
        <v>0</v>
      </c>
      <c r="M41" s="3"/>
      <c r="N41" s="8">
        <f t="shared" si="25"/>
        <v>0</v>
      </c>
      <c r="O41" s="12"/>
      <c r="P41" s="7"/>
      <c r="Q41" s="3"/>
      <c r="R41" s="8">
        <f t="shared" si="26"/>
        <v>0</v>
      </c>
      <c r="S41" s="3"/>
      <c r="T41" s="7">
        <v>0</v>
      </c>
      <c r="U41" s="3"/>
      <c r="V41" s="8">
        <f t="shared" si="27"/>
        <v>0</v>
      </c>
      <c r="W41" s="3"/>
      <c r="X41" s="7">
        <f t="shared" si="28"/>
        <v>0</v>
      </c>
      <c r="Y41" s="3"/>
      <c r="Z41" s="8">
        <f t="shared" si="29"/>
        <v>0</v>
      </c>
    </row>
    <row r="42" spans="1:26" s="24" customFormat="1" hidden="1" outlineLevel="2" x14ac:dyDescent="0.25">
      <c r="A42" s="27"/>
      <c r="B42" s="12" t="str">
        <f>CONCATENATE("          ", "6010", " - ", "GRATUITY")</f>
        <v xml:space="preserve">          6010 - GRATUITY</v>
      </c>
      <c r="C42" s="12"/>
      <c r="D42" s="7"/>
      <c r="E42" s="3"/>
      <c r="F42" s="8">
        <f t="shared" si="22"/>
        <v>0</v>
      </c>
      <c r="G42" s="3"/>
      <c r="H42" s="7">
        <v>0</v>
      </c>
      <c r="I42" s="3"/>
      <c r="J42" s="8">
        <f t="shared" si="23"/>
        <v>0</v>
      </c>
      <c r="K42" s="3"/>
      <c r="L42" s="7">
        <f t="shared" si="24"/>
        <v>0</v>
      </c>
      <c r="M42" s="3"/>
      <c r="N42" s="8">
        <f t="shared" si="25"/>
        <v>0</v>
      </c>
      <c r="O42" s="12"/>
      <c r="P42" s="7"/>
      <c r="Q42" s="3"/>
      <c r="R42" s="8">
        <f t="shared" si="26"/>
        <v>0</v>
      </c>
      <c r="S42" s="3"/>
      <c r="T42" s="7">
        <v>0</v>
      </c>
      <c r="U42" s="3"/>
      <c r="V42" s="8">
        <f t="shared" si="27"/>
        <v>0</v>
      </c>
      <c r="W42" s="3"/>
      <c r="X42" s="7">
        <f t="shared" si="28"/>
        <v>0</v>
      </c>
      <c r="Y42" s="3"/>
      <c r="Z42" s="8">
        <f t="shared" si="29"/>
        <v>0</v>
      </c>
    </row>
    <row r="43" spans="1:26" s="29" customFormat="1" outlineLevel="1" collapsed="1" x14ac:dyDescent="0.25">
      <c r="A43" s="28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45.97</v>
      </c>
      <c r="E43" s="1"/>
      <c r="F43" s="5">
        <f t="shared" ref="F43:F51" si="30">IF(D$12=0,0,D43/D$12)</f>
        <v>0</v>
      </c>
      <c r="G43" s="1"/>
      <c r="H43" s="1">
        <f>SUM(OSRRefH22_2x_0)</f>
        <v>1540</v>
      </c>
      <c r="I43" s="1"/>
      <c r="J43" s="5">
        <f t="shared" ref="J43:J51" si="31">IF(H$12=0,0,H43/H$12)</f>
        <v>0.35524798154555942</v>
      </c>
      <c r="K43" s="1"/>
      <c r="L43" s="1">
        <f t="shared" ref="L43:L51" si="32">+D43-H43</f>
        <v>-1494.03</v>
      </c>
      <c r="M43" s="1"/>
      <c r="N43" s="5">
        <f t="shared" ref="N43:N51" si="33">IF(H43=0,0,L43/H43)</f>
        <v>-0.97014935064935059</v>
      </c>
      <c r="O43" s="14"/>
      <c r="P43" s="1">
        <f>SUM(OSRRefP22_2x_0)</f>
        <v>45.97</v>
      </c>
      <c r="Q43" s="1"/>
      <c r="R43" s="5">
        <f t="shared" ref="R43:R51" si="34">IF(P$12=0,0,P43/P$12)</f>
        <v>0</v>
      </c>
      <c r="S43" s="1"/>
      <c r="T43" s="1">
        <f>SUM(OSRRefT22_2x_0)</f>
        <v>1540</v>
      </c>
      <c r="U43" s="1"/>
      <c r="V43" s="5">
        <f t="shared" ref="V43:V51" si="35">IF(T$12=0,0,T43/T$12)</f>
        <v>0.35524798154555942</v>
      </c>
      <c r="W43" s="1"/>
      <c r="X43" s="1">
        <f t="shared" ref="X43:X51" si="36">+P43-T43</f>
        <v>-1494.03</v>
      </c>
      <c r="Y43" s="1"/>
      <c r="Z43" s="5">
        <f t="shared" ref="Z43:Z51" si="37">IF(T43=0,0,X43/T43)</f>
        <v>-0.97014935064935059</v>
      </c>
    </row>
    <row r="44" spans="1:26" s="24" customFormat="1" hidden="1" outlineLevel="2" x14ac:dyDescent="0.25">
      <c r="A44" s="27"/>
      <c r="B44" s="12" t="str">
        <f>CONCATENATE("          ", "6362", " - ", "ADVERTISING EXPENSE")</f>
        <v xml:space="preserve">          6362 - ADVERTISING EXPENSE</v>
      </c>
      <c r="C44" s="12"/>
      <c r="D44" s="7">
        <v>45.97</v>
      </c>
      <c r="E44" s="3"/>
      <c r="F44" s="8">
        <f t="shared" si="30"/>
        <v>0</v>
      </c>
      <c r="G44" s="3"/>
      <c r="H44" s="7">
        <v>1540</v>
      </c>
      <c r="I44" s="3"/>
      <c r="J44" s="8">
        <f t="shared" si="31"/>
        <v>0.35524798154555942</v>
      </c>
      <c r="K44" s="3"/>
      <c r="L44" s="7">
        <f t="shared" si="32"/>
        <v>-1494.03</v>
      </c>
      <c r="M44" s="3"/>
      <c r="N44" s="8">
        <f t="shared" si="33"/>
        <v>-0.97014935064935059</v>
      </c>
      <c r="O44" s="12"/>
      <c r="P44" s="7">
        <v>45.97</v>
      </c>
      <c r="Q44" s="3"/>
      <c r="R44" s="8">
        <f t="shared" si="34"/>
        <v>0</v>
      </c>
      <c r="S44" s="3"/>
      <c r="T44" s="7">
        <v>1540</v>
      </c>
      <c r="U44" s="3"/>
      <c r="V44" s="8">
        <f t="shared" si="35"/>
        <v>0.35524798154555942</v>
      </c>
      <c r="W44" s="3"/>
      <c r="X44" s="7">
        <f t="shared" si="36"/>
        <v>-1494.03</v>
      </c>
      <c r="Y44" s="3"/>
      <c r="Z44" s="8">
        <f t="shared" si="37"/>
        <v>-0.97014935064935059</v>
      </c>
    </row>
    <row r="45" spans="1:26" s="29" customFormat="1" outlineLevel="1" collapsed="1" x14ac:dyDescent="0.25">
      <c r="A45" s="28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5</v>
      </c>
      <c r="I45" s="1"/>
      <c r="J45" s="5">
        <f t="shared" si="31"/>
        <v>1.1534025374855825E-3</v>
      </c>
      <c r="K45" s="1"/>
      <c r="L45" s="1">
        <f t="shared" si="32"/>
        <v>-5</v>
      </c>
      <c r="M45" s="1"/>
      <c r="N45" s="5">
        <f t="shared" si="33"/>
        <v>-1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5</v>
      </c>
      <c r="U45" s="1"/>
      <c r="V45" s="5">
        <f t="shared" si="35"/>
        <v>1.1534025374855825E-3</v>
      </c>
      <c r="W45" s="1"/>
      <c r="X45" s="1">
        <f t="shared" si="36"/>
        <v>-5</v>
      </c>
      <c r="Y45" s="1"/>
      <c r="Z45" s="5">
        <f t="shared" si="37"/>
        <v>-1</v>
      </c>
    </row>
    <row r="46" spans="1:26" s="24" customFormat="1" hidden="1" outlineLevel="2" x14ac:dyDescent="0.25">
      <c r="A46" s="27"/>
      <c r="B46" s="12" t="str">
        <f>CONCATENATE("          ", "6272", " - ", "CASH (OVER/SHORT)")</f>
        <v xml:space="preserve">          6272 - CASH (OVER/SHORT)</v>
      </c>
      <c r="C46" s="12"/>
      <c r="D46" s="7"/>
      <c r="E46" s="3"/>
      <c r="F46" s="8">
        <f t="shared" si="30"/>
        <v>0</v>
      </c>
      <c r="G46" s="3"/>
      <c r="H46" s="7">
        <v>5</v>
      </c>
      <c r="I46" s="3"/>
      <c r="J46" s="8">
        <f t="shared" si="31"/>
        <v>1.1534025374855825E-3</v>
      </c>
      <c r="K46" s="3"/>
      <c r="L46" s="7">
        <f t="shared" si="32"/>
        <v>-5</v>
      </c>
      <c r="M46" s="3"/>
      <c r="N46" s="8">
        <f t="shared" si="33"/>
        <v>-1</v>
      </c>
      <c r="O46" s="12"/>
      <c r="P46" s="7"/>
      <c r="Q46" s="3"/>
      <c r="R46" s="8">
        <f t="shared" si="34"/>
        <v>0</v>
      </c>
      <c r="S46" s="3"/>
      <c r="T46" s="7">
        <v>5</v>
      </c>
      <c r="U46" s="3"/>
      <c r="V46" s="8">
        <f t="shared" si="35"/>
        <v>1.1534025374855825E-3</v>
      </c>
      <c r="W46" s="3"/>
      <c r="X46" s="7">
        <f t="shared" si="36"/>
        <v>-5</v>
      </c>
      <c r="Y46" s="3"/>
      <c r="Z46" s="8">
        <f t="shared" si="37"/>
        <v>-1</v>
      </c>
    </row>
    <row r="47" spans="1:26" s="29" customFormat="1" outlineLevel="1" collapsed="1" x14ac:dyDescent="0.25">
      <c r="A47" s="28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852</v>
      </c>
      <c r="I47" s="1"/>
      <c r="J47" s="5">
        <f t="shared" si="31"/>
        <v>0.19653979238754327</v>
      </c>
      <c r="K47" s="1"/>
      <c r="L47" s="1">
        <f t="shared" si="32"/>
        <v>-852</v>
      </c>
      <c r="M47" s="1"/>
      <c r="N47" s="5">
        <f t="shared" si="33"/>
        <v>-1</v>
      </c>
      <c r="O47" s="14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852</v>
      </c>
      <c r="U47" s="1"/>
      <c r="V47" s="5">
        <f t="shared" si="35"/>
        <v>0.19653979238754327</v>
      </c>
      <c r="W47" s="1"/>
      <c r="X47" s="1">
        <f t="shared" si="36"/>
        <v>-852</v>
      </c>
      <c r="Y47" s="1"/>
      <c r="Z47" s="5">
        <f t="shared" si="37"/>
        <v>-1</v>
      </c>
    </row>
    <row r="48" spans="1:26" s="24" customFormat="1" hidden="1" outlineLevel="2" x14ac:dyDescent="0.25">
      <c r="A48" s="27"/>
      <c r="B48" s="12" t="str">
        <f>CONCATENATE("          ", "6381", " - ", "BANK/CREDIT CARD FEES")</f>
        <v xml:space="preserve">          6381 - BANK/CREDIT CARD FEES</v>
      </c>
      <c r="C48" s="12"/>
      <c r="D48" s="7"/>
      <c r="E48" s="3"/>
      <c r="F48" s="8">
        <f t="shared" si="30"/>
        <v>0</v>
      </c>
      <c r="G48" s="3"/>
      <c r="H48" s="7">
        <v>852</v>
      </c>
      <c r="I48" s="3"/>
      <c r="J48" s="8">
        <f t="shared" si="31"/>
        <v>0.19653979238754327</v>
      </c>
      <c r="K48" s="3"/>
      <c r="L48" s="7">
        <f t="shared" si="32"/>
        <v>-852</v>
      </c>
      <c r="M48" s="3"/>
      <c r="N48" s="8">
        <f t="shared" si="33"/>
        <v>-1</v>
      </c>
      <c r="O48" s="12"/>
      <c r="P48" s="7"/>
      <c r="Q48" s="3"/>
      <c r="R48" s="8">
        <f t="shared" si="34"/>
        <v>0</v>
      </c>
      <c r="S48" s="3"/>
      <c r="T48" s="7">
        <v>852</v>
      </c>
      <c r="U48" s="3"/>
      <c r="V48" s="8">
        <f t="shared" si="35"/>
        <v>0.19653979238754327</v>
      </c>
      <c r="W48" s="3"/>
      <c r="X48" s="7">
        <f t="shared" si="36"/>
        <v>-852</v>
      </c>
      <c r="Y48" s="3"/>
      <c r="Z48" s="8">
        <f t="shared" si="37"/>
        <v>-1</v>
      </c>
    </row>
    <row r="49" spans="1:26" s="29" customFormat="1" outlineLevel="1" collapsed="1" x14ac:dyDescent="0.25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13686.96</v>
      </c>
      <c r="E49" s="1"/>
      <c r="F49" s="5">
        <f t="shared" si="30"/>
        <v>0</v>
      </c>
      <c r="G49" s="1"/>
      <c r="H49" s="1">
        <f>SUM(OSRRefH22_5x_0)</f>
        <v>13687</v>
      </c>
      <c r="I49" s="1"/>
      <c r="J49" s="5">
        <f t="shared" si="31"/>
        <v>3.1573241061130335</v>
      </c>
      <c r="K49" s="1"/>
      <c r="L49" s="1">
        <f t="shared" si="32"/>
        <v>-4.0000000000873115E-2</v>
      </c>
      <c r="M49" s="1"/>
      <c r="N49" s="5">
        <f t="shared" si="33"/>
        <v>-2.9224811865911533E-6</v>
      </c>
      <c r="O49" s="14"/>
      <c r="P49" s="1">
        <f>SUM(OSRRefP22_5x_0)</f>
        <v>13686.96</v>
      </c>
      <c r="Q49" s="1"/>
      <c r="R49" s="5">
        <f t="shared" si="34"/>
        <v>0</v>
      </c>
      <c r="S49" s="1"/>
      <c r="T49" s="1">
        <f>SUM(OSRRefT22_5x_0)</f>
        <v>13687</v>
      </c>
      <c r="U49" s="1"/>
      <c r="V49" s="5">
        <f t="shared" si="35"/>
        <v>3.1573241061130335</v>
      </c>
      <c r="W49" s="1"/>
      <c r="X49" s="1">
        <f t="shared" si="36"/>
        <v>-4.0000000000873115E-2</v>
      </c>
      <c r="Y49" s="1"/>
      <c r="Z49" s="5">
        <f t="shared" si="37"/>
        <v>-2.9224811865911533E-6</v>
      </c>
    </row>
    <row r="50" spans="1:26" s="24" customFormat="1" hidden="1" outlineLevel="2" x14ac:dyDescent="0.25">
      <c r="A50" s="27"/>
      <c r="B50" s="12" t="str">
        <f>CONCATENATE("          ", "6321", " - ", "BUILDING DEPRECIATION")</f>
        <v xml:space="preserve">          6321 - BUILDING DEPRECIATION</v>
      </c>
      <c r="C50" s="12"/>
      <c r="D50" s="7">
        <v>10597.26</v>
      </c>
      <c r="E50" s="3"/>
      <c r="F50" s="8">
        <f t="shared" si="30"/>
        <v>0</v>
      </c>
      <c r="G50" s="3"/>
      <c r="H50" s="7"/>
      <c r="I50" s="3"/>
      <c r="J50" s="8">
        <f t="shared" si="31"/>
        <v>0</v>
      </c>
      <c r="K50" s="3"/>
      <c r="L50" s="7">
        <f t="shared" si="32"/>
        <v>10597.26</v>
      </c>
      <c r="M50" s="3"/>
      <c r="N50" s="8">
        <f t="shared" si="33"/>
        <v>0</v>
      </c>
      <c r="O50" s="12"/>
      <c r="P50" s="7">
        <v>10597.26</v>
      </c>
      <c r="Q50" s="3"/>
      <c r="R50" s="8">
        <f t="shared" si="34"/>
        <v>0</v>
      </c>
      <c r="S50" s="3"/>
      <c r="T50" s="7"/>
      <c r="U50" s="3"/>
      <c r="V50" s="8">
        <f t="shared" si="35"/>
        <v>0</v>
      </c>
      <c r="W50" s="3"/>
      <c r="X50" s="7">
        <f t="shared" si="36"/>
        <v>10597.26</v>
      </c>
      <c r="Y50" s="3"/>
      <c r="Z50" s="8">
        <f t="shared" si="37"/>
        <v>0</v>
      </c>
    </row>
    <row r="51" spans="1:26" s="24" customFormat="1" hidden="1" outlineLevel="2" x14ac:dyDescent="0.25">
      <c r="A51" s="27"/>
      <c r="B51" s="12" t="str">
        <f>CONCATENATE("          ", "6322", " - ", "EQUIPMENT DEPRECIATION EXPENSE")</f>
        <v xml:space="preserve">          6322 - EQUIPMENT DEPRECIATION EXPENSE</v>
      </c>
      <c r="C51" s="12"/>
      <c r="D51" s="7">
        <v>3089.7</v>
      </c>
      <c r="E51" s="3"/>
      <c r="F51" s="8">
        <f t="shared" si="30"/>
        <v>0</v>
      </c>
      <c r="G51" s="3"/>
      <c r="H51" s="7">
        <v>13687</v>
      </c>
      <c r="I51" s="3"/>
      <c r="J51" s="8">
        <f t="shared" si="31"/>
        <v>3.1573241061130335</v>
      </c>
      <c r="K51" s="3"/>
      <c r="L51" s="7">
        <f t="shared" si="32"/>
        <v>-10597.3</v>
      </c>
      <c r="M51" s="3"/>
      <c r="N51" s="8">
        <f t="shared" si="33"/>
        <v>-0.77426024694966022</v>
      </c>
      <c r="O51" s="12"/>
      <c r="P51" s="7">
        <v>3089.7</v>
      </c>
      <c r="Q51" s="3"/>
      <c r="R51" s="8">
        <f t="shared" si="34"/>
        <v>0</v>
      </c>
      <c r="S51" s="3"/>
      <c r="T51" s="7">
        <v>13687</v>
      </c>
      <c r="U51" s="3"/>
      <c r="V51" s="8">
        <f t="shared" si="35"/>
        <v>3.1573241061130335</v>
      </c>
      <c r="W51" s="3"/>
      <c r="X51" s="7">
        <f t="shared" si="36"/>
        <v>-10597.3</v>
      </c>
      <c r="Y51" s="3"/>
      <c r="Z51" s="8">
        <f t="shared" si="37"/>
        <v>-0.77426024694966022</v>
      </c>
    </row>
    <row r="52" spans="1:26" s="29" customFormat="1" outlineLevel="1" collapsed="1" x14ac:dyDescent="0.25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SUM(OSRRefD22_6x_0)</f>
        <v>105.61</v>
      </c>
      <c r="E52" s="1"/>
      <c r="F52" s="5">
        <f t="shared" ref="F52:F62" si="38">IF(D$12=0,0,D52/D$12)</f>
        <v>0</v>
      </c>
      <c r="G52" s="1"/>
      <c r="H52" s="1">
        <f>SUM(OSRRefH22_6x_0)</f>
        <v>146</v>
      </c>
      <c r="I52" s="1"/>
      <c r="J52" s="5">
        <f t="shared" ref="J52:J62" si="39">IF(H$12=0,0,H52/H$12)</f>
        <v>3.3679354094579006E-2</v>
      </c>
      <c r="K52" s="1"/>
      <c r="L52" s="1">
        <f t="shared" ref="L52:L62" si="40">+D52-H52</f>
        <v>-40.39</v>
      </c>
      <c r="M52" s="1"/>
      <c r="N52" s="5">
        <f t="shared" ref="N52:N62" si="41">IF(H52=0,0,L52/H52)</f>
        <v>-0.27664383561643835</v>
      </c>
      <c r="O52" s="14"/>
      <c r="P52" s="1">
        <f>SUM(OSRRefP22_6x_0)</f>
        <v>105.61</v>
      </c>
      <c r="Q52" s="1"/>
      <c r="R52" s="5">
        <f t="shared" ref="R52:R62" si="42">IF(P$12=0,0,P52/P$12)</f>
        <v>0</v>
      </c>
      <c r="S52" s="1"/>
      <c r="T52" s="1">
        <f>SUM(OSRRefT22_6x_0)</f>
        <v>146</v>
      </c>
      <c r="U52" s="1"/>
      <c r="V52" s="5">
        <f t="shared" ref="V52:V62" si="43">IF(T$12=0,0,T52/T$12)</f>
        <v>3.3679354094579006E-2</v>
      </c>
      <c r="W52" s="1"/>
      <c r="X52" s="1">
        <f t="shared" ref="X52:X62" si="44">+P52-T52</f>
        <v>-40.39</v>
      </c>
      <c r="Y52" s="1"/>
      <c r="Z52" s="5">
        <f t="shared" ref="Z52:Z62" si="45">IF(T52=0,0,X52/T52)</f>
        <v>-0.27664383561643835</v>
      </c>
    </row>
    <row r="53" spans="1:26" s="24" customFormat="1" hidden="1" outlineLevel="2" x14ac:dyDescent="0.25">
      <c r="A53" s="27"/>
      <c r="B53" s="12" t="str">
        <f>CONCATENATE("          ", "6351", " - ", "EQUIPMENT RENTAL")</f>
        <v xml:space="preserve">          6351 - EQUIPMENT RENTAL</v>
      </c>
      <c r="C53" s="12"/>
      <c r="D53" s="7">
        <v>105.61</v>
      </c>
      <c r="E53" s="3"/>
      <c r="F53" s="8">
        <f t="shared" si="38"/>
        <v>0</v>
      </c>
      <c r="G53" s="3"/>
      <c r="H53" s="7">
        <v>146</v>
      </c>
      <c r="I53" s="3"/>
      <c r="J53" s="8">
        <f t="shared" si="39"/>
        <v>3.3679354094579006E-2</v>
      </c>
      <c r="K53" s="3"/>
      <c r="L53" s="7">
        <f t="shared" si="40"/>
        <v>-40.39</v>
      </c>
      <c r="M53" s="3"/>
      <c r="N53" s="8">
        <f t="shared" si="41"/>
        <v>-0.27664383561643835</v>
      </c>
      <c r="O53" s="12"/>
      <c r="P53" s="7">
        <v>105.61</v>
      </c>
      <c r="Q53" s="3"/>
      <c r="R53" s="8">
        <f t="shared" si="42"/>
        <v>0</v>
      </c>
      <c r="S53" s="3"/>
      <c r="T53" s="7">
        <v>146</v>
      </c>
      <c r="U53" s="3"/>
      <c r="V53" s="8">
        <f t="shared" si="43"/>
        <v>3.3679354094579006E-2</v>
      </c>
      <c r="W53" s="3"/>
      <c r="X53" s="7">
        <f t="shared" si="44"/>
        <v>-40.39</v>
      </c>
      <c r="Y53" s="3"/>
      <c r="Z53" s="8">
        <f t="shared" si="45"/>
        <v>-0.27664383561643835</v>
      </c>
    </row>
    <row r="54" spans="1:26" s="29" customFormat="1" outlineLevel="1" collapsed="1" x14ac:dyDescent="0.25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1404.55</v>
      </c>
      <c r="E54" s="1"/>
      <c r="F54" s="5">
        <f t="shared" si="38"/>
        <v>0</v>
      </c>
      <c r="G54" s="1"/>
      <c r="H54" s="1">
        <f>SUM(OSRRefH22_7x_0)</f>
        <v>1355</v>
      </c>
      <c r="I54" s="1"/>
      <c r="J54" s="5">
        <f t="shared" si="39"/>
        <v>0.31257208765859285</v>
      </c>
      <c r="K54" s="1"/>
      <c r="L54" s="1">
        <f t="shared" si="40"/>
        <v>49.549999999999955</v>
      </c>
      <c r="M54" s="1"/>
      <c r="N54" s="5">
        <f t="shared" si="41"/>
        <v>3.6568265682656795E-2</v>
      </c>
      <c r="O54" s="14"/>
      <c r="P54" s="1">
        <f>SUM(OSRRefP22_7x_0)</f>
        <v>1404.55</v>
      </c>
      <c r="Q54" s="1"/>
      <c r="R54" s="5">
        <f t="shared" si="42"/>
        <v>0</v>
      </c>
      <c r="S54" s="1"/>
      <c r="T54" s="1">
        <f>SUM(OSRRefT22_7x_0)</f>
        <v>1355</v>
      </c>
      <c r="U54" s="1"/>
      <c r="V54" s="5">
        <f t="shared" si="43"/>
        <v>0.31257208765859285</v>
      </c>
      <c r="W54" s="1"/>
      <c r="X54" s="1">
        <f t="shared" si="44"/>
        <v>49.549999999999955</v>
      </c>
      <c r="Y54" s="1"/>
      <c r="Z54" s="5">
        <f t="shared" si="45"/>
        <v>3.6568265682656795E-2</v>
      </c>
    </row>
    <row r="55" spans="1:26" s="24" customFormat="1" hidden="1" outlineLevel="2" x14ac:dyDescent="0.25">
      <c r="A55" s="27"/>
      <c r="B55" s="12" t="str">
        <f>CONCATENATE("          ", "6279", " - ", "GENERAL EXPENSE")</f>
        <v xml:space="preserve">          6279 - GENERAL EXPENSE</v>
      </c>
      <c r="C55" s="12"/>
      <c r="D55" s="7">
        <v>1404.55</v>
      </c>
      <c r="E55" s="3"/>
      <c r="F55" s="8">
        <f t="shared" si="38"/>
        <v>0</v>
      </c>
      <c r="G55" s="3"/>
      <c r="H55" s="7">
        <v>1355</v>
      </c>
      <c r="I55" s="3"/>
      <c r="J55" s="8">
        <f t="shared" si="39"/>
        <v>0.31257208765859285</v>
      </c>
      <c r="K55" s="3"/>
      <c r="L55" s="7">
        <f t="shared" si="40"/>
        <v>49.549999999999955</v>
      </c>
      <c r="M55" s="3"/>
      <c r="N55" s="8">
        <f t="shared" si="41"/>
        <v>3.6568265682656795E-2</v>
      </c>
      <c r="O55" s="12"/>
      <c r="P55" s="7">
        <v>1404.55</v>
      </c>
      <c r="Q55" s="3"/>
      <c r="R55" s="8">
        <f t="shared" si="42"/>
        <v>0</v>
      </c>
      <c r="S55" s="3"/>
      <c r="T55" s="7">
        <v>1355</v>
      </c>
      <c r="U55" s="3"/>
      <c r="V55" s="8">
        <f t="shared" si="43"/>
        <v>0.31257208765859285</v>
      </c>
      <c r="W55" s="3"/>
      <c r="X55" s="7">
        <f t="shared" si="44"/>
        <v>49.549999999999955</v>
      </c>
      <c r="Y55" s="3"/>
      <c r="Z55" s="8">
        <f t="shared" si="45"/>
        <v>3.6568265682656795E-2</v>
      </c>
    </row>
    <row r="56" spans="1:26" s="29" customFormat="1" outlineLevel="1" collapsed="1" x14ac:dyDescent="0.25">
      <c r="A56" s="28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SUM(OSRRefD22_8x_0)</f>
        <v>641.28</v>
      </c>
      <c r="E56" s="1"/>
      <c r="F56" s="5">
        <f t="shared" si="38"/>
        <v>0</v>
      </c>
      <c r="G56" s="1"/>
      <c r="H56" s="1">
        <f>SUM(OSRRefH22_8x_0)</f>
        <v>705</v>
      </c>
      <c r="I56" s="1"/>
      <c r="J56" s="5">
        <f t="shared" si="39"/>
        <v>0.16262975778546712</v>
      </c>
      <c r="K56" s="1"/>
      <c r="L56" s="1">
        <f t="shared" si="40"/>
        <v>-63.720000000000027</v>
      </c>
      <c r="M56" s="1"/>
      <c r="N56" s="5">
        <f t="shared" si="41"/>
        <v>-9.0382978723404298E-2</v>
      </c>
      <c r="O56" s="14"/>
      <c r="P56" s="1">
        <f>SUM(OSRRefP22_8x_0)</f>
        <v>641.28</v>
      </c>
      <c r="Q56" s="1"/>
      <c r="R56" s="5">
        <f t="shared" si="42"/>
        <v>0</v>
      </c>
      <c r="S56" s="1"/>
      <c r="T56" s="1">
        <f>SUM(OSRRefT22_8x_0)</f>
        <v>705</v>
      </c>
      <c r="U56" s="1"/>
      <c r="V56" s="5">
        <f t="shared" si="43"/>
        <v>0.16262975778546712</v>
      </c>
      <c r="W56" s="1"/>
      <c r="X56" s="1">
        <f t="shared" si="44"/>
        <v>-63.720000000000027</v>
      </c>
      <c r="Y56" s="1"/>
      <c r="Z56" s="5">
        <f t="shared" si="45"/>
        <v>-9.0382978723404298E-2</v>
      </c>
    </row>
    <row r="57" spans="1:26" s="24" customFormat="1" hidden="1" outlineLevel="2" x14ac:dyDescent="0.25">
      <c r="A57" s="27"/>
      <c r="B57" s="12" t="str">
        <f>CONCATENATE("          ", "6314", " - ", "LIABILITY INSURANCE")</f>
        <v xml:space="preserve">          6314 - LIABILITY INSURANCE</v>
      </c>
      <c r="C57" s="12"/>
      <c r="D57" s="7">
        <v>641.28</v>
      </c>
      <c r="E57" s="3"/>
      <c r="F57" s="8">
        <f t="shared" si="38"/>
        <v>0</v>
      </c>
      <c r="G57" s="3"/>
      <c r="H57" s="7">
        <v>705</v>
      </c>
      <c r="I57" s="3"/>
      <c r="J57" s="8">
        <f t="shared" si="39"/>
        <v>0.16262975778546712</v>
      </c>
      <c r="K57" s="3"/>
      <c r="L57" s="7">
        <f t="shared" si="40"/>
        <v>-63.720000000000027</v>
      </c>
      <c r="M57" s="3"/>
      <c r="N57" s="8">
        <f t="shared" si="41"/>
        <v>-9.0382978723404298E-2</v>
      </c>
      <c r="O57" s="12"/>
      <c r="P57" s="7">
        <v>641.28</v>
      </c>
      <c r="Q57" s="3"/>
      <c r="R57" s="8">
        <f t="shared" si="42"/>
        <v>0</v>
      </c>
      <c r="S57" s="3"/>
      <c r="T57" s="7">
        <v>705</v>
      </c>
      <c r="U57" s="3"/>
      <c r="V57" s="8">
        <f t="shared" si="43"/>
        <v>0.16262975778546712</v>
      </c>
      <c r="W57" s="3"/>
      <c r="X57" s="7">
        <f t="shared" si="44"/>
        <v>-63.720000000000027</v>
      </c>
      <c r="Y57" s="3"/>
      <c r="Z57" s="8">
        <f t="shared" si="45"/>
        <v>-9.0382978723404298E-2</v>
      </c>
    </row>
    <row r="58" spans="1:26" s="29" customFormat="1" outlineLevel="1" collapsed="1" x14ac:dyDescent="0.25">
      <c r="A58" s="28"/>
      <c r="B58" s="14" t="str">
        <f>CONCATENATE("     ","Interest                                          ")</f>
        <v xml:space="preserve">     Interest                                          </v>
      </c>
      <c r="C58" s="14"/>
      <c r="D58" s="1">
        <f>SUM(OSRRefD22_9x_0)</f>
        <v>7510</v>
      </c>
      <c r="E58" s="1"/>
      <c r="F58" s="5">
        <f t="shared" si="38"/>
        <v>0</v>
      </c>
      <c r="G58" s="1"/>
      <c r="H58" s="1">
        <f>SUM(OSRRefH22_9x_0)</f>
        <v>7510</v>
      </c>
      <c r="I58" s="1"/>
      <c r="J58" s="5">
        <f t="shared" si="39"/>
        <v>1.7324106113033448</v>
      </c>
      <c r="K58" s="1"/>
      <c r="L58" s="1">
        <f t="shared" si="40"/>
        <v>0</v>
      </c>
      <c r="M58" s="1"/>
      <c r="N58" s="5">
        <f t="shared" si="41"/>
        <v>0</v>
      </c>
      <c r="O58" s="14"/>
      <c r="P58" s="1">
        <f>SUM(OSRRefP22_9x_0)</f>
        <v>7510</v>
      </c>
      <c r="Q58" s="1"/>
      <c r="R58" s="5">
        <f t="shared" si="42"/>
        <v>0</v>
      </c>
      <c r="S58" s="1"/>
      <c r="T58" s="1">
        <f>SUM(OSRRefT22_9x_0)</f>
        <v>7510</v>
      </c>
      <c r="U58" s="1"/>
      <c r="V58" s="5">
        <f t="shared" si="43"/>
        <v>1.7324106113033448</v>
      </c>
      <c r="W58" s="1"/>
      <c r="X58" s="1">
        <f t="shared" si="44"/>
        <v>0</v>
      </c>
      <c r="Y58" s="1"/>
      <c r="Z58" s="5">
        <f t="shared" si="45"/>
        <v>0</v>
      </c>
    </row>
    <row r="59" spans="1:26" s="24" customFormat="1" hidden="1" outlineLevel="2" x14ac:dyDescent="0.25">
      <c r="A59" s="27"/>
      <c r="B59" s="12" t="str">
        <f>CONCATENATE("          ", "6401", " - ", "INTEREST EXPENSE")</f>
        <v xml:space="preserve">          6401 - INTEREST EXPENSE</v>
      </c>
      <c r="C59" s="12"/>
      <c r="D59" s="7">
        <v>7510</v>
      </c>
      <c r="E59" s="3"/>
      <c r="F59" s="8">
        <f t="shared" si="38"/>
        <v>0</v>
      </c>
      <c r="G59" s="3"/>
      <c r="H59" s="7">
        <v>7510</v>
      </c>
      <c r="I59" s="3"/>
      <c r="J59" s="8">
        <f t="shared" si="39"/>
        <v>1.7324106113033448</v>
      </c>
      <c r="K59" s="3"/>
      <c r="L59" s="7">
        <f t="shared" si="40"/>
        <v>0</v>
      </c>
      <c r="M59" s="3"/>
      <c r="N59" s="8">
        <f t="shared" si="41"/>
        <v>0</v>
      </c>
      <c r="O59" s="12"/>
      <c r="P59" s="7">
        <v>7510</v>
      </c>
      <c r="Q59" s="3"/>
      <c r="R59" s="8">
        <f t="shared" si="42"/>
        <v>0</v>
      </c>
      <c r="S59" s="3"/>
      <c r="T59" s="7">
        <v>7510</v>
      </c>
      <c r="U59" s="3"/>
      <c r="V59" s="8">
        <f t="shared" si="43"/>
        <v>1.7324106113033448</v>
      </c>
      <c r="W59" s="3"/>
      <c r="X59" s="7">
        <f t="shared" si="44"/>
        <v>0</v>
      </c>
      <c r="Y59" s="3"/>
      <c r="Z59" s="8">
        <f t="shared" si="45"/>
        <v>0</v>
      </c>
    </row>
    <row r="60" spans="1:26" s="29" customFormat="1" outlineLevel="1" collapsed="1" x14ac:dyDescent="0.25">
      <c r="A60" s="28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SUM(OSRRefD22_10x_0)</f>
        <v>4071.8999999999996</v>
      </c>
      <c r="E60" s="1"/>
      <c r="F60" s="5">
        <f t="shared" si="38"/>
        <v>0</v>
      </c>
      <c r="G60" s="1"/>
      <c r="H60" s="1">
        <f>SUM(OSRRefH22_10x_0)</f>
        <v>837</v>
      </c>
      <c r="I60" s="1"/>
      <c r="J60" s="5">
        <f t="shared" si="39"/>
        <v>0.19307958477508649</v>
      </c>
      <c r="K60" s="1"/>
      <c r="L60" s="1">
        <f t="shared" si="40"/>
        <v>3234.8999999999996</v>
      </c>
      <c r="M60" s="1"/>
      <c r="N60" s="5">
        <f t="shared" si="41"/>
        <v>3.8648745519713259</v>
      </c>
      <c r="O60" s="14"/>
      <c r="P60" s="1">
        <f>SUM(OSRRefP22_10x_0)</f>
        <v>4071.8999999999996</v>
      </c>
      <c r="Q60" s="1"/>
      <c r="R60" s="5">
        <f t="shared" si="42"/>
        <v>0</v>
      </c>
      <c r="S60" s="1"/>
      <c r="T60" s="1">
        <f>SUM(OSRRefT22_10x_0)</f>
        <v>837</v>
      </c>
      <c r="U60" s="1"/>
      <c r="V60" s="5">
        <f t="shared" si="43"/>
        <v>0.19307958477508649</v>
      </c>
      <c r="W60" s="1"/>
      <c r="X60" s="1">
        <f t="shared" si="44"/>
        <v>3234.8999999999996</v>
      </c>
      <c r="Y60" s="1"/>
      <c r="Z60" s="5">
        <f t="shared" si="45"/>
        <v>3.8648745519713259</v>
      </c>
    </row>
    <row r="61" spans="1:26" s="24" customFormat="1" hidden="1" outlineLevel="2" x14ac:dyDescent="0.25">
      <c r="A61" s="27"/>
      <c r="B61" s="12" t="str">
        <f>CONCATENATE("          ", "6373", " - ", "MAINTENANCE CONTRACTS")</f>
        <v xml:space="preserve">          6373 - MAINTENANCE CONTRACTS</v>
      </c>
      <c r="C61" s="12"/>
      <c r="D61" s="7">
        <v>2352.54</v>
      </c>
      <c r="E61" s="3"/>
      <c r="F61" s="8">
        <f t="shared" si="38"/>
        <v>0</v>
      </c>
      <c r="G61" s="3"/>
      <c r="H61" s="7"/>
      <c r="I61" s="3"/>
      <c r="J61" s="8">
        <f t="shared" si="39"/>
        <v>0</v>
      </c>
      <c r="K61" s="3"/>
      <c r="L61" s="7">
        <f t="shared" si="40"/>
        <v>2352.54</v>
      </c>
      <c r="M61" s="3"/>
      <c r="N61" s="8">
        <f t="shared" si="41"/>
        <v>0</v>
      </c>
      <c r="O61" s="12"/>
      <c r="P61" s="7">
        <v>2352.54</v>
      </c>
      <c r="Q61" s="3"/>
      <c r="R61" s="8">
        <f t="shared" si="42"/>
        <v>0</v>
      </c>
      <c r="S61" s="3"/>
      <c r="T61" s="7"/>
      <c r="U61" s="3"/>
      <c r="V61" s="8">
        <f t="shared" si="43"/>
        <v>0</v>
      </c>
      <c r="W61" s="3"/>
      <c r="X61" s="7">
        <f t="shared" si="44"/>
        <v>2352.54</v>
      </c>
      <c r="Y61" s="3"/>
      <c r="Z61" s="8">
        <f t="shared" si="45"/>
        <v>0</v>
      </c>
    </row>
    <row r="62" spans="1:26" s="24" customFormat="1" hidden="1" outlineLevel="2" x14ac:dyDescent="0.25">
      <c r="A62" s="27"/>
      <c r="B62" s="12" t="str">
        <f>CONCATENATE("          ", "6375", " - ", "OUTSIDE REPAIRS &amp; MAINTENANCE")</f>
        <v xml:space="preserve">          6375 - OUTSIDE REPAIRS &amp; MAINTENANCE</v>
      </c>
      <c r="C62" s="12"/>
      <c r="D62" s="7">
        <v>1719.36</v>
      </c>
      <c r="E62" s="3"/>
      <c r="F62" s="8">
        <f t="shared" si="38"/>
        <v>0</v>
      </c>
      <c r="G62" s="3"/>
      <c r="H62" s="7">
        <v>837</v>
      </c>
      <c r="I62" s="3"/>
      <c r="J62" s="8">
        <f t="shared" si="39"/>
        <v>0.19307958477508649</v>
      </c>
      <c r="K62" s="3"/>
      <c r="L62" s="7">
        <f t="shared" si="40"/>
        <v>882.3599999999999</v>
      </c>
      <c r="M62" s="3"/>
      <c r="N62" s="8">
        <f t="shared" si="41"/>
        <v>1.0541935483870966</v>
      </c>
      <c r="O62" s="12"/>
      <c r="P62" s="7">
        <v>1719.36</v>
      </c>
      <c r="Q62" s="3"/>
      <c r="R62" s="8">
        <f t="shared" si="42"/>
        <v>0</v>
      </c>
      <c r="S62" s="3"/>
      <c r="T62" s="7">
        <v>837</v>
      </c>
      <c r="U62" s="3"/>
      <c r="V62" s="8">
        <f t="shared" si="43"/>
        <v>0.19307958477508649</v>
      </c>
      <c r="W62" s="3"/>
      <c r="X62" s="7">
        <f t="shared" si="44"/>
        <v>882.3599999999999</v>
      </c>
      <c r="Y62" s="3"/>
      <c r="Z62" s="8">
        <f t="shared" si="45"/>
        <v>1.0541935483870966</v>
      </c>
    </row>
    <row r="63" spans="1:26" s="29" customFormat="1" outlineLevel="1" collapsed="1" x14ac:dyDescent="0.25">
      <c r="A63" s="28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SUM(OSRRefD22_11x_0)</f>
        <v>1000</v>
      </c>
      <c r="E63" s="1"/>
      <c r="F63" s="5">
        <f t="shared" ref="F63:F67" si="46">IF(D$12=0,0,D63/D$12)</f>
        <v>0</v>
      </c>
      <c r="G63" s="1"/>
      <c r="H63" s="1">
        <f>SUM(OSRRefH22_11x_0)</f>
        <v>4055</v>
      </c>
      <c r="I63" s="1"/>
      <c r="J63" s="5">
        <f t="shared" ref="J63:J67" si="47">IF(H$12=0,0,H63/H$12)</f>
        <v>0.93540945790080743</v>
      </c>
      <c r="K63" s="1"/>
      <c r="L63" s="1">
        <f t="shared" ref="L63:L67" si="48">+D63-H63</f>
        <v>-3055</v>
      </c>
      <c r="M63" s="1"/>
      <c r="N63" s="5">
        <f t="shared" ref="N63:N67" si="49">IF(H63=0,0,L63/H63)</f>
        <v>-0.75339087546239214</v>
      </c>
      <c r="O63" s="14"/>
      <c r="P63" s="1">
        <f>SUM(OSRRefP22_11x_0)</f>
        <v>1000</v>
      </c>
      <c r="Q63" s="1"/>
      <c r="R63" s="5">
        <f t="shared" ref="R63:R67" si="50">IF(P$12=0,0,P63/P$12)</f>
        <v>0</v>
      </c>
      <c r="S63" s="1"/>
      <c r="T63" s="1">
        <f>SUM(OSRRefT22_11x_0)</f>
        <v>4055</v>
      </c>
      <c r="U63" s="1"/>
      <c r="V63" s="5">
        <f t="shared" ref="V63:V67" si="51">IF(T$12=0,0,T63/T$12)</f>
        <v>0.93540945790080743</v>
      </c>
      <c r="W63" s="1"/>
      <c r="X63" s="1">
        <f t="shared" ref="X63:X67" si="52">+P63-T63</f>
        <v>-3055</v>
      </c>
      <c r="Y63" s="1"/>
      <c r="Z63" s="5">
        <f t="shared" ref="Z63:Z67" si="53">IF(T63=0,0,X63/T63)</f>
        <v>-0.75339087546239214</v>
      </c>
    </row>
    <row r="64" spans="1:26" s="24" customFormat="1" hidden="1" outlineLevel="2" x14ac:dyDescent="0.25">
      <c r="A64" s="27"/>
      <c r="B64" s="12" t="str">
        <f>CONCATENATE("          ", "6282", " - ", "JANITORIAL/EXTERMINATOR EXPENS")</f>
        <v xml:space="preserve">          6282 - JANITORIAL/EXTERMINATOR EXPENS</v>
      </c>
      <c r="C64" s="12"/>
      <c r="D64" s="7"/>
      <c r="E64" s="3"/>
      <c r="F64" s="8">
        <f t="shared" si="46"/>
        <v>0</v>
      </c>
      <c r="G64" s="3"/>
      <c r="H64" s="7">
        <v>329</v>
      </c>
      <c r="I64" s="3"/>
      <c r="J64" s="8">
        <f t="shared" si="47"/>
        <v>7.5893886966551333E-2</v>
      </c>
      <c r="K64" s="3"/>
      <c r="L64" s="7">
        <f t="shared" si="48"/>
        <v>-329</v>
      </c>
      <c r="M64" s="3"/>
      <c r="N64" s="8">
        <f t="shared" si="49"/>
        <v>-1</v>
      </c>
      <c r="O64" s="12"/>
      <c r="P64" s="7"/>
      <c r="Q64" s="3"/>
      <c r="R64" s="8">
        <f t="shared" si="50"/>
        <v>0</v>
      </c>
      <c r="S64" s="3"/>
      <c r="T64" s="7">
        <v>329</v>
      </c>
      <c r="U64" s="3"/>
      <c r="V64" s="8">
        <f t="shared" si="51"/>
        <v>7.5893886966551333E-2</v>
      </c>
      <c r="W64" s="3"/>
      <c r="X64" s="7">
        <f t="shared" si="52"/>
        <v>-329</v>
      </c>
      <c r="Y64" s="3"/>
      <c r="Z64" s="8">
        <f t="shared" si="53"/>
        <v>-1</v>
      </c>
    </row>
    <row r="65" spans="1:26" s="24" customFormat="1" hidden="1" outlineLevel="2" x14ac:dyDescent="0.25">
      <c r="A65" s="27"/>
      <c r="B65" s="12" t="str">
        <f>CONCATENATE("          ", "6283", " - ", "PLANT SERVICE")</f>
        <v xml:space="preserve">          6283 - PLANT SERVICE</v>
      </c>
      <c r="C65" s="12"/>
      <c r="D65" s="7"/>
      <c r="E65" s="3"/>
      <c r="F65" s="8">
        <f t="shared" si="46"/>
        <v>0</v>
      </c>
      <c r="G65" s="3"/>
      <c r="H65" s="7">
        <v>62</v>
      </c>
      <c r="I65" s="3"/>
      <c r="J65" s="8">
        <f t="shared" si="47"/>
        <v>1.4302191464821222E-2</v>
      </c>
      <c r="K65" s="3"/>
      <c r="L65" s="7">
        <f t="shared" si="48"/>
        <v>-62</v>
      </c>
      <c r="M65" s="3"/>
      <c r="N65" s="8">
        <f t="shared" si="49"/>
        <v>-1</v>
      </c>
      <c r="O65" s="12"/>
      <c r="P65" s="7"/>
      <c r="Q65" s="3"/>
      <c r="R65" s="8">
        <f t="shared" si="50"/>
        <v>0</v>
      </c>
      <c r="S65" s="3"/>
      <c r="T65" s="7">
        <v>62</v>
      </c>
      <c r="U65" s="3"/>
      <c r="V65" s="8">
        <f t="shared" si="51"/>
        <v>1.4302191464821222E-2</v>
      </c>
      <c r="W65" s="3"/>
      <c r="X65" s="7">
        <f t="shared" si="52"/>
        <v>-62</v>
      </c>
      <c r="Y65" s="3"/>
      <c r="Z65" s="8">
        <f t="shared" si="53"/>
        <v>-1</v>
      </c>
    </row>
    <row r="66" spans="1:26" s="24" customFormat="1" hidden="1" outlineLevel="2" x14ac:dyDescent="0.25">
      <c r="A66" s="27"/>
      <c r="B66" s="12" t="str">
        <f>CONCATENATE("          ", "6284", " - ", "TRASH REMOVAL EXPENSE")</f>
        <v xml:space="preserve">          6284 - TRASH REMOVAL EXPENSE</v>
      </c>
      <c r="C66" s="12"/>
      <c r="D66" s="7">
        <v>1000</v>
      </c>
      <c r="E66" s="3"/>
      <c r="F66" s="8">
        <f t="shared" si="46"/>
        <v>0</v>
      </c>
      <c r="G66" s="3"/>
      <c r="H66" s="7">
        <v>623</v>
      </c>
      <c r="I66" s="3"/>
      <c r="J66" s="8">
        <f t="shared" si="47"/>
        <v>0.14371395617070357</v>
      </c>
      <c r="K66" s="3"/>
      <c r="L66" s="7">
        <f t="shared" si="48"/>
        <v>377</v>
      </c>
      <c r="M66" s="3"/>
      <c r="N66" s="8">
        <f t="shared" si="49"/>
        <v>0.60513643659711081</v>
      </c>
      <c r="O66" s="12"/>
      <c r="P66" s="7">
        <v>1000</v>
      </c>
      <c r="Q66" s="3"/>
      <c r="R66" s="8">
        <f t="shared" si="50"/>
        <v>0</v>
      </c>
      <c r="S66" s="3"/>
      <c r="T66" s="7">
        <v>623</v>
      </c>
      <c r="U66" s="3"/>
      <c r="V66" s="8">
        <f t="shared" si="51"/>
        <v>0.14371395617070357</v>
      </c>
      <c r="W66" s="3"/>
      <c r="X66" s="7">
        <f t="shared" si="52"/>
        <v>377</v>
      </c>
      <c r="Y66" s="3"/>
      <c r="Z66" s="8">
        <f t="shared" si="53"/>
        <v>0.60513643659711081</v>
      </c>
    </row>
    <row r="67" spans="1:26" s="24" customFormat="1" hidden="1" outlineLevel="2" x14ac:dyDescent="0.25">
      <c r="A67" s="27"/>
      <c r="B67" s="12" t="str">
        <f>CONCATENATE("          ", "6285", " - ", "JANITORIAL SERVICES")</f>
        <v xml:space="preserve">          6285 - JANITORIAL SERVICES</v>
      </c>
      <c r="C67" s="12"/>
      <c r="D67" s="7"/>
      <c r="E67" s="3"/>
      <c r="F67" s="8">
        <f t="shared" si="46"/>
        <v>0</v>
      </c>
      <c r="G67" s="3"/>
      <c r="H67" s="7">
        <v>3041</v>
      </c>
      <c r="I67" s="3"/>
      <c r="J67" s="8">
        <f t="shared" si="47"/>
        <v>0.70149942329873127</v>
      </c>
      <c r="K67" s="3"/>
      <c r="L67" s="7">
        <f t="shared" si="48"/>
        <v>-3041</v>
      </c>
      <c r="M67" s="3"/>
      <c r="N67" s="8">
        <f t="shared" si="49"/>
        <v>-1</v>
      </c>
      <c r="O67" s="12"/>
      <c r="P67" s="7"/>
      <c r="Q67" s="3"/>
      <c r="R67" s="8">
        <f t="shared" si="50"/>
        <v>0</v>
      </c>
      <c r="S67" s="3"/>
      <c r="T67" s="7">
        <v>3041</v>
      </c>
      <c r="U67" s="3"/>
      <c r="V67" s="8">
        <f t="shared" si="51"/>
        <v>0.70149942329873127</v>
      </c>
      <c r="W67" s="3"/>
      <c r="X67" s="7">
        <f t="shared" si="52"/>
        <v>-3041</v>
      </c>
      <c r="Y67" s="3"/>
      <c r="Z67" s="8">
        <f t="shared" si="53"/>
        <v>-1</v>
      </c>
    </row>
    <row r="68" spans="1:26" s="29" customFormat="1" outlineLevel="1" collapsed="1" x14ac:dyDescent="0.25">
      <c r="A68" s="28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1">
        <f>SUM(OSRRefD22_12x_0)</f>
        <v>9.32</v>
      </c>
      <c r="E68" s="1"/>
      <c r="F68" s="5">
        <f t="shared" ref="F68:F75" si="54">IF(D$12=0,0,D68/D$12)</f>
        <v>0</v>
      </c>
      <c r="G68" s="1"/>
      <c r="H68" s="1">
        <f>SUM(OSRRefH22_12x_0)</f>
        <v>197</v>
      </c>
      <c r="I68" s="1"/>
      <c r="J68" s="5">
        <f t="shared" ref="J68:J75" si="55">IF(H$12=0,0,H68/H$12)</f>
        <v>4.5444059976931947E-2</v>
      </c>
      <c r="K68" s="1"/>
      <c r="L68" s="1">
        <f t="shared" ref="L68:L75" si="56">+D68-H68</f>
        <v>-187.68</v>
      </c>
      <c r="M68" s="1"/>
      <c r="N68" s="5">
        <f t="shared" ref="N68:N75" si="57">IF(H68=0,0,L68/H68)</f>
        <v>-0.95269035532994928</v>
      </c>
      <c r="O68" s="14"/>
      <c r="P68" s="1">
        <f>SUM(OSRRefP22_12x_0)</f>
        <v>9.32</v>
      </c>
      <c r="Q68" s="1"/>
      <c r="R68" s="5">
        <f t="shared" ref="R68:R75" si="58">IF(P$12=0,0,P68/P$12)</f>
        <v>0</v>
      </c>
      <c r="S68" s="1"/>
      <c r="T68" s="1">
        <f>SUM(OSRRefT22_12x_0)</f>
        <v>197</v>
      </c>
      <c r="U68" s="1"/>
      <c r="V68" s="5">
        <f t="shared" ref="V68:V75" si="59">IF(T$12=0,0,T68/T$12)</f>
        <v>4.5444059976931947E-2</v>
      </c>
      <c r="W68" s="1"/>
      <c r="X68" s="1">
        <f t="shared" ref="X68:X75" si="60">+P68-T68</f>
        <v>-187.68</v>
      </c>
      <c r="Y68" s="1"/>
      <c r="Z68" s="5">
        <f t="shared" ref="Z68:Z75" si="61">IF(T68=0,0,X68/T68)</f>
        <v>-0.95269035532994928</v>
      </c>
    </row>
    <row r="69" spans="1:26" s="24" customFormat="1" hidden="1" outlineLevel="2" x14ac:dyDescent="0.25">
      <c r="A69" s="27"/>
      <c r="B69" s="12" t="str">
        <f>CONCATENATE("          ", "6275", " - ", "SUBSCRIPTIONS")</f>
        <v xml:space="preserve">          6275 - SUBSCRIPTIONS</v>
      </c>
      <c r="C69" s="12"/>
      <c r="D69" s="7">
        <v>9.32</v>
      </c>
      <c r="E69" s="3"/>
      <c r="F69" s="8">
        <f t="shared" si="54"/>
        <v>0</v>
      </c>
      <c r="G69" s="3"/>
      <c r="H69" s="7">
        <v>197</v>
      </c>
      <c r="I69" s="3"/>
      <c r="J69" s="8">
        <f t="shared" si="55"/>
        <v>4.5444059976931947E-2</v>
      </c>
      <c r="K69" s="3"/>
      <c r="L69" s="7">
        <f t="shared" si="56"/>
        <v>-187.68</v>
      </c>
      <c r="M69" s="3"/>
      <c r="N69" s="8">
        <f t="shared" si="57"/>
        <v>-0.95269035532994928</v>
      </c>
      <c r="O69" s="12"/>
      <c r="P69" s="7">
        <v>9.32</v>
      </c>
      <c r="Q69" s="3"/>
      <c r="R69" s="8">
        <f t="shared" si="58"/>
        <v>0</v>
      </c>
      <c r="S69" s="3"/>
      <c r="T69" s="7">
        <v>197</v>
      </c>
      <c r="U69" s="3"/>
      <c r="V69" s="8">
        <f t="shared" si="59"/>
        <v>4.5444059976931947E-2</v>
      </c>
      <c r="W69" s="3"/>
      <c r="X69" s="7">
        <f t="shared" si="60"/>
        <v>-187.68</v>
      </c>
      <c r="Y69" s="3"/>
      <c r="Z69" s="8">
        <f t="shared" si="61"/>
        <v>-0.95269035532994928</v>
      </c>
    </row>
    <row r="70" spans="1:26" s="29" customFormat="1" outlineLevel="1" collapsed="1" x14ac:dyDescent="0.25">
      <c r="A70" s="28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SUM(OSRRefD22_13x_0)</f>
        <v>542.44000000000005</v>
      </c>
      <c r="E70" s="1"/>
      <c r="F70" s="5">
        <f t="shared" si="54"/>
        <v>0</v>
      </c>
      <c r="G70" s="1"/>
      <c r="H70" s="1">
        <f>SUM(OSRRefH22_13x_0)</f>
        <v>989</v>
      </c>
      <c r="I70" s="1"/>
      <c r="J70" s="5">
        <f t="shared" si="55"/>
        <v>0.22814302191464822</v>
      </c>
      <c r="K70" s="1"/>
      <c r="L70" s="1">
        <f t="shared" si="56"/>
        <v>-446.55999999999995</v>
      </c>
      <c r="M70" s="1"/>
      <c r="N70" s="5">
        <f t="shared" si="57"/>
        <v>-0.45152679474216373</v>
      </c>
      <c r="O70" s="14"/>
      <c r="P70" s="1">
        <f>SUM(OSRRefP22_13x_0)</f>
        <v>542.44000000000005</v>
      </c>
      <c r="Q70" s="1"/>
      <c r="R70" s="5">
        <f t="shared" si="58"/>
        <v>0</v>
      </c>
      <c r="S70" s="1"/>
      <c r="T70" s="1">
        <f>SUM(OSRRefT22_13x_0)</f>
        <v>989</v>
      </c>
      <c r="U70" s="1"/>
      <c r="V70" s="5">
        <f t="shared" si="59"/>
        <v>0.22814302191464822</v>
      </c>
      <c r="W70" s="1"/>
      <c r="X70" s="1">
        <f t="shared" si="60"/>
        <v>-446.55999999999995</v>
      </c>
      <c r="Y70" s="1"/>
      <c r="Z70" s="5">
        <f t="shared" si="61"/>
        <v>-0.45152679474216373</v>
      </c>
    </row>
    <row r="71" spans="1:26" s="24" customFormat="1" hidden="1" outlineLevel="2" x14ac:dyDescent="0.25">
      <c r="A71" s="27"/>
      <c r="B71" s="12" t="str">
        <f>CONCATENATE("          ", "6235", " - ", "COVID-19 EXPENSES")</f>
        <v xml:space="preserve">          6235 - COVID-19 EXPENSES</v>
      </c>
      <c r="C71" s="12"/>
      <c r="D71" s="7">
        <v>535.82000000000005</v>
      </c>
      <c r="E71" s="3"/>
      <c r="F71" s="8">
        <f t="shared" si="54"/>
        <v>0</v>
      </c>
      <c r="G71" s="3"/>
      <c r="H71" s="7"/>
      <c r="I71" s="3"/>
      <c r="J71" s="8">
        <f t="shared" si="55"/>
        <v>0</v>
      </c>
      <c r="K71" s="3"/>
      <c r="L71" s="7">
        <f t="shared" si="56"/>
        <v>535.82000000000005</v>
      </c>
      <c r="M71" s="3"/>
      <c r="N71" s="8">
        <f t="shared" si="57"/>
        <v>0</v>
      </c>
      <c r="O71" s="12"/>
      <c r="P71" s="7">
        <v>535.82000000000005</v>
      </c>
      <c r="Q71" s="3"/>
      <c r="R71" s="8">
        <f t="shared" si="58"/>
        <v>0</v>
      </c>
      <c r="S71" s="3"/>
      <c r="T71" s="7"/>
      <c r="U71" s="3"/>
      <c r="V71" s="8">
        <f t="shared" si="59"/>
        <v>0</v>
      </c>
      <c r="W71" s="3"/>
      <c r="X71" s="7">
        <f t="shared" si="60"/>
        <v>535.82000000000005</v>
      </c>
      <c r="Y71" s="3"/>
      <c r="Z71" s="8">
        <f t="shared" si="61"/>
        <v>0</v>
      </c>
    </row>
    <row r="72" spans="1:26" s="24" customFormat="1" hidden="1" outlineLevel="2" x14ac:dyDescent="0.25">
      <c r="A72" s="27"/>
      <c r="B72" s="12" t="str">
        <f>CONCATENATE("          ", "6237", " - ", "JANITORIAL SUPPLIES")</f>
        <v xml:space="preserve">          6237 - JANITORIAL SUPPLIES</v>
      </c>
      <c r="C72" s="12"/>
      <c r="D72" s="7"/>
      <c r="E72" s="3"/>
      <c r="F72" s="8">
        <f t="shared" si="54"/>
        <v>0</v>
      </c>
      <c r="G72" s="3"/>
      <c r="H72" s="7">
        <v>523</v>
      </c>
      <c r="I72" s="3"/>
      <c r="J72" s="8">
        <f t="shared" si="55"/>
        <v>0.12064590542099192</v>
      </c>
      <c r="K72" s="3"/>
      <c r="L72" s="7">
        <f t="shared" si="56"/>
        <v>-523</v>
      </c>
      <c r="M72" s="3"/>
      <c r="N72" s="8">
        <f t="shared" si="57"/>
        <v>-1</v>
      </c>
      <c r="O72" s="12"/>
      <c r="P72" s="7"/>
      <c r="Q72" s="3"/>
      <c r="R72" s="8">
        <f t="shared" si="58"/>
        <v>0</v>
      </c>
      <c r="S72" s="3"/>
      <c r="T72" s="7">
        <v>523</v>
      </c>
      <c r="U72" s="3"/>
      <c r="V72" s="8">
        <f t="shared" si="59"/>
        <v>0.12064590542099192</v>
      </c>
      <c r="W72" s="3"/>
      <c r="X72" s="7">
        <f t="shared" si="60"/>
        <v>-523</v>
      </c>
      <c r="Y72" s="3"/>
      <c r="Z72" s="8">
        <f t="shared" si="61"/>
        <v>-1</v>
      </c>
    </row>
    <row r="73" spans="1:26" s="24" customFormat="1" hidden="1" outlineLevel="2" x14ac:dyDescent="0.25">
      <c r="A73" s="27"/>
      <c r="B73" s="12" t="str">
        <f>CONCATENATE("          ", "6239", " - ", "KITCHEN SUPPLIES")</f>
        <v xml:space="preserve">          6239 - KITCHEN SUPPLIES</v>
      </c>
      <c r="C73" s="12"/>
      <c r="D73" s="7"/>
      <c r="E73" s="3"/>
      <c r="F73" s="8">
        <f t="shared" si="54"/>
        <v>0</v>
      </c>
      <c r="G73" s="3"/>
      <c r="H73" s="7">
        <v>63</v>
      </c>
      <c r="I73" s="3"/>
      <c r="J73" s="8">
        <f t="shared" si="55"/>
        <v>1.453287197231834E-2</v>
      </c>
      <c r="K73" s="3"/>
      <c r="L73" s="7">
        <f t="shared" si="56"/>
        <v>-63</v>
      </c>
      <c r="M73" s="3"/>
      <c r="N73" s="8">
        <f t="shared" si="57"/>
        <v>-1</v>
      </c>
      <c r="O73" s="12"/>
      <c r="P73" s="7"/>
      <c r="Q73" s="3"/>
      <c r="R73" s="8">
        <f t="shared" si="58"/>
        <v>0</v>
      </c>
      <c r="S73" s="3"/>
      <c r="T73" s="7">
        <v>63</v>
      </c>
      <c r="U73" s="3"/>
      <c r="V73" s="8">
        <f t="shared" si="59"/>
        <v>1.453287197231834E-2</v>
      </c>
      <c r="W73" s="3"/>
      <c r="X73" s="7">
        <f t="shared" si="60"/>
        <v>-63</v>
      </c>
      <c r="Y73" s="3"/>
      <c r="Z73" s="8">
        <f t="shared" si="61"/>
        <v>-1</v>
      </c>
    </row>
    <row r="74" spans="1:26" s="24" customFormat="1" hidden="1" outlineLevel="2" x14ac:dyDescent="0.25">
      <c r="A74" s="27"/>
      <c r="B74" s="12" t="str">
        <f>CONCATENATE("          ", "6241", " - ", "OFFICE EXPENSE")</f>
        <v xml:space="preserve">          6241 - OFFICE EXPENSE</v>
      </c>
      <c r="C74" s="12"/>
      <c r="D74" s="7">
        <v>6.62</v>
      </c>
      <c r="E74" s="3"/>
      <c r="F74" s="8">
        <f t="shared" si="54"/>
        <v>0</v>
      </c>
      <c r="G74" s="3"/>
      <c r="H74" s="7">
        <v>44</v>
      </c>
      <c r="I74" s="3"/>
      <c r="J74" s="8">
        <f t="shared" si="55"/>
        <v>1.0149942329873126E-2</v>
      </c>
      <c r="K74" s="3"/>
      <c r="L74" s="7">
        <f t="shared" si="56"/>
        <v>-37.380000000000003</v>
      </c>
      <c r="M74" s="3"/>
      <c r="N74" s="8">
        <f t="shared" si="57"/>
        <v>-0.8495454545454546</v>
      </c>
      <c r="O74" s="12"/>
      <c r="P74" s="7">
        <v>6.62</v>
      </c>
      <c r="Q74" s="3"/>
      <c r="R74" s="8">
        <f t="shared" si="58"/>
        <v>0</v>
      </c>
      <c r="S74" s="3"/>
      <c r="T74" s="7">
        <v>44</v>
      </c>
      <c r="U74" s="3"/>
      <c r="V74" s="8">
        <f t="shared" si="59"/>
        <v>1.0149942329873126E-2</v>
      </c>
      <c r="W74" s="3"/>
      <c r="X74" s="7">
        <f t="shared" si="60"/>
        <v>-37.380000000000003</v>
      </c>
      <c r="Y74" s="3"/>
      <c r="Z74" s="8">
        <f t="shared" si="61"/>
        <v>-0.8495454545454546</v>
      </c>
    </row>
    <row r="75" spans="1:26" s="24" customFormat="1" hidden="1" outlineLevel="2" x14ac:dyDescent="0.25">
      <c r="A75" s="27"/>
      <c r="B75" s="12" t="str">
        <f>CONCATENATE("          ", "6243", " - ", "PAPER SUPPLIES")</f>
        <v xml:space="preserve">          6243 - PAPER SUPPLIES</v>
      </c>
      <c r="C75" s="12"/>
      <c r="D75" s="7"/>
      <c r="E75" s="3"/>
      <c r="F75" s="8">
        <f t="shared" si="54"/>
        <v>0</v>
      </c>
      <c r="G75" s="3"/>
      <c r="H75" s="7">
        <v>359</v>
      </c>
      <c r="I75" s="3"/>
      <c r="J75" s="8">
        <f t="shared" si="55"/>
        <v>8.2814302191464823E-2</v>
      </c>
      <c r="K75" s="3"/>
      <c r="L75" s="7">
        <f t="shared" si="56"/>
        <v>-359</v>
      </c>
      <c r="M75" s="3"/>
      <c r="N75" s="8">
        <f t="shared" si="57"/>
        <v>-1</v>
      </c>
      <c r="O75" s="12"/>
      <c r="P75" s="7"/>
      <c r="Q75" s="3"/>
      <c r="R75" s="8">
        <f t="shared" si="58"/>
        <v>0</v>
      </c>
      <c r="S75" s="3"/>
      <c r="T75" s="7">
        <v>359</v>
      </c>
      <c r="U75" s="3"/>
      <c r="V75" s="8">
        <f t="shared" si="59"/>
        <v>8.2814302191464823E-2</v>
      </c>
      <c r="W75" s="3"/>
      <c r="X75" s="7">
        <f t="shared" si="60"/>
        <v>-359</v>
      </c>
      <c r="Y75" s="3"/>
      <c r="Z75" s="8">
        <f t="shared" si="61"/>
        <v>-1</v>
      </c>
    </row>
    <row r="76" spans="1:26" s="29" customFormat="1" outlineLevel="1" collapsed="1" x14ac:dyDescent="0.25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SUM(OSRRefD22_14x_0)</f>
        <v>232</v>
      </c>
      <c r="E76" s="1"/>
      <c r="F76" s="5">
        <f t="shared" ref="F76:F78" si="62">IF(D$12=0,0,D76/D$12)</f>
        <v>0</v>
      </c>
      <c r="G76" s="1"/>
      <c r="H76" s="1">
        <f>SUM(OSRRefH22_14x_0)</f>
        <v>242</v>
      </c>
      <c r="I76" s="1"/>
      <c r="J76" s="5">
        <f t="shared" ref="J76:J78" si="63">IF(H$12=0,0,H76/H$12)</f>
        <v>5.5824682814302189E-2</v>
      </c>
      <c r="K76" s="1"/>
      <c r="L76" s="1">
        <f t="shared" ref="L76:L78" si="64">+D76-H76</f>
        <v>-10</v>
      </c>
      <c r="M76" s="1"/>
      <c r="N76" s="5">
        <f t="shared" ref="N76:N78" si="65">IF(H76=0,0,L76/H76)</f>
        <v>-4.1322314049586778E-2</v>
      </c>
      <c r="O76" s="14"/>
      <c r="P76" s="1">
        <f>SUM(OSRRefP22_14x_0)</f>
        <v>232</v>
      </c>
      <c r="Q76" s="1"/>
      <c r="R76" s="5">
        <f t="shared" ref="R76:R78" si="66">IF(P$12=0,0,P76/P$12)</f>
        <v>0</v>
      </c>
      <c r="S76" s="1"/>
      <c r="T76" s="1">
        <f>SUM(OSRRefT22_14x_0)</f>
        <v>242</v>
      </c>
      <c r="U76" s="1"/>
      <c r="V76" s="5">
        <f t="shared" ref="V76:V78" si="67">IF(T$12=0,0,T76/T$12)</f>
        <v>5.5824682814302189E-2</v>
      </c>
      <c r="W76" s="1"/>
      <c r="X76" s="1">
        <f t="shared" ref="X76:X78" si="68">+P76-T76</f>
        <v>-10</v>
      </c>
      <c r="Y76" s="1"/>
      <c r="Z76" s="5">
        <f t="shared" ref="Z76:Z78" si="69">IF(T76=0,0,X76/T76)</f>
        <v>-4.1322314049586778E-2</v>
      </c>
    </row>
    <row r="77" spans="1:26" s="24" customFormat="1" hidden="1" outlineLevel="2" x14ac:dyDescent="0.25">
      <c r="A77" s="27"/>
      <c r="B77" s="12" t="str">
        <f>CONCATENATE("          ", "6303", " - ", "DATA PHONE LINES")</f>
        <v xml:space="preserve">          6303 - DATA PHONE LINES</v>
      </c>
      <c r="C77" s="12"/>
      <c r="D77" s="7"/>
      <c r="E77" s="3"/>
      <c r="F77" s="8">
        <f t="shared" si="62"/>
        <v>0</v>
      </c>
      <c r="G77" s="3"/>
      <c r="H77" s="7">
        <v>92</v>
      </c>
      <c r="I77" s="3"/>
      <c r="J77" s="8">
        <f t="shared" si="63"/>
        <v>2.1222606689734719E-2</v>
      </c>
      <c r="K77" s="3"/>
      <c r="L77" s="7">
        <f t="shared" si="64"/>
        <v>-92</v>
      </c>
      <c r="M77" s="3"/>
      <c r="N77" s="8">
        <f t="shared" si="65"/>
        <v>-1</v>
      </c>
      <c r="O77" s="12"/>
      <c r="P77" s="7"/>
      <c r="Q77" s="3"/>
      <c r="R77" s="8">
        <f t="shared" si="66"/>
        <v>0</v>
      </c>
      <c r="S77" s="3"/>
      <c r="T77" s="7">
        <v>92</v>
      </c>
      <c r="U77" s="3"/>
      <c r="V77" s="8">
        <f t="shared" si="67"/>
        <v>2.1222606689734719E-2</v>
      </c>
      <c r="W77" s="3"/>
      <c r="X77" s="7">
        <f t="shared" si="68"/>
        <v>-92</v>
      </c>
      <c r="Y77" s="3"/>
      <c r="Z77" s="8">
        <f t="shared" si="69"/>
        <v>-1</v>
      </c>
    </row>
    <row r="78" spans="1:26" s="24" customFormat="1" hidden="1" outlineLevel="2" x14ac:dyDescent="0.25">
      <c r="A78" s="27"/>
      <c r="B78" s="12" t="str">
        <f>CONCATENATE("          ", "6309", " - ", "TELEPHONE")</f>
        <v xml:space="preserve">          6309 - TELEPHONE</v>
      </c>
      <c r="C78" s="12"/>
      <c r="D78" s="7">
        <v>232</v>
      </c>
      <c r="E78" s="3"/>
      <c r="F78" s="8">
        <f t="shared" si="62"/>
        <v>0</v>
      </c>
      <c r="G78" s="3"/>
      <c r="H78" s="7">
        <v>150</v>
      </c>
      <c r="I78" s="3"/>
      <c r="J78" s="8">
        <f t="shared" si="63"/>
        <v>3.4602076124567477E-2</v>
      </c>
      <c r="K78" s="3"/>
      <c r="L78" s="7">
        <f t="shared" si="64"/>
        <v>82</v>
      </c>
      <c r="M78" s="3"/>
      <c r="N78" s="8">
        <f t="shared" si="65"/>
        <v>0.54666666666666663</v>
      </c>
      <c r="O78" s="12"/>
      <c r="P78" s="7">
        <v>232</v>
      </c>
      <c r="Q78" s="3"/>
      <c r="R78" s="8">
        <f t="shared" si="66"/>
        <v>0</v>
      </c>
      <c r="S78" s="3"/>
      <c r="T78" s="7">
        <v>150</v>
      </c>
      <c r="U78" s="3"/>
      <c r="V78" s="8">
        <f t="shared" si="67"/>
        <v>3.4602076124567477E-2</v>
      </c>
      <c r="W78" s="3"/>
      <c r="X78" s="7">
        <f t="shared" si="68"/>
        <v>82</v>
      </c>
      <c r="Y78" s="3"/>
      <c r="Z78" s="8">
        <f t="shared" si="69"/>
        <v>0.54666666666666663</v>
      </c>
    </row>
    <row r="79" spans="1:26" s="29" customFormat="1" outlineLevel="1" collapsed="1" x14ac:dyDescent="0.25">
      <c r="A79" s="28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SUM(OSRRefD22_15x_0)</f>
        <v>2300</v>
      </c>
      <c r="E79" s="1"/>
      <c r="F79" s="5">
        <f t="shared" ref="F79:F80" si="70">IF(D$12=0,0,D79/D$12)</f>
        <v>0</v>
      </c>
      <c r="G79" s="1"/>
      <c r="H79" s="1">
        <f>SUM(OSRRefH22_15x_0)</f>
        <v>2300</v>
      </c>
      <c r="I79" s="1"/>
      <c r="J79" s="5">
        <f t="shared" ref="J79:J80" si="71">IF(H$12=0,0,H79/H$12)</f>
        <v>0.53056516724336789</v>
      </c>
      <c r="K79" s="1"/>
      <c r="L79" s="1">
        <f t="shared" ref="L79:L80" si="72">+D79-H79</f>
        <v>0</v>
      </c>
      <c r="M79" s="1"/>
      <c r="N79" s="5">
        <f t="shared" ref="N79:N80" si="73">IF(H79=0,0,L79/H79)</f>
        <v>0</v>
      </c>
      <c r="O79" s="14"/>
      <c r="P79" s="1">
        <f>SUM(OSRRefP22_15x_0)</f>
        <v>2300</v>
      </c>
      <c r="Q79" s="1"/>
      <c r="R79" s="5">
        <f t="shared" ref="R79:R80" si="74">IF(P$12=0,0,P79/P$12)</f>
        <v>0</v>
      </c>
      <c r="S79" s="1"/>
      <c r="T79" s="1">
        <f>SUM(OSRRefT22_15x_0)</f>
        <v>2300</v>
      </c>
      <c r="U79" s="1"/>
      <c r="V79" s="5">
        <f t="shared" ref="V79:V80" si="75">IF(T$12=0,0,T79/T$12)</f>
        <v>0.53056516724336789</v>
      </c>
      <c r="W79" s="1"/>
      <c r="X79" s="1">
        <f t="shared" ref="X79:X80" si="76">+P79-T79</f>
        <v>0</v>
      </c>
      <c r="Y79" s="1"/>
      <c r="Z79" s="5">
        <f t="shared" ref="Z79:Z80" si="77">IF(T79=0,0,X79/T79)</f>
        <v>0</v>
      </c>
    </row>
    <row r="80" spans="1:26" s="24" customFormat="1" hidden="1" outlineLevel="2" x14ac:dyDescent="0.25">
      <c r="A80" s="27"/>
      <c r="B80" s="12" t="str">
        <f>CONCATENATE("          ", "6274", " - ", "UTILITIES")</f>
        <v xml:space="preserve">          6274 - UTILITIES</v>
      </c>
      <c r="C80" s="12"/>
      <c r="D80" s="7">
        <v>2300</v>
      </c>
      <c r="E80" s="3"/>
      <c r="F80" s="8">
        <f t="shared" si="70"/>
        <v>0</v>
      </c>
      <c r="G80" s="3"/>
      <c r="H80" s="7">
        <v>2300</v>
      </c>
      <c r="I80" s="3"/>
      <c r="J80" s="8">
        <f t="shared" si="71"/>
        <v>0.53056516724336789</v>
      </c>
      <c r="K80" s="3"/>
      <c r="L80" s="7">
        <f t="shared" si="72"/>
        <v>0</v>
      </c>
      <c r="M80" s="3"/>
      <c r="N80" s="8">
        <f t="shared" si="73"/>
        <v>0</v>
      </c>
      <c r="O80" s="12"/>
      <c r="P80" s="7">
        <v>2300</v>
      </c>
      <c r="Q80" s="3"/>
      <c r="R80" s="8">
        <f t="shared" si="74"/>
        <v>0</v>
      </c>
      <c r="S80" s="3"/>
      <c r="T80" s="7">
        <v>2300</v>
      </c>
      <c r="U80" s="3"/>
      <c r="V80" s="8">
        <f t="shared" si="75"/>
        <v>0.53056516724336789</v>
      </c>
      <c r="W80" s="3"/>
      <c r="X80" s="7">
        <f t="shared" si="76"/>
        <v>0</v>
      </c>
      <c r="Y80" s="3"/>
      <c r="Z80" s="8">
        <f t="shared" si="77"/>
        <v>0</v>
      </c>
    </row>
    <row r="81" spans="1:26" s="54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2" customFormat="1" x14ac:dyDescent="0.25">
      <c r="A82" s="10"/>
      <c r="B82" s="26" t="s">
        <v>0</v>
      </c>
      <c r="C82" s="10"/>
      <c r="D82" s="4">
        <f>SUM(0)</f>
        <v>0</v>
      </c>
      <c r="E82" s="4"/>
      <c r="F82" s="11">
        <f>IF(D$12=0,0,D82/D$12)</f>
        <v>0</v>
      </c>
      <c r="G82" s="4"/>
      <c r="H82" s="4">
        <f>SUM(0)</f>
        <v>0</v>
      </c>
      <c r="I82" s="4"/>
      <c r="J82" s="11">
        <f>IF(H$12=0,0,H82/H$12)</f>
        <v>0</v>
      </c>
      <c r="K82" s="4"/>
      <c r="L82" s="4">
        <f>+D82-H82</f>
        <v>0</v>
      </c>
      <c r="M82" s="4"/>
      <c r="N82" s="11">
        <f>IF(H82=0,0,L82/H82)</f>
        <v>0</v>
      </c>
      <c r="O82" s="10"/>
      <c r="P82" s="4">
        <f>SUM(0)</f>
        <v>0</v>
      </c>
      <c r="Q82" s="4"/>
      <c r="R82" s="11">
        <f>IF(P$12=0,0,P82/P$12)</f>
        <v>0</v>
      </c>
      <c r="S82" s="4"/>
      <c r="T82" s="4">
        <f>SUM(0)</f>
        <v>0</v>
      </c>
      <c r="U82" s="4"/>
      <c r="V82" s="11">
        <f>IF(T$12=0,0,T82/T$12)</f>
        <v>0</v>
      </c>
      <c r="W82" s="4"/>
      <c r="X82" s="4">
        <f>+P82-T82</f>
        <v>0</v>
      </c>
      <c r="Y82" s="4"/>
      <c r="Z82" s="11">
        <f>IF(T82=0,0,X82/T82)</f>
        <v>0</v>
      </c>
    </row>
    <row r="83" spans="1:26" x14ac:dyDescent="0.25">
      <c r="A83" s="9"/>
      <c r="B83" s="10"/>
      <c r="C83" s="10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O83" s="10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22" customFormat="1" x14ac:dyDescent="0.25">
      <c r="A84" s="10"/>
      <c r="B84" s="25" t="s">
        <v>3</v>
      </c>
      <c r="C84" s="25"/>
      <c r="D84" s="21">
        <f>+D19-D21+D82</f>
        <v>-56656.840000000004</v>
      </c>
      <c r="E84" s="13"/>
      <c r="F84" s="20">
        <f>IF(D$12=0,0,D84/D$12)</f>
        <v>0</v>
      </c>
      <c r="G84" s="13"/>
      <c r="H84" s="21">
        <f>+H19-H21+H82</f>
        <v>-49914.394966365377</v>
      </c>
      <c r="I84" s="13"/>
      <c r="J84" s="20">
        <f>IF(H$12=0,0,H84/H$12)</f>
        <v>-11.514277962252683</v>
      </c>
      <c r="K84" s="15"/>
      <c r="L84" s="21">
        <f>+D84-H84</f>
        <v>-6742.4450336346272</v>
      </c>
      <c r="M84" s="15"/>
      <c r="N84" s="20">
        <f>IF(H84=0,0,L84/H84)</f>
        <v>0.1350801715252283</v>
      </c>
      <c r="O84" s="26"/>
      <c r="P84" s="21">
        <f>+P19-P21+P82</f>
        <v>-56656.840000000004</v>
      </c>
      <c r="Q84" s="13"/>
      <c r="R84" s="20">
        <f>IF(P$12=0,0,P84/P$12)</f>
        <v>0</v>
      </c>
      <c r="S84" s="13"/>
      <c r="T84" s="21">
        <f>+T19-T21+T82</f>
        <v>-49914.394966365377</v>
      </c>
      <c r="U84" s="13"/>
      <c r="V84" s="20">
        <f>IF(T$12=0,0,T84/T$12)</f>
        <v>-11.514277962252683</v>
      </c>
      <c r="W84" s="15"/>
      <c r="X84" s="21">
        <f>+P84-T84</f>
        <v>-6742.4450336346272</v>
      </c>
      <c r="Y84" s="15"/>
      <c r="Z84" s="20">
        <f>IF(T84=0,0,X84/T84)</f>
        <v>0.1350801715252283</v>
      </c>
    </row>
    <row r="85" spans="1:26" x14ac:dyDescent="0.25">
      <c r="A85" s="9"/>
      <c r="B85" s="10"/>
      <c r="C85" s="9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2" customFormat="1" x14ac:dyDescent="0.25">
      <c r="A86" s="52"/>
      <c r="B86" s="10" t="s">
        <v>14</v>
      </c>
      <c r="C86" s="10"/>
      <c r="D86" s="4"/>
      <c r="E86" s="4"/>
      <c r="F86" s="11">
        <f>IF(D$12=0,0,D86/D$12)</f>
        <v>0</v>
      </c>
      <c r="G86" s="4"/>
      <c r="H86" s="4">
        <v>2106</v>
      </c>
      <c r="I86" s="4"/>
      <c r="J86" s="11">
        <f>IF(H$12=0,0,H86/H$12)</f>
        <v>0.48581314878892734</v>
      </c>
      <c r="K86" s="4"/>
      <c r="L86" s="4">
        <f>+D86-H86</f>
        <v>-2106</v>
      </c>
      <c r="M86" s="4"/>
      <c r="N86" s="11">
        <f>IF(H86=0,0,L86/H86)</f>
        <v>-1</v>
      </c>
      <c r="O86" s="10"/>
      <c r="P86" s="4"/>
      <c r="Q86" s="4"/>
      <c r="R86" s="11">
        <f>IF(P$12=0,0,P86/P$12)</f>
        <v>0</v>
      </c>
      <c r="S86" s="4"/>
      <c r="T86" s="4">
        <v>2106</v>
      </c>
      <c r="U86" s="4"/>
      <c r="V86" s="11">
        <f>IF(T$12=0,0,T86/T$12)</f>
        <v>0.48581314878892734</v>
      </c>
      <c r="W86" s="4"/>
      <c r="X86" s="4">
        <f>+P86-T86</f>
        <v>-2106</v>
      </c>
      <c r="Y86" s="4"/>
      <c r="Z86" s="11">
        <f>IF(T86=0,0,X86/T86)</f>
        <v>-1</v>
      </c>
    </row>
    <row r="87" spans="1:26" x14ac:dyDescent="0.25">
      <c r="A87" s="9"/>
      <c r="B87" s="10"/>
      <c r="C87" s="10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10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2" customFormat="1" ht="15.75" thickBot="1" x14ac:dyDescent="0.3">
      <c r="A88" s="10"/>
      <c r="B88" s="25" t="s">
        <v>4</v>
      </c>
      <c r="C88" s="25"/>
      <c r="D88" s="34">
        <f>+D84-D86</f>
        <v>-56656.840000000004</v>
      </c>
      <c r="E88" s="13"/>
      <c r="F88" s="30">
        <f>IF(D$12=0,0,D88/D$12)</f>
        <v>0</v>
      </c>
      <c r="G88" s="13"/>
      <c r="H88" s="34">
        <f>+H84-H86</f>
        <v>-52020.394966365377</v>
      </c>
      <c r="I88" s="13"/>
      <c r="J88" s="30">
        <f>IF(H$12=0,0,H88/H$12)</f>
        <v>-12.000091111041609</v>
      </c>
      <c r="K88" s="15"/>
      <c r="L88" s="34">
        <f>D88-H88</f>
        <v>-4636.4450336346272</v>
      </c>
      <c r="M88" s="15"/>
      <c r="N88" s="30">
        <f>IF(H88=0,0,L88/H88)</f>
        <v>8.912744773722682E-2</v>
      </c>
      <c r="O88" s="26"/>
      <c r="P88" s="34">
        <f>+P84-P86</f>
        <v>-56656.840000000004</v>
      </c>
      <c r="Q88" s="13"/>
      <c r="R88" s="30">
        <f>IF(P$12=0,0,P88/P$12)</f>
        <v>0</v>
      </c>
      <c r="S88" s="13"/>
      <c r="T88" s="34">
        <f>+T84-T86</f>
        <v>-52020.394966365377</v>
      </c>
      <c r="U88" s="13"/>
      <c r="V88" s="30">
        <f>IF(T$12=0,0,T88/T$12)</f>
        <v>-12.000091111041609</v>
      </c>
      <c r="W88" s="15"/>
      <c r="X88" s="34">
        <f>P88-T88</f>
        <v>-4636.4450336346272</v>
      </c>
      <c r="Y88" s="15"/>
      <c r="Z88" s="30">
        <f>IF(T88=0,0,X88/T88)</f>
        <v>8.912744773722682E-2</v>
      </c>
    </row>
    <row r="89" spans="1:26" ht="15.75" thickTop="1" x14ac:dyDescent="0.25">
      <c r="A89" s="9"/>
      <c r="B89" s="9"/>
      <c r="C89" s="9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x14ac:dyDescent="0.25">
      <c r="A90" s="9"/>
      <c r="B90" s="9"/>
      <c r="C90" s="9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22" customFormat="1" ht="15.75" thickBot="1" x14ac:dyDescent="0.3">
      <c r="A91" s="10"/>
      <c r="B91" s="25" t="s">
        <v>5</v>
      </c>
      <c r="C91" s="25"/>
      <c r="D91" s="32">
        <f>SUM(D88:D90)</f>
        <v>-56656.840000000004</v>
      </c>
      <c r="E91" s="13"/>
      <c r="F91" s="33">
        <f>IF(D$12=0,0,D91/D$12)</f>
        <v>0</v>
      </c>
      <c r="G91" s="13"/>
      <c r="H91" s="32">
        <f>SUM(H88:H90)</f>
        <v>-52020.394966365377</v>
      </c>
      <c r="I91" s="13"/>
      <c r="J91" s="33">
        <f>IF(H$12=0,0,H91/H$12)</f>
        <v>-12.000091111041609</v>
      </c>
      <c r="K91" s="15"/>
      <c r="L91" s="32">
        <f>+D91-H91</f>
        <v>-4636.4450336346272</v>
      </c>
      <c r="M91" s="15"/>
      <c r="N91" s="33">
        <f>IF(H91=0,0,L91/H91)</f>
        <v>8.912744773722682E-2</v>
      </c>
      <c r="O91" s="26"/>
      <c r="P91" s="32">
        <f>SUM(P88:P90)</f>
        <v>-56656.840000000004</v>
      </c>
      <c r="Q91" s="13"/>
      <c r="R91" s="33">
        <f>IF(P$12=0,0,P91/P$12)</f>
        <v>0</v>
      </c>
      <c r="S91" s="13"/>
      <c r="T91" s="32">
        <f>SUM(T88:T90)</f>
        <v>-52020.394966365377</v>
      </c>
      <c r="U91" s="13"/>
      <c r="V91" s="33">
        <f>IF(T$12=0,0,T91/T$12)</f>
        <v>-12.000091111041609</v>
      </c>
      <c r="W91" s="15"/>
      <c r="X91" s="32">
        <f>+P91-T91</f>
        <v>-4636.4450336346272</v>
      </c>
      <c r="Y91" s="15"/>
      <c r="Z91" s="33">
        <f>IF(T91=0,0,X91/T91)</f>
        <v>8.912744773722682E-2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8">
        <v>44104.686351388889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6" t="s">
        <v>314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2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","418", " - ", "Nugget")</f>
        <v>Department 418 - Nugget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3" si="0">+D12-H12</f>
        <v>0</v>
      </c>
      <c r="M12" s="4"/>
      <c r="N12" s="11">
        <f t="shared" ref="N12:N13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3" si="2">+P12-T12</f>
        <v>0</v>
      </c>
      <c r="Y12" s="4"/>
      <c r="Z12" s="11">
        <f t="shared" ref="Z12:Z13" si="3">IF(T12=0,0,X12/T12)</f>
        <v>0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0</f>
        <v>0</v>
      </c>
      <c r="E13" s="3"/>
      <c r="F13" s="23"/>
      <c r="G13" s="3"/>
      <c r="H13" s="3">
        <v>0</v>
      </c>
      <c r="I13" s="3"/>
      <c r="J13" s="23"/>
      <c r="K13" s="3"/>
      <c r="L13" s="3">
        <f t="shared" si="0"/>
        <v>0</v>
      </c>
      <c r="M13" s="3"/>
      <c r="N13" s="23">
        <f t="shared" si="1"/>
        <v>0</v>
      </c>
      <c r="O13" s="12"/>
      <c r="P13" s="3">
        <f>0</f>
        <v>0</v>
      </c>
      <c r="Q13" s="3"/>
      <c r="R13" s="23"/>
      <c r="S13" s="3"/>
      <c r="T13" s="3">
        <v>0</v>
      </c>
      <c r="U13" s="3"/>
      <c r="V13" s="23"/>
      <c r="W13" s="3"/>
      <c r="X13" s="3">
        <f t="shared" si="2"/>
        <v>0</v>
      </c>
      <c r="Y13" s="3"/>
      <c r="Z13" s="23">
        <f t="shared" si="3"/>
        <v>0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1">
        <f t="shared" ref="F15:F16" si="4">IF(D$12=0,0,D15/D$12)</f>
        <v>0</v>
      </c>
      <c r="G15" s="4"/>
      <c r="H15" s="4">
        <f>SUM(OSRRefH16x_0)</f>
        <v>0</v>
      </c>
      <c r="I15" s="4"/>
      <c r="J15" s="11">
        <f t="shared" ref="J15:J16" si="5">IF(H$12=0,0,H15/H$12)</f>
        <v>0</v>
      </c>
      <c r="K15" s="4"/>
      <c r="L15" s="4">
        <f t="shared" ref="L15:L16" si="6">+D15-H15</f>
        <v>0</v>
      </c>
      <c r="M15" s="4"/>
      <c r="N15" s="11">
        <f t="shared" ref="N15:N16" si="7">IF(H15=0,0,L15/H15)</f>
        <v>0</v>
      </c>
      <c r="O15" s="10"/>
      <c r="P15" s="4">
        <f>SUM(OSRRefP16x_0)</f>
        <v>0</v>
      </c>
      <c r="Q15" s="4"/>
      <c r="R15" s="11">
        <f t="shared" ref="R15:R16" si="8">IF(P$12=0,0,P15/P$12)</f>
        <v>0</v>
      </c>
      <c r="S15" s="4"/>
      <c r="T15" s="4">
        <f>SUM(OSRRefT16x_0)</f>
        <v>0</v>
      </c>
      <c r="U15" s="4"/>
      <c r="V15" s="11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1">
        <f t="shared" ref="Z15:Z16" si="11">IF(T15=0,0,X15/T15)</f>
        <v>0</v>
      </c>
    </row>
    <row r="16" spans="1:26" s="24" customFormat="1" hidden="1" outlineLevel="1" x14ac:dyDescent="0.25">
      <c r="A16" s="51"/>
      <c r="B16" s="12" t="str">
        <f>CONCATENATE("          ", "5000", " - ", "PURCHASES @ COST")</f>
        <v xml:space="preserve">          5000 - PURCHASES @ COST</v>
      </c>
      <c r="C16" s="12"/>
      <c r="D16" s="3"/>
      <c r="E16" s="3"/>
      <c r="F16" s="23">
        <f t="shared" si="4"/>
        <v>0</v>
      </c>
      <c r="G16" s="3"/>
      <c r="H16" s="3">
        <v>0</v>
      </c>
      <c r="I16" s="3"/>
      <c r="J16" s="23">
        <f t="shared" si="5"/>
        <v>0</v>
      </c>
      <c r="K16" s="3"/>
      <c r="L16" s="3">
        <f t="shared" si="6"/>
        <v>0</v>
      </c>
      <c r="M16" s="3"/>
      <c r="N16" s="23">
        <f t="shared" si="7"/>
        <v>0</v>
      </c>
      <c r="O16" s="12"/>
      <c r="P16" s="3"/>
      <c r="Q16" s="3"/>
      <c r="R16" s="23">
        <f t="shared" si="8"/>
        <v>0</v>
      </c>
      <c r="S16" s="3"/>
      <c r="T16" s="3">
        <v>0</v>
      </c>
      <c r="U16" s="3"/>
      <c r="V16" s="23">
        <f t="shared" si="9"/>
        <v>0</v>
      </c>
      <c r="W16" s="3"/>
      <c r="X16" s="3">
        <f t="shared" si="10"/>
        <v>0</v>
      </c>
      <c r="Y16" s="3"/>
      <c r="Z16" s="23">
        <f t="shared" si="11"/>
        <v>0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>
        <f>D12-D15</f>
        <v>0</v>
      </c>
      <c r="E18" s="13"/>
      <c r="F18" s="20">
        <f>IF(D$12=0,0,D18/D$12)</f>
        <v>0</v>
      </c>
      <c r="G18" s="13"/>
      <c r="H18" s="21">
        <f>H12-H15</f>
        <v>0</v>
      </c>
      <c r="I18" s="13"/>
      <c r="J18" s="20">
        <f>IF(H$12=0,0,H18/H$12)</f>
        <v>0</v>
      </c>
      <c r="K18" s="15"/>
      <c r="L18" s="21">
        <f>+D18-H18</f>
        <v>0</v>
      </c>
      <c r="M18" s="15"/>
      <c r="N18" s="20">
        <f>IF(H18=0,0,L18/H18)</f>
        <v>0</v>
      </c>
      <c r="O18" s="26"/>
      <c r="P18" s="21">
        <f>P12-P15</f>
        <v>0</v>
      </c>
      <c r="Q18" s="13"/>
      <c r="R18" s="20">
        <f>IF(P$12=0,0,P18/P$12)</f>
        <v>0</v>
      </c>
      <c r="S18" s="13"/>
      <c r="T18" s="21">
        <f>T12-T15</f>
        <v>0</v>
      </c>
      <c r="U18" s="13"/>
      <c r="V18" s="20">
        <f>IF(T$12=0,0,T18/T$12)</f>
        <v>0</v>
      </c>
      <c r="W18" s="15"/>
      <c r="X18" s="21">
        <f>+P18-T18</f>
        <v>0</v>
      </c>
      <c r="Y18" s="15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>
        <f>SUM(OSRRefD22x_0)</f>
        <v>17067.47</v>
      </c>
      <c r="E20" s="19"/>
      <c r="F20" s="31">
        <f t="shared" ref="F20:F29" si="12">IF(D$12=0,0,D20/D$12)</f>
        <v>0</v>
      </c>
      <c r="G20" s="19"/>
      <c r="H20" s="19">
        <f>SUM(OSRRefH22x_0)</f>
        <v>7178</v>
      </c>
      <c r="I20" s="19"/>
      <c r="J20" s="31">
        <f t="shared" ref="J20:J29" si="13">IF(H$12=0,0,H20/H$12)</f>
        <v>0</v>
      </c>
      <c r="K20" s="4"/>
      <c r="L20" s="19">
        <f t="shared" ref="L20:L29" si="14">+D20-H20</f>
        <v>9889.4700000000012</v>
      </c>
      <c r="M20" s="4"/>
      <c r="N20" s="31">
        <f t="shared" ref="N20:N29" si="15">IF(H20=0,0,L20/H20)</f>
        <v>1.3777472833658402</v>
      </c>
      <c r="O20" s="10"/>
      <c r="P20" s="19">
        <f>SUM(OSRRefP22x_0)</f>
        <v>17067.47</v>
      </c>
      <c r="Q20" s="19"/>
      <c r="R20" s="31">
        <f t="shared" ref="R20:R29" si="16">IF(P$12=0,0,P20/P$12)</f>
        <v>0</v>
      </c>
      <c r="S20" s="19"/>
      <c r="T20" s="19">
        <f>SUM(OSRRefT22x_0)</f>
        <v>7178</v>
      </c>
      <c r="U20" s="19"/>
      <c r="V20" s="31">
        <f t="shared" ref="V20:V29" si="17">IF(T$12=0,0,T20/T$12)</f>
        <v>0</v>
      </c>
      <c r="W20" s="4"/>
      <c r="X20" s="19">
        <f t="shared" ref="X20:X29" si="18">+P20-T20</f>
        <v>9889.4700000000012</v>
      </c>
      <c r="Y20" s="4"/>
      <c r="Z20" s="31">
        <f t="shared" ref="Z20:Z29" si="19">IF(T20=0,0,X20/T20)</f>
        <v>1.3777472833658402</v>
      </c>
    </row>
    <row r="21" spans="1:26" s="29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6083.9599999999991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6083.9599999999991</v>
      </c>
      <c r="M21" s="1"/>
      <c r="N21" s="5">
        <f t="shared" si="15"/>
        <v>0</v>
      </c>
      <c r="O21" s="14"/>
      <c r="P21" s="1">
        <f>SUM(OSRRefP22_0x_0)</f>
        <v>6083.9599999999991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6083.9599999999991</v>
      </c>
      <c r="Y21" s="1"/>
      <c r="Z21" s="5">
        <f t="shared" si="19"/>
        <v>0</v>
      </c>
    </row>
    <row r="22" spans="1:26" s="24" customFormat="1" hidden="1" outlineLevel="2" x14ac:dyDescent="0.25">
      <c r="A22" s="27"/>
      <c r="B22" s="12" t="str">
        <f>CONCATENATE("          ", "6111", " - ", "F.I.C.A.")</f>
        <v xml:space="preserve">          6111 - F.I.C.A.</v>
      </c>
      <c r="C22" s="12"/>
      <c r="D22" s="7">
        <v>235.15</v>
      </c>
      <c r="E22" s="3"/>
      <c r="F22" s="8">
        <f t="shared" si="12"/>
        <v>0</v>
      </c>
      <c r="G22" s="3"/>
      <c r="H22" s="7">
        <v>0</v>
      </c>
      <c r="I22" s="3"/>
      <c r="J22" s="8">
        <f t="shared" si="13"/>
        <v>0</v>
      </c>
      <c r="K22" s="3"/>
      <c r="L22" s="7">
        <f t="shared" si="14"/>
        <v>235.15</v>
      </c>
      <c r="M22" s="3"/>
      <c r="N22" s="8">
        <f t="shared" si="15"/>
        <v>0</v>
      </c>
      <c r="O22" s="12"/>
      <c r="P22" s="7">
        <v>235.15</v>
      </c>
      <c r="Q22" s="3"/>
      <c r="R22" s="8">
        <f t="shared" si="16"/>
        <v>0</v>
      </c>
      <c r="S22" s="3"/>
      <c r="T22" s="7">
        <v>0</v>
      </c>
      <c r="U22" s="3"/>
      <c r="V22" s="8">
        <f t="shared" si="17"/>
        <v>0</v>
      </c>
      <c r="W22" s="3"/>
      <c r="X22" s="7">
        <f t="shared" si="18"/>
        <v>235.15</v>
      </c>
      <c r="Y22" s="3"/>
      <c r="Z22" s="8">
        <f t="shared" si="19"/>
        <v>0</v>
      </c>
    </row>
    <row r="23" spans="1:26" s="24" customFormat="1" hidden="1" outlineLevel="2" x14ac:dyDescent="0.25">
      <c r="A23" s="27"/>
      <c r="B23" s="12" t="str">
        <f>CONCATENATE("          ", "6112", " - ", "COMPENSATION INSURANCE")</f>
        <v xml:space="preserve">          6112 - COMPENSATION INSURANCE</v>
      </c>
      <c r="C23" s="12"/>
      <c r="D23" s="7"/>
      <c r="E23" s="3"/>
      <c r="F23" s="8">
        <f t="shared" si="12"/>
        <v>0</v>
      </c>
      <c r="G23" s="3"/>
      <c r="H23" s="7">
        <v>0</v>
      </c>
      <c r="I23" s="3"/>
      <c r="J23" s="8">
        <f t="shared" si="13"/>
        <v>0</v>
      </c>
      <c r="K23" s="3"/>
      <c r="L23" s="7">
        <f t="shared" si="14"/>
        <v>0</v>
      </c>
      <c r="M23" s="3"/>
      <c r="N23" s="8">
        <f t="shared" si="15"/>
        <v>0</v>
      </c>
      <c r="O23" s="12"/>
      <c r="P23" s="7"/>
      <c r="Q23" s="3"/>
      <c r="R23" s="8">
        <f t="shared" si="16"/>
        <v>0</v>
      </c>
      <c r="S23" s="3"/>
      <c r="T23" s="7">
        <v>0</v>
      </c>
      <c r="U23" s="3"/>
      <c r="V23" s="8">
        <f t="shared" si="17"/>
        <v>0</v>
      </c>
      <c r="W23" s="3"/>
      <c r="X23" s="7">
        <f t="shared" si="18"/>
        <v>0</v>
      </c>
      <c r="Y23" s="3"/>
      <c r="Z23" s="8">
        <f t="shared" si="19"/>
        <v>0</v>
      </c>
    </row>
    <row r="24" spans="1:26" s="24" customFormat="1" hidden="1" outlineLevel="2" x14ac:dyDescent="0.25">
      <c r="A24" s="27"/>
      <c r="B24" s="12" t="str">
        <f>CONCATENATE("          ", "6113", " - ", "GROUP INSURANCE")</f>
        <v xml:space="preserve">          6113 - GROUP INSURANCE</v>
      </c>
      <c r="C24" s="12"/>
      <c r="D24" s="7">
        <v>4780.67</v>
      </c>
      <c r="E24" s="3"/>
      <c r="F24" s="8">
        <f t="shared" si="12"/>
        <v>0</v>
      </c>
      <c r="G24" s="3"/>
      <c r="H24" s="7">
        <v>0</v>
      </c>
      <c r="I24" s="3"/>
      <c r="J24" s="8">
        <f t="shared" si="13"/>
        <v>0</v>
      </c>
      <c r="K24" s="3"/>
      <c r="L24" s="7">
        <f t="shared" si="14"/>
        <v>4780.67</v>
      </c>
      <c r="M24" s="3"/>
      <c r="N24" s="8">
        <f t="shared" si="15"/>
        <v>0</v>
      </c>
      <c r="O24" s="12"/>
      <c r="P24" s="7">
        <v>4780.67</v>
      </c>
      <c r="Q24" s="3"/>
      <c r="R24" s="8">
        <f t="shared" si="16"/>
        <v>0</v>
      </c>
      <c r="S24" s="3"/>
      <c r="T24" s="7">
        <v>0</v>
      </c>
      <c r="U24" s="3"/>
      <c r="V24" s="8">
        <f t="shared" si="17"/>
        <v>0</v>
      </c>
      <c r="W24" s="3"/>
      <c r="X24" s="7">
        <f t="shared" si="18"/>
        <v>4780.67</v>
      </c>
      <c r="Y24" s="3"/>
      <c r="Z24" s="8">
        <f t="shared" si="19"/>
        <v>0</v>
      </c>
    </row>
    <row r="25" spans="1:26" s="24" customFormat="1" hidden="1" outlineLevel="2" x14ac:dyDescent="0.25">
      <c r="A25" s="27"/>
      <c r="B25" s="12" t="str">
        <f>CONCATENATE("          ", "6114", " - ", "STATE UNEMPLOYMENT INSURANCE")</f>
        <v xml:space="preserve">          6114 - STATE UNEMPLOYMENT INSURANCE</v>
      </c>
      <c r="C25" s="12"/>
      <c r="D25" s="7"/>
      <c r="E25" s="3"/>
      <c r="F25" s="8">
        <f t="shared" si="12"/>
        <v>0</v>
      </c>
      <c r="G25" s="3"/>
      <c r="H25" s="7">
        <v>0</v>
      </c>
      <c r="I25" s="3"/>
      <c r="J25" s="8">
        <f t="shared" si="13"/>
        <v>0</v>
      </c>
      <c r="K25" s="3"/>
      <c r="L25" s="7">
        <f t="shared" si="14"/>
        <v>0</v>
      </c>
      <c r="M25" s="3"/>
      <c r="N25" s="8">
        <f t="shared" si="15"/>
        <v>0</v>
      </c>
      <c r="O25" s="12"/>
      <c r="P25" s="7"/>
      <c r="Q25" s="3"/>
      <c r="R25" s="8">
        <f t="shared" si="16"/>
        <v>0</v>
      </c>
      <c r="S25" s="3"/>
      <c r="T25" s="7">
        <v>0</v>
      </c>
      <c r="U25" s="3"/>
      <c r="V25" s="8">
        <f t="shared" si="17"/>
        <v>0</v>
      </c>
      <c r="W25" s="3"/>
      <c r="X25" s="7">
        <f t="shared" si="18"/>
        <v>0</v>
      </c>
      <c r="Y25" s="3"/>
      <c r="Z25" s="8">
        <f t="shared" si="19"/>
        <v>0</v>
      </c>
    </row>
    <row r="26" spans="1:26" s="24" customFormat="1" hidden="1" outlineLevel="2" x14ac:dyDescent="0.25">
      <c r="A26" s="27"/>
      <c r="B26" s="12" t="str">
        <f>CONCATENATE("          ", "6115", " - ", "P.E.R.S.")</f>
        <v xml:space="preserve">          6115 - P.E.R.S.</v>
      </c>
      <c r="C26" s="12"/>
      <c r="D26" s="7">
        <v>678.15</v>
      </c>
      <c r="E26" s="3"/>
      <c r="F26" s="8">
        <f t="shared" si="12"/>
        <v>0</v>
      </c>
      <c r="G26" s="3"/>
      <c r="H26" s="7">
        <v>0</v>
      </c>
      <c r="I26" s="3"/>
      <c r="J26" s="8">
        <f t="shared" si="13"/>
        <v>0</v>
      </c>
      <c r="K26" s="3"/>
      <c r="L26" s="7">
        <f t="shared" si="14"/>
        <v>678.15</v>
      </c>
      <c r="M26" s="3"/>
      <c r="N26" s="8">
        <f t="shared" si="15"/>
        <v>0</v>
      </c>
      <c r="O26" s="12"/>
      <c r="P26" s="7">
        <v>678.15</v>
      </c>
      <c r="Q26" s="3"/>
      <c r="R26" s="8">
        <f t="shared" si="16"/>
        <v>0</v>
      </c>
      <c r="S26" s="3"/>
      <c r="T26" s="7">
        <v>0</v>
      </c>
      <c r="U26" s="3"/>
      <c r="V26" s="8">
        <f t="shared" si="17"/>
        <v>0</v>
      </c>
      <c r="W26" s="3"/>
      <c r="X26" s="7">
        <f t="shared" si="18"/>
        <v>678.15</v>
      </c>
      <c r="Y26" s="3"/>
      <c r="Z26" s="8">
        <f t="shared" si="19"/>
        <v>0</v>
      </c>
    </row>
    <row r="27" spans="1:26" s="24" customFormat="1" hidden="1" outlineLevel="2" x14ac:dyDescent="0.25">
      <c r="A27" s="27"/>
      <c r="B27" s="12" t="str">
        <f>CONCATENATE("          ", "6116", " - ", "EDUCATIONAL BENEFITS")</f>
        <v xml:space="preserve">          6116 - EDUCATIONAL BENEFITS</v>
      </c>
      <c r="C27" s="12"/>
      <c r="D27" s="7"/>
      <c r="E27" s="3"/>
      <c r="F27" s="8">
        <f t="shared" si="12"/>
        <v>0</v>
      </c>
      <c r="G27" s="3"/>
      <c r="H27" s="7">
        <v>0</v>
      </c>
      <c r="I27" s="3"/>
      <c r="J27" s="8">
        <f t="shared" si="13"/>
        <v>0</v>
      </c>
      <c r="K27" s="3"/>
      <c r="L27" s="7">
        <f t="shared" si="14"/>
        <v>0</v>
      </c>
      <c r="M27" s="3"/>
      <c r="N27" s="8">
        <f t="shared" si="15"/>
        <v>0</v>
      </c>
      <c r="O27" s="12"/>
      <c r="P27" s="7"/>
      <c r="Q27" s="3"/>
      <c r="R27" s="8">
        <f t="shared" si="16"/>
        <v>0</v>
      </c>
      <c r="S27" s="3"/>
      <c r="T27" s="7">
        <v>0</v>
      </c>
      <c r="U27" s="3"/>
      <c r="V27" s="8">
        <f t="shared" si="17"/>
        <v>0</v>
      </c>
      <c r="W27" s="3"/>
      <c r="X27" s="7">
        <f t="shared" si="18"/>
        <v>0</v>
      </c>
      <c r="Y27" s="3"/>
      <c r="Z27" s="8">
        <f t="shared" si="19"/>
        <v>0</v>
      </c>
    </row>
    <row r="28" spans="1:26" s="24" customFormat="1" hidden="1" outlineLevel="2" x14ac:dyDescent="0.25">
      <c r="A28" s="27"/>
      <c r="B28" s="12" t="str">
        <f>CONCATENATE("          ", "6118", " - ", "VACATION")</f>
        <v xml:space="preserve">          6118 - VACATION</v>
      </c>
      <c r="C28" s="12"/>
      <c r="D28" s="7">
        <v>248.21</v>
      </c>
      <c r="E28" s="3"/>
      <c r="F28" s="8">
        <f t="shared" si="12"/>
        <v>0</v>
      </c>
      <c r="G28" s="3"/>
      <c r="H28" s="7">
        <v>0</v>
      </c>
      <c r="I28" s="3"/>
      <c r="J28" s="8">
        <f t="shared" si="13"/>
        <v>0</v>
      </c>
      <c r="K28" s="3"/>
      <c r="L28" s="7">
        <f t="shared" si="14"/>
        <v>248.21</v>
      </c>
      <c r="M28" s="3"/>
      <c r="N28" s="8">
        <f t="shared" si="15"/>
        <v>0</v>
      </c>
      <c r="O28" s="12"/>
      <c r="P28" s="7">
        <v>248.21</v>
      </c>
      <c r="Q28" s="3"/>
      <c r="R28" s="8">
        <f t="shared" si="16"/>
        <v>0</v>
      </c>
      <c r="S28" s="3"/>
      <c r="T28" s="7">
        <v>0</v>
      </c>
      <c r="U28" s="3"/>
      <c r="V28" s="8">
        <f t="shared" si="17"/>
        <v>0</v>
      </c>
      <c r="W28" s="3"/>
      <c r="X28" s="7">
        <f t="shared" si="18"/>
        <v>248.21</v>
      </c>
      <c r="Y28" s="3"/>
      <c r="Z28" s="8">
        <f t="shared" si="19"/>
        <v>0</v>
      </c>
    </row>
    <row r="29" spans="1:26" s="24" customFormat="1" hidden="1" outlineLevel="2" x14ac:dyDescent="0.25">
      <c r="A29" s="27"/>
      <c r="B29" s="12" t="str">
        <f>CONCATENATE("          ", "6119", " - ", "SICK LEAVE")</f>
        <v xml:space="preserve">          6119 - SICK LEAVE</v>
      </c>
      <c r="C29" s="12"/>
      <c r="D29" s="7">
        <v>141.78</v>
      </c>
      <c r="E29" s="3"/>
      <c r="F29" s="8">
        <f t="shared" si="12"/>
        <v>0</v>
      </c>
      <c r="G29" s="3"/>
      <c r="H29" s="7">
        <v>0</v>
      </c>
      <c r="I29" s="3"/>
      <c r="J29" s="8">
        <f t="shared" si="13"/>
        <v>0</v>
      </c>
      <c r="K29" s="3"/>
      <c r="L29" s="7">
        <f t="shared" si="14"/>
        <v>141.78</v>
      </c>
      <c r="M29" s="3"/>
      <c r="N29" s="8">
        <f t="shared" si="15"/>
        <v>0</v>
      </c>
      <c r="O29" s="12"/>
      <c r="P29" s="7">
        <v>141.78</v>
      </c>
      <c r="Q29" s="3"/>
      <c r="R29" s="8">
        <f t="shared" si="16"/>
        <v>0</v>
      </c>
      <c r="S29" s="3"/>
      <c r="T29" s="7">
        <v>0</v>
      </c>
      <c r="U29" s="3"/>
      <c r="V29" s="8">
        <f t="shared" si="17"/>
        <v>0</v>
      </c>
      <c r="W29" s="3"/>
      <c r="X29" s="7">
        <f t="shared" si="18"/>
        <v>141.78</v>
      </c>
      <c r="Y29" s="3"/>
      <c r="Z29" s="8">
        <f t="shared" si="19"/>
        <v>0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2151.69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2151.69</v>
      </c>
      <c r="M30" s="1"/>
      <c r="N30" s="5">
        <f t="shared" ref="N30:N40" si="23">IF(H30=0,0,L30/H30)</f>
        <v>0</v>
      </c>
      <c r="O30" s="14"/>
      <c r="P30" s="1">
        <f>SUM(OSRRefP22_1x_0)</f>
        <v>2151.69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2151.69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/>
      <c r="E31" s="3"/>
      <c r="F31" s="8">
        <f t="shared" si="20"/>
        <v>0</v>
      </c>
      <c r="G31" s="3"/>
      <c r="H31" s="7">
        <v>0</v>
      </c>
      <c r="I31" s="3"/>
      <c r="J31" s="8">
        <f t="shared" si="21"/>
        <v>0</v>
      </c>
      <c r="K31" s="3"/>
      <c r="L31" s="7">
        <f t="shared" si="22"/>
        <v>0</v>
      </c>
      <c r="M31" s="3"/>
      <c r="N31" s="8">
        <f t="shared" si="23"/>
        <v>0</v>
      </c>
      <c r="O31" s="12"/>
      <c r="P31" s="7"/>
      <c r="Q31" s="3"/>
      <c r="R31" s="8">
        <f t="shared" si="24"/>
        <v>0</v>
      </c>
      <c r="S31" s="3"/>
      <c r="T31" s="7">
        <v>0</v>
      </c>
      <c r="U31" s="3"/>
      <c r="V31" s="8">
        <f t="shared" si="25"/>
        <v>0</v>
      </c>
      <c r="W31" s="3"/>
      <c r="X31" s="7">
        <f t="shared" si="26"/>
        <v>0</v>
      </c>
      <c r="Y31" s="3"/>
      <c r="Z31" s="8">
        <f t="shared" si="27"/>
        <v>0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>
        <v>2151.69</v>
      </c>
      <c r="E32" s="3"/>
      <c r="F32" s="8">
        <f t="shared" si="20"/>
        <v>0</v>
      </c>
      <c r="G32" s="3"/>
      <c r="H32" s="7">
        <v>0</v>
      </c>
      <c r="I32" s="3"/>
      <c r="J32" s="8">
        <f t="shared" si="21"/>
        <v>0</v>
      </c>
      <c r="K32" s="3"/>
      <c r="L32" s="7">
        <f t="shared" si="22"/>
        <v>2151.69</v>
      </c>
      <c r="M32" s="3"/>
      <c r="N32" s="8">
        <f t="shared" si="23"/>
        <v>0</v>
      </c>
      <c r="O32" s="12"/>
      <c r="P32" s="7">
        <v>2151.69</v>
      </c>
      <c r="Q32" s="3"/>
      <c r="R32" s="8">
        <f t="shared" si="24"/>
        <v>0</v>
      </c>
      <c r="S32" s="3"/>
      <c r="T32" s="7">
        <v>0</v>
      </c>
      <c r="U32" s="3"/>
      <c r="V32" s="8">
        <f t="shared" si="25"/>
        <v>0</v>
      </c>
      <c r="W32" s="3"/>
      <c r="X32" s="7">
        <f t="shared" si="26"/>
        <v>2151.69</v>
      </c>
      <c r="Y32" s="3"/>
      <c r="Z32" s="8">
        <f t="shared" si="27"/>
        <v>0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20"/>
        <v>0</v>
      </c>
      <c r="G33" s="3"/>
      <c r="H33" s="7">
        <v>0</v>
      </c>
      <c r="I33" s="3"/>
      <c r="J33" s="8">
        <f t="shared" si="21"/>
        <v>0</v>
      </c>
      <c r="K33" s="3"/>
      <c r="L33" s="7">
        <f t="shared" si="22"/>
        <v>0</v>
      </c>
      <c r="M33" s="3"/>
      <c r="N33" s="8">
        <f t="shared" si="23"/>
        <v>0</v>
      </c>
      <c r="O33" s="12"/>
      <c r="P33" s="7"/>
      <c r="Q33" s="3"/>
      <c r="R33" s="8">
        <f t="shared" si="24"/>
        <v>0</v>
      </c>
      <c r="S33" s="3"/>
      <c r="T33" s="7">
        <v>0</v>
      </c>
      <c r="U33" s="3"/>
      <c r="V33" s="8">
        <f t="shared" si="25"/>
        <v>0</v>
      </c>
      <c r="W33" s="3"/>
      <c r="X33" s="7">
        <f t="shared" si="26"/>
        <v>0</v>
      </c>
      <c r="Y33" s="3"/>
      <c r="Z33" s="8">
        <f t="shared" si="27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/>
      <c r="E34" s="3"/>
      <c r="F34" s="8">
        <f t="shared" si="20"/>
        <v>0</v>
      </c>
      <c r="G34" s="3"/>
      <c r="H34" s="7">
        <v>0</v>
      </c>
      <c r="I34" s="3"/>
      <c r="J34" s="8">
        <f t="shared" si="21"/>
        <v>0</v>
      </c>
      <c r="K34" s="3"/>
      <c r="L34" s="7">
        <f t="shared" si="22"/>
        <v>0</v>
      </c>
      <c r="M34" s="3"/>
      <c r="N34" s="8">
        <f t="shared" si="23"/>
        <v>0</v>
      </c>
      <c r="O34" s="12"/>
      <c r="P34" s="7"/>
      <c r="Q34" s="3"/>
      <c r="R34" s="8">
        <f t="shared" si="24"/>
        <v>0</v>
      </c>
      <c r="S34" s="3"/>
      <c r="T34" s="7">
        <v>0</v>
      </c>
      <c r="U34" s="3"/>
      <c r="V34" s="8">
        <f t="shared" si="25"/>
        <v>0</v>
      </c>
      <c r="W34" s="3"/>
      <c r="X34" s="7">
        <f t="shared" si="26"/>
        <v>0</v>
      </c>
      <c r="Y34" s="3"/>
      <c r="Z34" s="8">
        <f t="shared" si="27"/>
        <v>0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20"/>
        <v>0</v>
      </c>
      <c r="G35" s="3"/>
      <c r="H35" s="7">
        <v>0</v>
      </c>
      <c r="I35" s="3"/>
      <c r="J35" s="8">
        <f t="shared" si="21"/>
        <v>0</v>
      </c>
      <c r="K35" s="3"/>
      <c r="L35" s="7">
        <f t="shared" si="22"/>
        <v>0</v>
      </c>
      <c r="M35" s="3"/>
      <c r="N35" s="8">
        <f t="shared" si="23"/>
        <v>0</v>
      </c>
      <c r="O35" s="12"/>
      <c r="P35" s="7"/>
      <c r="Q35" s="3"/>
      <c r="R35" s="8">
        <f t="shared" si="24"/>
        <v>0</v>
      </c>
      <c r="S35" s="3"/>
      <c r="T35" s="7">
        <v>0</v>
      </c>
      <c r="U35" s="3"/>
      <c r="V35" s="8">
        <f t="shared" si="25"/>
        <v>0</v>
      </c>
      <c r="W35" s="3"/>
      <c r="X35" s="7">
        <f t="shared" si="26"/>
        <v>0</v>
      </c>
      <c r="Y35" s="3"/>
      <c r="Z35" s="8">
        <f t="shared" si="27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/>
      <c r="E37" s="3"/>
      <c r="F37" s="8">
        <f t="shared" si="20"/>
        <v>0</v>
      </c>
      <c r="G37" s="3"/>
      <c r="H37" s="7">
        <v>0</v>
      </c>
      <c r="I37" s="3"/>
      <c r="J37" s="8">
        <f t="shared" si="21"/>
        <v>0</v>
      </c>
      <c r="K37" s="3"/>
      <c r="L37" s="7">
        <f t="shared" si="22"/>
        <v>0</v>
      </c>
      <c r="M37" s="3"/>
      <c r="N37" s="8">
        <f t="shared" si="23"/>
        <v>0</v>
      </c>
      <c r="O37" s="12"/>
      <c r="P37" s="7"/>
      <c r="Q37" s="3"/>
      <c r="R37" s="8">
        <f t="shared" si="24"/>
        <v>0</v>
      </c>
      <c r="S37" s="3"/>
      <c r="T37" s="7">
        <v>0</v>
      </c>
      <c r="U37" s="3"/>
      <c r="V37" s="8">
        <f t="shared" si="25"/>
        <v>0</v>
      </c>
      <c r="W37" s="3"/>
      <c r="X37" s="7">
        <f t="shared" si="26"/>
        <v>0</v>
      </c>
      <c r="Y37" s="3"/>
      <c r="Z37" s="8">
        <f t="shared" si="27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20"/>
        <v>0</v>
      </c>
      <c r="G39" s="3"/>
      <c r="H39" s="7">
        <v>0</v>
      </c>
      <c r="I39" s="3"/>
      <c r="J39" s="8">
        <f t="shared" si="21"/>
        <v>0</v>
      </c>
      <c r="K39" s="3"/>
      <c r="L39" s="7">
        <f t="shared" si="22"/>
        <v>0</v>
      </c>
      <c r="M39" s="3"/>
      <c r="N39" s="8">
        <f t="shared" si="23"/>
        <v>0</v>
      </c>
      <c r="O39" s="12"/>
      <c r="P39" s="7"/>
      <c r="Q39" s="3"/>
      <c r="R39" s="8">
        <f t="shared" si="24"/>
        <v>0</v>
      </c>
      <c r="S39" s="3"/>
      <c r="T39" s="7">
        <v>0</v>
      </c>
      <c r="U39" s="3"/>
      <c r="V39" s="8">
        <f t="shared" si="25"/>
        <v>0</v>
      </c>
      <c r="W39" s="3"/>
      <c r="X39" s="7">
        <f t="shared" si="26"/>
        <v>0</v>
      </c>
      <c r="Y39" s="3"/>
      <c r="Z39" s="8">
        <f t="shared" si="27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28">IF(D$12=0,0,D41/D$12)</f>
        <v>0</v>
      </c>
      <c r="G41" s="1"/>
      <c r="H41" s="1">
        <f>SUM(OSRRefH22_2x_0)</f>
        <v>0</v>
      </c>
      <c r="I41" s="1"/>
      <c r="J41" s="5">
        <f t="shared" ref="J41:J45" si="29">IF(H$12=0,0,H41/H$12)</f>
        <v>0</v>
      </c>
      <c r="K41" s="1"/>
      <c r="L41" s="1">
        <f t="shared" ref="L41:L45" si="30">+D41-H41</f>
        <v>0</v>
      </c>
      <c r="M41" s="1"/>
      <c r="N41" s="5">
        <f t="shared" ref="N41:N45" si="31">IF(H41=0,0,L41/H41)</f>
        <v>0</v>
      </c>
      <c r="O41" s="14"/>
      <c r="P41" s="1">
        <f>SUM(OSRRefP22_2x_0)</f>
        <v>0</v>
      </c>
      <c r="Q41" s="1"/>
      <c r="R41" s="5">
        <f t="shared" ref="R41:R45" si="32">IF(P$12=0,0,P41/P$12)</f>
        <v>0</v>
      </c>
      <c r="S41" s="1"/>
      <c r="T41" s="1">
        <f>SUM(OSRRefT22_2x_0)</f>
        <v>0</v>
      </c>
      <c r="U41" s="1"/>
      <c r="V41" s="5">
        <f t="shared" ref="V41:V45" si="33">IF(T$12=0,0,T41/T$12)</f>
        <v>0</v>
      </c>
      <c r="W41" s="1"/>
      <c r="X41" s="1">
        <f t="shared" ref="X41:X45" si="34">+P41-T41</f>
        <v>0</v>
      </c>
      <c r="Y41" s="1"/>
      <c r="Z41" s="5">
        <f t="shared" ref="Z41:Z45" si="35">IF(T41=0,0,X41/T41)</f>
        <v>0</v>
      </c>
    </row>
    <row r="42" spans="1:26" s="24" customFormat="1" hidden="1" outlineLevel="2" x14ac:dyDescent="0.25">
      <c r="A42" s="27"/>
      <c r="B42" s="12" t="str">
        <f>CONCATENATE("          ", "6362", " - ", "ADVERTISING EXPENSE")</f>
        <v xml:space="preserve">          6362 - ADVERTISING EXPENSE</v>
      </c>
      <c r="C42" s="12"/>
      <c r="D42" s="7"/>
      <c r="E42" s="3"/>
      <c r="F42" s="8">
        <f t="shared" si="28"/>
        <v>0</v>
      </c>
      <c r="G42" s="3"/>
      <c r="H42" s="7">
        <v>0</v>
      </c>
      <c r="I42" s="3"/>
      <c r="J42" s="8">
        <f t="shared" si="29"/>
        <v>0</v>
      </c>
      <c r="K42" s="3"/>
      <c r="L42" s="7">
        <f t="shared" si="30"/>
        <v>0</v>
      </c>
      <c r="M42" s="3"/>
      <c r="N42" s="8">
        <f t="shared" si="31"/>
        <v>0</v>
      </c>
      <c r="O42" s="12"/>
      <c r="P42" s="7"/>
      <c r="Q42" s="3"/>
      <c r="R42" s="8">
        <f t="shared" si="32"/>
        <v>0</v>
      </c>
      <c r="S42" s="3"/>
      <c r="T42" s="7">
        <v>0</v>
      </c>
      <c r="U42" s="3"/>
      <c r="V42" s="8">
        <f t="shared" si="33"/>
        <v>0</v>
      </c>
      <c r="W42" s="3"/>
      <c r="X42" s="7">
        <f t="shared" si="34"/>
        <v>0</v>
      </c>
      <c r="Y42" s="3"/>
      <c r="Z42" s="8">
        <f t="shared" si="35"/>
        <v>0</v>
      </c>
    </row>
    <row r="43" spans="1:26" s="29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7177.55</v>
      </c>
      <c r="E43" s="1"/>
      <c r="F43" s="5">
        <f t="shared" si="28"/>
        <v>0</v>
      </c>
      <c r="G43" s="1"/>
      <c r="H43" s="1">
        <f>SUM(OSRRefH22_3x_0)</f>
        <v>7178</v>
      </c>
      <c r="I43" s="1"/>
      <c r="J43" s="5">
        <f t="shared" si="29"/>
        <v>0</v>
      </c>
      <c r="K43" s="1"/>
      <c r="L43" s="1">
        <f t="shared" si="30"/>
        <v>-0.4499999999998181</v>
      </c>
      <c r="M43" s="1"/>
      <c r="N43" s="5">
        <f t="shared" si="31"/>
        <v>-6.2691557536893023E-5</v>
      </c>
      <c r="O43" s="14"/>
      <c r="P43" s="1">
        <f>SUM(OSRRefP22_3x_0)</f>
        <v>7177.55</v>
      </c>
      <c r="Q43" s="1"/>
      <c r="R43" s="5">
        <f t="shared" si="32"/>
        <v>0</v>
      </c>
      <c r="S43" s="1"/>
      <c r="T43" s="1">
        <f>SUM(OSRRefT22_3x_0)</f>
        <v>7178</v>
      </c>
      <c r="U43" s="1"/>
      <c r="V43" s="5">
        <f t="shared" si="33"/>
        <v>0</v>
      </c>
      <c r="W43" s="1"/>
      <c r="X43" s="1">
        <f t="shared" si="34"/>
        <v>-0.4499999999998181</v>
      </c>
      <c r="Y43" s="1"/>
      <c r="Z43" s="5">
        <f t="shared" si="35"/>
        <v>-6.2691557536893023E-5</v>
      </c>
    </row>
    <row r="44" spans="1:26" s="24" customFormat="1" hidden="1" outlineLevel="2" x14ac:dyDescent="0.25">
      <c r="A44" s="27"/>
      <c r="B44" s="12" t="str">
        <f>CONCATENATE("          ", "6321", " - ", "BUILDING DEPRECIATION")</f>
        <v xml:space="preserve">          6321 - BUILDING DEPRECIATION</v>
      </c>
      <c r="C44" s="12"/>
      <c r="D44" s="7">
        <v>6537.05</v>
      </c>
      <c r="E44" s="3"/>
      <c r="F44" s="8">
        <f t="shared" si="28"/>
        <v>0</v>
      </c>
      <c r="G44" s="3"/>
      <c r="H44" s="7"/>
      <c r="I44" s="3"/>
      <c r="J44" s="8">
        <f t="shared" si="29"/>
        <v>0</v>
      </c>
      <c r="K44" s="3"/>
      <c r="L44" s="7">
        <f t="shared" si="30"/>
        <v>6537.05</v>
      </c>
      <c r="M44" s="3"/>
      <c r="N44" s="8">
        <f t="shared" si="31"/>
        <v>0</v>
      </c>
      <c r="O44" s="12"/>
      <c r="P44" s="7">
        <v>6537.05</v>
      </c>
      <c r="Q44" s="3"/>
      <c r="R44" s="8">
        <f t="shared" si="32"/>
        <v>0</v>
      </c>
      <c r="S44" s="3"/>
      <c r="T44" s="7"/>
      <c r="U44" s="3"/>
      <c r="V44" s="8">
        <f t="shared" si="33"/>
        <v>0</v>
      </c>
      <c r="W44" s="3"/>
      <c r="X44" s="7">
        <f t="shared" si="34"/>
        <v>6537.05</v>
      </c>
      <c r="Y44" s="3"/>
      <c r="Z44" s="8">
        <f t="shared" si="35"/>
        <v>0</v>
      </c>
    </row>
    <row r="45" spans="1:26" s="24" customFormat="1" hidden="1" outlineLevel="2" x14ac:dyDescent="0.25">
      <c r="A45" s="27"/>
      <c r="B45" s="12" t="str">
        <f>CONCATENATE("          ", "6322", " - ", "EQUIPMENT DEPRECIATION EXPENSE")</f>
        <v xml:space="preserve">          6322 - EQUIPMENT DEPRECIATION EXPENSE</v>
      </c>
      <c r="C45" s="12"/>
      <c r="D45" s="7">
        <v>640.5</v>
      </c>
      <c r="E45" s="3"/>
      <c r="F45" s="8">
        <f t="shared" si="28"/>
        <v>0</v>
      </c>
      <c r="G45" s="3"/>
      <c r="H45" s="7">
        <v>7178</v>
      </c>
      <c r="I45" s="3"/>
      <c r="J45" s="8">
        <f t="shared" si="29"/>
        <v>0</v>
      </c>
      <c r="K45" s="3"/>
      <c r="L45" s="7">
        <f t="shared" si="30"/>
        <v>-6537.5</v>
      </c>
      <c r="M45" s="3"/>
      <c r="N45" s="8">
        <f t="shared" si="31"/>
        <v>-0.91076901643911956</v>
      </c>
      <c r="O45" s="12"/>
      <c r="P45" s="7">
        <v>640.5</v>
      </c>
      <c r="Q45" s="3"/>
      <c r="R45" s="8">
        <f t="shared" si="32"/>
        <v>0</v>
      </c>
      <c r="S45" s="3"/>
      <c r="T45" s="7">
        <v>7178</v>
      </c>
      <c r="U45" s="3"/>
      <c r="V45" s="8">
        <f t="shared" si="33"/>
        <v>0</v>
      </c>
      <c r="W45" s="3"/>
      <c r="X45" s="7">
        <f t="shared" si="34"/>
        <v>-6537.5</v>
      </c>
      <c r="Y45" s="3"/>
      <c r="Z45" s="8">
        <f t="shared" si="35"/>
        <v>-0.91076901643911956</v>
      </c>
    </row>
    <row r="46" spans="1:26" s="29" customFormat="1" outlineLevel="1" collapsed="1" x14ac:dyDescent="0.25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SUM(OSRRefD22_4x_0)</f>
        <v>263.72000000000003</v>
      </c>
      <c r="E46" s="1"/>
      <c r="F46" s="5">
        <f t="shared" ref="F46:F54" si="36">IF(D$12=0,0,D46/D$12)</f>
        <v>0</v>
      </c>
      <c r="G46" s="1"/>
      <c r="H46" s="1">
        <f>SUM(OSRRefH22_4x_0)</f>
        <v>0</v>
      </c>
      <c r="I46" s="1"/>
      <c r="J46" s="5">
        <f t="shared" ref="J46:J54" si="37">IF(H$12=0,0,H46/H$12)</f>
        <v>0</v>
      </c>
      <c r="K46" s="1"/>
      <c r="L46" s="1">
        <f t="shared" ref="L46:L54" si="38">+D46-H46</f>
        <v>263.72000000000003</v>
      </c>
      <c r="M46" s="1"/>
      <c r="N46" s="5">
        <f t="shared" ref="N46:N54" si="39">IF(H46=0,0,L46/H46)</f>
        <v>0</v>
      </c>
      <c r="O46" s="14"/>
      <c r="P46" s="1">
        <f>SUM(OSRRefP22_4x_0)</f>
        <v>263.72000000000003</v>
      </c>
      <c r="Q46" s="1"/>
      <c r="R46" s="5">
        <f t="shared" ref="R46:R54" si="40">IF(P$12=0,0,P46/P$12)</f>
        <v>0</v>
      </c>
      <c r="S46" s="1"/>
      <c r="T46" s="1">
        <f>SUM(OSRRefT22_4x_0)</f>
        <v>0</v>
      </c>
      <c r="U46" s="1"/>
      <c r="V46" s="5">
        <f t="shared" ref="V46:V54" si="41">IF(T$12=0,0,T46/T$12)</f>
        <v>0</v>
      </c>
      <c r="W46" s="1"/>
      <c r="X46" s="1">
        <f t="shared" ref="X46:X54" si="42">+P46-T46</f>
        <v>263.72000000000003</v>
      </c>
      <c r="Y46" s="1"/>
      <c r="Z46" s="5">
        <f t="shared" ref="Z46:Z54" si="43">IF(T46=0,0,X46/T46)</f>
        <v>0</v>
      </c>
    </row>
    <row r="47" spans="1:26" s="24" customFormat="1" hidden="1" outlineLevel="2" x14ac:dyDescent="0.25">
      <c r="A47" s="27"/>
      <c r="B47" s="12" t="str">
        <f>CONCATENATE("          ", "6351", " - ", "EQUIPMENT RENTAL")</f>
        <v xml:space="preserve">          6351 - EQUIPMENT RENTAL</v>
      </c>
      <c r="C47" s="12"/>
      <c r="D47" s="7">
        <v>263.72000000000003</v>
      </c>
      <c r="E47" s="3"/>
      <c r="F47" s="8">
        <f t="shared" si="36"/>
        <v>0</v>
      </c>
      <c r="G47" s="3"/>
      <c r="H47" s="7"/>
      <c r="I47" s="3"/>
      <c r="J47" s="8">
        <f t="shared" si="37"/>
        <v>0</v>
      </c>
      <c r="K47" s="3"/>
      <c r="L47" s="7">
        <f t="shared" si="38"/>
        <v>263.72000000000003</v>
      </c>
      <c r="M47" s="3"/>
      <c r="N47" s="8">
        <f t="shared" si="39"/>
        <v>0</v>
      </c>
      <c r="O47" s="12"/>
      <c r="P47" s="7">
        <v>263.72000000000003</v>
      </c>
      <c r="Q47" s="3"/>
      <c r="R47" s="8">
        <f t="shared" si="40"/>
        <v>0</v>
      </c>
      <c r="S47" s="3"/>
      <c r="T47" s="7"/>
      <c r="U47" s="3"/>
      <c r="V47" s="8">
        <f t="shared" si="41"/>
        <v>0</v>
      </c>
      <c r="W47" s="3"/>
      <c r="X47" s="7">
        <f t="shared" si="42"/>
        <v>263.72000000000003</v>
      </c>
      <c r="Y47" s="3"/>
      <c r="Z47" s="8">
        <f t="shared" si="43"/>
        <v>0</v>
      </c>
    </row>
    <row r="48" spans="1:26" s="29" customFormat="1" outlineLevel="1" collapsed="1" x14ac:dyDescent="0.25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1284.55</v>
      </c>
      <c r="E48" s="1"/>
      <c r="F48" s="5">
        <f t="shared" si="36"/>
        <v>0</v>
      </c>
      <c r="G48" s="1"/>
      <c r="H48" s="1">
        <f>SUM(OSRRefH22_5x_0)</f>
        <v>0</v>
      </c>
      <c r="I48" s="1"/>
      <c r="J48" s="5">
        <f t="shared" si="37"/>
        <v>0</v>
      </c>
      <c r="K48" s="1"/>
      <c r="L48" s="1">
        <f t="shared" si="38"/>
        <v>1284.55</v>
      </c>
      <c r="M48" s="1"/>
      <c r="N48" s="5">
        <f t="shared" si="39"/>
        <v>0</v>
      </c>
      <c r="O48" s="14"/>
      <c r="P48" s="1">
        <f>SUM(OSRRefP22_5x_0)</f>
        <v>1284.55</v>
      </c>
      <c r="Q48" s="1"/>
      <c r="R48" s="5">
        <f t="shared" si="40"/>
        <v>0</v>
      </c>
      <c r="S48" s="1"/>
      <c r="T48" s="1">
        <f>SUM(OSRRefT22_5x_0)</f>
        <v>0</v>
      </c>
      <c r="U48" s="1"/>
      <c r="V48" s="5">
        <f t="shared" si="41"/>
        <v>0</v>
      </c>
      <c r="W48" s="1"/>
      <c r="X48" s="1">
        <f t="shared" si="42"/>
        <v>1284.55</v>
      </c>
      <c r="Y48" s="1"/>
      <c r="Z48" s="5">
        <f t="shared" si="43"/>
        <v>0</v>
      </c>
    </row>
    <row r="49" spans="1:26" s="24" customFormat="1" hidden="1" outlineLevel="2" x14ac:dyDescent="0.25">
      <c r="A49" s="27"/>
      <c r="B49" s="12" t="str">
        <f>CONCATENATE("          ", "6279", " - ", "GENERAL EXPENSE")</f>
        <v xml:space="preserve">          6279 - GENERAL EXPENSE</v>
      </c>
      <c r="C49" s="12"/>
      <c r="D49" s="7">
        <v>1284.55</v>
      </c>
      <c r="E49" s="3"/>
      <c r="F49" s="8">
        <f t="shared" si="36"/>
        <v>0</v>
      </c>
      <c r="G49" s="3"/>
      <c r="H49" s="7">
        <v>0</v>
      </c>
      <c r="I49" s="3"/>
      <c r="J49" s="8">
        <f t="shared" si="37"/>
        <v>0</v>
      </c>
      <c r="K49" s="3"/>
      <c r="L49" s="7">
        <f t="shared" si="38"/>
        <v>1284.55</v>
      </c>
      <c r="M49" s="3"/>
      <c r="N49" s="8">
        <f t="shared" si="39"/>
        <v>0</v>
      </c>
      <c r="O49" s="12"/>
      <c r="P49" s="7">
        <v>1284.55</v>
      </c>
      <c r="Q49" s="3"/>
      <c r="R49" s="8">
        <f t="shared" si="40"/>
        <v>0</v>
      </c>
      <c r="S49" s="3"/>
      <c r="T49" s="7">
        <v>0</v>
      </c>
      <c r="U49" s="3"/>
      <c r="V49" s="8">
        <f t="shared" si="41"/>
        <v>0</v>
      </c>
      <c r="W49" s="3"/>
      <c r="X49" s="7">
        <f t="shared" si="42"/>
        <v>1284.55</v>
      </c>
      <c r="Y49" s="3"/>
      <c r="Z49" s="8">
        <f t="shared" si="43"/>
        <v>0</v>
      </c>
    </row>
    <row r="50" spans="1:26" s="29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4"/>
      <c r="P50" s="1">
        <f>SUM(OSRRefP22_6x_0)</f>
        <v>0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0</v>
      </c>
      <c r="Y50" s="1"/>
      <c r="Z50" s="5">
        <f t="shared" si="43"/>
        <v>0</v>
      </c>
    </row>
    <row r="51" spans="1:26" s="24" customFormat="1" hidden="1" outlineLevel="2" x14ac:dyDescent="0.25">
      <c r="A51" s="27"/>
      <c r="B51" s="12" t="str">
        <f>CONCATENATE("          ", "6375", " - ", "OUTSIDE REPAIRS &amp; MAINTENANCE")</f>
        <v xml:space="preserve">          6375 - OUTSIDE REPAIRS &amp; MAINTENANCE</v>
      </c>
      <c r="C51" s="12"/>
      <c r="D51" s="7"/>
      <c r="E51" s="3"/>
      <c r="F51" s="8">
        <f t="shared" si="36"/>
        <v>0</v>
      </c>
      <c r="G51" s="3"/>
      <c r="H51" s="7">
        <v>0</v>
      </c>
      <c r="I51" s="3"/>
      <c r="J51" s="8">
        <f t="shared" si="37"/>
        <v>0</v>
      </c>
      <c r="K51" s="3"/>
      <c r="L51" s="7">
        <f t="shared" si="38"/>
        <v>0</v>
      </c>
      <c r="M51" s="3"/>
      <c r="N51" s="8">
        <f t="shared" si="39"/>
        <v>0</v>
      </c>
      <c r="O51" s="12"/>
      <c r="P51" s="7"/>
      <c r="Q51" s="3"/>
      <c r="R51" s="8">
        <f t="shared" si="40"/>
        <v>0</v>
      </c>
      <c r="S51" s="3"/>
      <c r="T51" s="7">
        <v>0</v>
      </c>
      <c r="U51" s="3"/>
      <c r="V51" s="8">
        <f t="shared" si="41"/>
        <v>0</v>
      </c>
      <c r="W51" s="3"/>
      <c r="X51" s="7">
        <f t="shared" si="42"/>
        <v>0</v>
      </c>
      <c r="Y51" s="3"/>
      <c r="Z51" s="8">
        <f t="shared" si="43"/>
        <v>0</v>
      </c>
    </row>
    <row r="52" spans="1:26" s="29" customFormat="1" outlineLevel="1" collapsed="1" x14ac:dyDescent="0.25">
      <c r="A52" s="28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7"/>
      <c r="B53" s="12" t="str">
        <f>CONCATENATE("          ", "6283", " - ", "PLANT SERVICE")</f>
        <v xml:space="preserve">          6283 - PLANT SERVICE</v>
      </c>
      <c r="C53" s="12"/>
      <c r="D53" s="7"/>
      <c r="E53" s="3"/>
      <c r="F53" s="8">
        <f t="shared" si="36"/>
        <v>0</v>
      </c>
      <c r="G53" s="3"/>
      <c r="H53" s="7">
        <v>0</v>
      </c>
      <c r="I53" s="3"/>
      <c r="J53" s="8">
        <f t="shared" si="37"/>
        <v>0</v>
      </c>
      <c r="K53" s="3"/>
      <c r="L53" s="7">
        <f t="shared" si="38"/>
        <v>0</v>
      </c>
      <c r="M53" s="3"/>
      <c r="N53" s="8">
        <f t="shared" si="39"/>
        <v>0</v>
      </c>
      <c r="O53" s="12"/>
      <c r="P53" s="7"/>
      <c r="Q53" s="3"/>
      <c r="R53" s="8">
        <f t="shared" si="40"/>
        <v>0</v>
      </c>
      <c r="S53" s="3"/>
      <c r="T53" s="7">
        <v>0</v>
      </c>
      <c r="U53" s="3"/>
      <c r="V53" s="8">
        <f t="shared" si="41"/>
        <v>0</v>
      </c>
      <c r="W53" s="3"/>
      <c r="X53" s="7">
        <f t="shared" si="42"/>
        <v>0</v>
      </c>
      <c r="Y53" s="3"/>
      <c r="Z53" s="8">
        <f t="shared" si="43"/>
        <v>0</v>
      </c>
    </row>
    <row r="54" spans="1:26" s="24" customFormat="1" hidden="1" outlineLevel="2" x14ac:dyDescent="0.25">
      <c r="A54" s="27"/>
      <c r="B54" s="12" t="str">
        <f>CONCATENATE("          ", "6286", " - ", "LAUNDRY EXPENSE")</f>
        <v xml:space="preserve">          6286 - LAUNDRY EXPENSE</v>
      </c>
      <c r="C54" s="12"/>
      <c r="D54" s="7"/>
      <c r="E54" s="3"/>
      <c r="F54" s="8">
        <f t="shared" si="36"/>
        <v>0</v>
      </c>
      <c r="G54" s="3"/>
      <c r="H54" s="7">
        <v>0</v>
      </c>
      <c r="I54" s="3"/>
      <c r="J54" s="8">
        <f t="shared" si="37"/>
        <v>0</v>
      </c>
      <c r="K54" s="3"/>
      <c r="L54" s="7">
        <f t="shared" si="38"/>
        <v>0</v>
      </c>
      <c r="M54" s="3"/>
      <c r="N54" s="8">
        <f t="shared" si="39"/>
        <v>0</v>
      </c>
      <c r="O54" s="12"/>
      <c r="P54" s="7"/>
      <c r="Q54" s="3"/>
      <c r="R54" s="8">
        <f t="shared" si="40"/>
        <v>0</v>
      </c>
      <c r="S54" s="3"/>
      <c r="T54" s="7">
        <v>0</v>
      </c>
      <c r="U54" s="3"/>
      <c r="V54" s="8">
        <f t="shared" si="41"/>
        <v>0</v>
      </c>
      <c r="W54" s="3"/>
      <c r="X54" s="7">
        <f t="shared" si="42"/>
        <v>0</v>
      </c>
      <c r="Y54" s="3"/>
      <c r="Z54" s="8">
        <f t="shared" si="43"/>
        <v>0</v>
      </c>
    </row>
    <row r="55" spans="1:26" s="29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SUM(OSRRefD22_8x_0)</f>
        <v>0</v>
      </c>
      <c r="E55" s="1"/>
      <c r="F55" s="5">
        <f t="shared" ref="F55:F63" si="44">IF(D$12=0,0,D55/D$12)</f>
        <v>0</v>
      </c>
      <c r="G55" s="1"/>
      <c r="H55" s="1">
        <f>SUM(OSRRefH22_8x_0)</f>
        <v>0</v>
      </c>
      <c r="I55" s="1"/>
      <c r="J55" s="5">
        <f t="shared" ref="J55:J63" si="45">IF(H$12=0,0,H55/H$12)</f>
        <v>0</v>
      </c>
      <c r="K55" s="1"/>
      <c r="L55" s="1">
        <f t="shared" ref="L55:L63" si="46">+D55-H55</f>
        <v>0</v>
      </c>
      <c r="M55" s="1"/>
      <c r="N55" s="5">
        <f t="shared" ref="N55:N63" si="47">IF(H55=0,0,L55/H55)</f>
        <v>0</v>
      </c>
      <c r="O55" s="14"/>
      <c r="P55" s="1">
        <f>SUM(OSRRefP22_8x_0)</f>
        <v>0</v>
      </c>
      <c r="Q55" s="1"/>
      <c r="R55" s="5">
        <f t="shared" ref="R55:R63" si="48">IF(P$12=0,0,P55/P$12)</f>
        <v>0</v>
      </c>
      <c r="S55" s="1"/>
      <c r="T55" s="1">
        <f>SUM(OSRRefT22_8x_0)</f>
        <v>0</v>
      </c>
      <c r="U55" s="1"/>
      <c r="V55" s="5">
        <f t="shared" ref="V55:V63" si="49">IF(T$12=0,0,T55/T$12)</f>
        <v>0</v>
      </c>
      <c r="W55" s="1"/>
      <c r="X55" s="1">
        <f t="shared" ref="X55:X63" si="50">+P55-T55</f>
        <v>0</v>
      </c>
      <c r="Y55" s="1"/>
      <c r="Z55" s="5">
        <f t="shared" ref="Z55:Z63" si="51">IF(T55=0,0,X55/T55)</f>
        <v>0</v>
      </c>
    </row>
    <row r="56" spans="1:26" s="24" customFormat="1" hidden="1" outlineLevel="2" x14ac:dyDescent="0.25">
      <c r="A56" s="27"/>
      <c r="B56" s="12" t="str">
        <f>CONCATENATE("          ", "6234", " - ", "EXPENDABLE SUPPLIES &amp; EQUIPMEN")</f>
        <v xml:space="preserve">          6234 - EXPENDABLE SUPPLIES &amp; EQUIPMEN</v>
      </c>
      <c r="C56" s="12"/>
      <c r="D56" s="7"/>
      <c r="E56" s="3"/>
      <c r="F56" s="8">
        <f t="shared" si="44"/>
        <v>0</v>
      </c>
      <c r="G56" s="3"/>
      <c r="H56" s="7">
        <v>0</v>
      </c>
      <c r="I56" s="3"/>
      <c r="J56" s="8">
        <f t="shared" si="45"/>
        <v>0</v>
      </c>
      <c r="K56" s="3"/>
      <c r="L56" s="7">
        <f t="shared" si="46"/>
        <v>0</v>
      </c>
      <c r="M56" s="3"/>
      <c r="N56" s="8">
        <f t="shared" si="47"/>
        <v>0</v>
      </c>
      <c r="O56" s="12"/>
      <c r="P56" s="7"/>
      <c r="Q56" s="3"/>
      <c r="R56" s="8">
        <f t="shared" si="48"/>
        <v>0</v>
      </c>
      <c r="S56" s="3"/>
      <c r="T56" s="7">
        <v>0</v>
      </c>
      <c r="U56" s="3"/>
      <c r="V56" s="8">
        <f t="shared" si="49"/>
        <v>0</v>
      </c>
      <c r="W56" s="3"/>
      <c r="X56" s="7">
        <f t="shared" si="50"/>
        <v>0</v>
      </c>
      <c r="Y56" s="3"/>
      <c r="Z56" s="8">
        <f t="shared" si="51"/>
        <v>0</v>
      </c>
    </row>
    <row r="57" spans="1:26" s="24" customFormat="1" hidden="1" outlineLevel="2" x14ac:dyDescent="0.25">
      <c r="A57" s="27"/>
      <c r="B57" s="12" t="str">
        <f>CONCATENATE("          ", "6235", " - ", "COVID-19 EXPENSES")</f>
        <v xml:space="preserve">          6235 - COVID-19 EXPENSES</v>
      </c>
      <c r="C57" s="12"/>
      <c r="D57" s="7"/>
      <c r="E57" s="3"/>
      <c r="F57" s="8">
        <f t="shared" si="44"/>
        <v>0</v>
      </c>
      <c r="G57" s="3"/>
      <c r="H57" s="7">
        <v>0</v>
      </c>
      <c r="I57" s="3"/>
      <c r="J57" s="8">
        <f t="shared" si="45"/>
        <v>0</v>
      </c>
      <c r="K57" s="3"/>
      <c r="L57" s="7">
        <f t="shared" si="46"/>
        <v>0</v>
      </c>
      <c r="M57" s="3"/>
      <c r="N57" s="8">
        <f t="shared" si="47"/>
        <v>0</v>
      </c>
      <c r="O57" s="12"/>
      <c r="P57" s="7"/>
      <c r="Q57" s="3"/>
      <c r="R57" s="8">
        <f t="shared" si="48"/>
        <v>0</v>
      </c>
      <c r="S57" s="3"/>
      <c r="T57" s="7">
        <v>0</v>
      </c>
      <c r="U57" s="3"/>
      <c r="V57" s="8">
        <f t="shared" si="49"/>
        <v>0</v>
      </c>
      <c r="W57" s="3"/>
      <c r="X57" s="7">
        <f t="shared" si="50"/>
        <v>0</v>
      </c>
      <c r="Y57" s="3"/>
      <c r="Z57" s="8">
        <f t="shared" si="51"/>
        <v>0</v>
      </c>
    </row>
    <row r="58" spans="1:26" s="24" customFormat="1" hidden="1" outlineLevel="2" x14ac:dyDescent="0.25">
      <c r="A58" s="27"/>
      <c r="B58" s="12" t="str">
        <f>CONCATENATE("          ", "6237", " - ", "JANITORIAL SUPPLIES")</f>
        <v xml:space="preserve">          6237 - JANITORIAL SUPPLIES</v>
      </c>
      <c r="C58" s="12"/>
      <c r="D58" s="7"/>
      <c r="E58" s="3"/>
      <c r="F58" s="8">
        <f t="shared" si="44"/>
        <v>0</v>
      </c>
      <c r="G58" s="3"/>
      <c r="H58" s="7">
        <v>0</v>
      </c>
      <c r="I58" s="3"/>
      <c r="J58" s="8">
        <f t="shared" si="45"/>
        <v>0</v>
      </c>
      <c r="K58" s="3"/>
      <c r="L58" s="7">
        <f t="shared" si="46"/>
        <v>0</v>
      </c>
      <c r="M58" s="3"/>
      <c r="N58" s="8">
        <f t="shared" si="47"/>
        <v>0</v>
      </c>
      <c r="O58" s="12"/>
      <c r="P58" s="7"/>
      <c r="Q58" s="3"/>
      <c r="R58" s="8">
        <f t="shared" si="48"/>
        <v>0</v>
      </c>
      <c r="S58" s="3"/>
      <c r="T58" s="7">
        <v>0</v>
      </c>
      <c r="U58" s="3"/>
      <c r="V58" s="8">
        <f t="shared" si="49"/>
        <v>0</v>
      </c>
      <c r="W58" s="3"/>
      <c r="X58" s="7">
        <f t="shared" si="50"/>
        <v>0</v>
      </c>
      <c r="Y58" s="3"/>
      <c r="Z58" s="8">
        <f t="shared" si="51"/>
        <v>0</v>
      </c>
    </row>
    <row r="59" spans="1:26" s="24" customFormat="1" hidden="1" outlineLevel="2" x14ac:dyDescent="0.25">
      <c r="A59" s="27"/>
      <c r="B59" s="12" t="str">
        <f>CONCATENATE("          ", "6241", " - ", "OFFICE EXPENSE")</f>
        <v xml:space="preserve">          6241 - OFFICE EXPENSE</v>
      </c>
      <c r="C59" s="12"/>
      <c r="D59" s="7"/>
      <c r="E59" s="3"/>
      <c r="F59" s="8">
        <f t="shared" si="44"/>
        <v>0</v>
      </c>
      <c r="G59" s="3"/>
      <c r="H59" s="7">
        <v>0</v>
      </c>
      <c r="I59" s="3"/>
      <c r="J59" s="8">
        <f t="shared" si="45"/>
        <v>0</v>
      </c>
      <c r="K59" s="3"/>
      <c r="L59" s="7">
        <f t="shared" si="46"/>
        <v>0</v>
      </c>
      <c r="M59" s="3"/>
      <c r="N59" s="8">
        <f t="shared" si="47"/>
        <v>0</v>
      </c>
      <c r="O59" s="12"/>
      <c r="P59" s="7"/>
      <c r="Q59" s="3"/>
      <c r="R59" s="8">
        <f t="shared" si="48"/>
        <v>0</v>
      </c>
      <c r="S59" s="3"/>
      <c r="T59" s="7">
        <v>0</v>
      </c>
      <c r="U59" s="3"/>
      <c r="V59" s="8">
        <f t="shared" si="49"/>
        <v>0</v>
      </c>
      <c r="W59" s="3"/>
      <c r="X59" s="7">
        <f t="shared" si="50"/>
        <v>0</v>
      </c>
      <c r="Y59" s="3"/>
      <c r="Z59" s="8">
        <f t="shared" si="51"/>
        <v>0</v>
      </c>
    </row>
    <row r="60" spans="1:26" s="24" customFormat="1" hidden="1" outlineLevel="2" x14ac:dyDescent="0.25">
      <c r="A60" s="27"/>
      <c r="B60" s="12" t="str">
        <f>CONCATENATE("          ", "6243", " - ", "PAPER SUPPLIES")</f>
        <v xml:space="preserve">          6243 - PAPER SUPPLIES</v>
      </c>
      <c r="C60" s="12"/>
      <c r="D60" s="7"/>
      <c r="E60" s="3"/>
      <c r="F60" s="8">
        <f t="shared" si="44"/>
        <v>0</v>
      </c>
      <c r="G60" s="3"/>
      <c r="H60" s="7">
        <v>0</v>
      </c>
      <c r="I60" s="3"/>
      <c r="J60" s="8">
        <f t="shared" si="45"/>
        <v>0</v>
      </c>
      <c r="K60" s="3"/>
      <c r="L60" s="7">
        <f t="shared" si="46"/>
        <v>0</v>
      </c>
      <c r="M60" s="3"/>
      <c r="N60" s="8">
        <f t="shared" si="47"/>
        <v>0</v>
      </c>
      <c r="O60" s="12"/>
      <c r="P60" s="7"/>
      <c r="Q60" s="3"/>
      <c r="R60" s="8">
        <f t="shared" si="48"/>
        <v>0</v>
      </c>
      <c r="S60" s="3"/>
      <c r="T60" s="7">
        <v>0</v>
      </c>
      <c r="U60" s="3"/>
      <c r="V60" s="8">
        <f t="shared" si="49"/>
        <v>0</v>
      </c>
      <c r="W60" s="3"/>
      <c r="X60" s="7">
        <f t="shared" si="50"/>
        <v>0</v>
      </c>
      <c r="Y60" s="3"/>
      <c r="Z60" s="8">
        <f t="shared" si="51"/>
        <v>0</v>
      </c>
    </row>
    <row r="61" spans="1:26" s="24" customFormat="1" hidden="1" outlineLevel="2" x14ac:dyDescent="0.25">
      <c r="A61" s="27"/>
      <c r="B61" s="12" t="str">
        <f>CONCATENATE("          ", "6244", " - ", "SAFETY SUPPLY EXPENSE")</f>
        <v xml:space="preserve">          6244 - SAFETY SUPPLY EXPENSE</v>
      </c>
      <c r="C61" s="12"/>
      <c r="D61" s="7"/>
      <c r="E61" s="3"/>
      <c r="F61" s="8">
        <f t="shared" si="44"/>
        <v>0</v>
      </c>
      <c r="G61" s="3"/>
      <c r="H61" s="7">
        <v>0</v>
      </c>
      <c r="I61" s="3"/>
      <c r="J61" s="8">
        <f t="shared" si="45"/>
        <v>0</v>
      </c>
      <c r="K61" s="3"/>
      <c r="L61" s="7">
        <f t="shared" si="46"/>
        <v>0</v>
      </c>
      <c r="M61" s="3"/>
      <c r="N61" s="8">
        <f t="shared" si="47"/>
        <v>0</v>
      </c>
      <c r="O61" s="12"/>
      <c r="P61" s="7"/>
      <c r="Q61" s="3"/>
      <c r="R61" s="8">
        <f t="shared" si="48"/>
        <v>0</v>
      </c>
      <c r="S61" s="3"/>
      <c r="T61" s="7">
        <v>0</v>
      </c>
      <c r="U61" s="3"/>
      <c r="V61" s="8">
        <f t="shared" si="49"/>
        <v>0</v>
      </c>
      <c r="W61" s="3"/>
      <c r="X61" s="7">
        <f t="shared" si="50"/>
        <v>0</v>
      </c>
      <c r="Y61" s="3"/>
      <c r="Z61" s="8">
        <f t="shared" si="51"/>
        <v>0</v>
      </c>
    </row>
    <row r="62" spans="1:26" s="24" customFormat="1" hidden="1" outlineLevel="2" x14ac:dyDescent="0.25">
      <c r="A62" s="27"/>
      <c r="B62" s="12" t="str">
        <f>CONCATENATE("          ", "6245", " - ", "PRINTING")</f>
        <v xml:space="preserve">          6245 - PRINTING</v>
      </c>
      <c r="C62" s="12"/>
      <c r="D62" s="7"/>
      <c r="E62" s="3"/>
      <c r="F62" s="8">
        <f t="shared" si="44"/>
        <v>0</v>
      </c>
      <c r="G62" s="3"/>
      <c r="H62" s="7">
        <v>0</v>
      </c>
      <c r="I62" s="3"/>
      <c r="J62" s="8">
        <f t="shared" si="45"/>
        <v>0</v>
      </c>
      <c r="K62" s="3"/>
      <c r="L62" s="7">
        <f t="shared" si="46"/>
        <v>0</v>
      </c>
      <c r="M62" s="3"/>
      <c r="N62" s="8">
        <f t="shared" si="47"/>
        <v>0</v>
      </c>
      <c r="O62" s="12"/>
      <c r="P62" s="7"/>
      <c r="Q62" s="3"/>
      <c r="R62" s="8">
        <f t="shared" si="48"/>
        <v>0</v>
      </c>
      <c r="S62" s="3"/>
      <c r="T62" s="7">
        <v>0</v>
      </c>
      <c r="U62" s="3"/>
      <c r="V62" s="8">
        <f t="shared" si="49"/>
        <v>0</v>
      </c>
      <c r="W62" s="3"/>
      <c r="X62" s="7">
        <f t="shared" si="50"/>
        <v>0</v>
      </c>
      <c r="Y62" s="3"/>
      <c r="Z62" s="8">
        <f t="shared" si="51"/>
        <v>0</v>
      </c>
    </row>
    <row r="63" spans="1:26" s="24" customFormat="1" hidden="1" outlineLevel="2" x14ac:dyDescent="0.25">
      <c r="A63" s="27"/>
      <c r="B63" s="12" t="str">
        <f>CONCATENATE("          ", "6248", " - ", "UNIFORMS")</f>
        <v xml:space="preserve">          6248 - UNIFORMS</v>
      </c>
      <c r="C63" s="12"/>
      <c r="D63" s="7"/>
      <c r="E63" s="3"/>
      <c r="F63" s="8">
        <f t="shared" si="44"/>
        <v>0</v>
      </c>
      <c r="G63" s="3"/>
      <c r="H63" s="7">
        <v>0</v>
      </c>
      <c r="I63" s="3"/>
      <c r="J63" s="8">
        <f t="shared" si="45"/>
        <v>0</v>
      </c>
      <c r="K63" s="3"/>
      <c r="L63" s="7">
        <f t="shared" si="46"/>
        <v>0</v>
      </c>
      <c r="M63" s="3"/>
      <c r="N63" s="8">
        <f t="shared" si="47"/>
        <v>0</v>
      </c>
      <c r="O63" s="12"/>
      <c r="P63" s="7"/>
      <c r="Q63" s="3"/>
      <c r="R63" s="8">
        <f t="shared" si="48"/>
        <v>0</v>
      </c>
      <c r="S63" s="3"/>
      <c r="T63" s="7">
        <v>0</v>
      </c>
      <c r="U63" s="3"/>
      <c r="V63" s="8">
        <f t="shared" si="49"/>
        <v>0</v>
      </c>
      <c r="W63" s="3"/>
      <c r="X63" s="7">
        <f t="shared" si="50"/>
        <v>0</v>
      </c>
      <c r="Y63" s="3"/>
      <c r="Z63" s="8">
        <f t="shared" si="51"/>
        <v>0</v>
      </c>
    </row>
    <row r="64" spans="1:26" s="29" customFormat="1" outlineLevel="1" collapsed="1" x14ac:dyDescent="0.25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SUM(OSRRefD22_9x_0)</f>
        <v>106</v>
      </c>
      <c r="E64" s="1"/>
      <c r="F64" s="5">
        <f t="shared" ref="F64:F66" si="52">IF(D$12=0,0,D64/D$12)</f>
        <v>0</v>
      </c>
      <c r="G64" s="1"/>
      <c r="H64" s="1">
        <f>SUM(OSRRefH22_9x_0)</f>
        <v>0</v>
      </c>
      <c r="I64" s="1"/>
      <c r="J64" s="5">
        <f t="shared" ref="J64:J66" si="53">IF(H$12=0,0,H64/H$12)</f>
        <v>0</v>
      </c>
      <c r="K64" s="1"/>
      <c r="L64" s="1">
        <f t="shared" ref="L64:L66" si="54">+D64-H64</f>
        <v>106</v>
      </c>
      <c r="M64" s="1"/>
      <c r="N64" s="5">
        <f t="shared" ref="N64:N66" si="55">IF(H64=0,0,L64/H64)</f>
        <v>0</v>
      </c>
      <c r="O64" s="14"/>
      <c r="P64" s="1">
        <f>SUM(OSRRefP22_9x_0)</f>
        <v>106</v>
      </c>
      <c r="Q64" s="1"/>
      <c r="R64" s="5">
        <f t="shared" ref="R64:R66" si="56">IF(P$12=0,0,P64/P$12)</f>
        <v>0</v>
      </c>
      <c r="S64" s="1"/>
      <c r="T64" s="1">
        <f>SUM(OSRRefT22_9x_0)</f>
        <v>0</v>
      </c>
      <c r="U64" s="1"/>
      <c r="V64" s="5">
        <f t="shared" ref="V64:V66" si="57">IF(T$12=0,0,T64/T$12)</f>
        <v>0</v>
      </c>
      <c r="W64" s="1"/>
      <c r="X64" s="1">
        <f t="shared" ref="X64:X66" si="58">+P64-T64</f>
        <v>106</v>
      </c>
      <c r="Y64" s="1"/>
      <c r="Z64" s="5">
        <f t="shared" ref="Z64:Z66" si="59">IF(T64=0,0,X64/T64)</f>
        <v>0</v>
      </c>
    </row>
    <row r="65" spans="1:26" s="24" customFormat="1" hidden="1" outlineLevel="2" x14ac:dyDescent="0.25">
      <c r="A65" s="27"/>
      <c r="B65" s="12" t="str">
        <f>CONCATENATE("          ", "6303", " - ", "DATA PHONE LINES")</f>
        <v xml:space="preserve">          6303 - DATA PHONE LINES</v>
      </c>
      <c r="C65" s="12"/>
      <c r="D65" s="7"/>
      <c r="E65" s="3"/>
      <c r="F65" s="8">
        <f t="shared" si="52"/>
        <v>0</v>
      </c>
      <c r="G65" s="3"/>
      <c r="H65" s="7">
        <v>0</v>
      </c>
      <c r="I65" s="3"/>
      <c r="J65" s="8">
        <f t="shared" si="53"/>
        <v>0</v>
      </c>
      <c r="K65" s="3"/>
      <c r="L65" s="7">
        <f t="shared" si="54"/>
        <v>0</v>
      </c>
      <c r="M65" s="3"/>
      <c r="N65" s="8">
        <f t="shared" si="55"/>
        <v>0</v>
      </c>
      <c r="O65" s="12"/>
      <c r="P65" s="7"/>
      <c r="Q65" s="3"/>
      <c r="R65" s="8">
        <f t="shared" si="56"/>
        <v>0</v>
      </c>
      <c r="S65" s="3"/>
      <c r="T65" s="7">
        <v>0</v>
      </c>
      <c r="U65" s="3"/>
      <c r="V65" s="8">
        <f t="shared" si="57"/>
        <v>0</v>
      </c>
      <c r="W65" s="3"/>
      <c r="X65" s="7">
        <f t="shared" si="58"/>
        <v>0</v>
      </c>
      <c r="Y65" s="3"/>
      <c r="Z65" s="8">
        <f t="shared" si="59"/>
        <v>0</v>
      </c>
    </row>
    <row r="66" spans="1:26" s="24" customFormat="1" hidden="1" outlineLevel="2" x14ac:dyDescent="0.25">
      <c r="A66" s="27"/>
      <c r="B66" s="12" t="str">
        <f>CONCATENATE("          ", "6309", " - ", "TELEPHONE")</f>
        <v xml:space="preserve">          6309 - TELEPHONE</v>
      </c>
      <c r="C66" s="12"/>
      <c r="D66" s="7">
        <v>106</v>
      </c>
      <c r="E66" s="3"/>
      <c r="F66" s="8">
        <f t="shared" si="52"/>
        <v>0</v>
      </c>
      <c r="G66" s="3"/>
      <c r="H66" s="7"/>
      <c r="I66" s="3"/>
      <c r="J66" s="8">
        <f t="shared" si="53"/>
        <v>0</v>
      </c>
      <c r="K66" s="3"/>
      <c r="L66" s="7">
        <f t="shared" si="54"/>
        <v>106</v>
      </c>
      <c r="M66" s="3"/>
      <c r="N66" s="8">
        <f t="shared" si="55"/>
        <v>0</v>
      </c>
      <c r="O66" s="12"/>
      <c r="P66" s="7">
        <v>106</v>
      </c>
      <c r="Q66" s="3"/>
      <c r="R66" s="8">
        <f t="shared" si="56"/>
        <v>0</v>
      </c>
      <c r="S66" s="3"/>
      <c r="T66" s="7"/>
      <c r="U66" s="3"/>
      <c r="V66" s="8">
        <f t="shared" si="57"/>
        <v>0</v>
      </c>
      <c r="W66" s="3"/>
      <c r="X66" s="7">
        <f t="shared" si="58"/>
        <v>106</v>
      </c>
      <c r="Y66" s="3"/>
      <c r="Z66" s="8">
        <f t="shared" si="59"/>
        <v>0</v>
      </c>
    </row>
    <row r="67" spans="1:26" s="29" customFormat="1" outlineLevel="1" collapsed="1" x14ac:dyDescent="0.25">
      <c r="A67" s="28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SUM(OSRRefD22_10x_0)</f>
        <v>0</v>
      </c>
      <c r="E67" s="1"/>
      <c r="F67" s="5">
        <f t="shared" ref="F67:F68" si="60">IF(D$12=0,0,D67/D$12)</f>
        <v>0</v>
      </c>
      <c r="G67" s="1"/>
      <c r="H67" s="1">
        <f>SUM(OSRRefH22_10x_0)</f>
        <v>0</v>
      </c>
      <c r="I67" s="1"/>
      <c r="J67" s="5">
        <f t="shared" ref="J67:J68" si="61">IF(H$12=0,0,H67/H$12)</f>
        <v>0</v>
      </c>
      <c r="K67" s="1"/>
      <c r="L67" s="1">
        <f t="shared" ref="L67:L68" si="62">+D67-H67</f>
        <v>0</v>
      </c>
      <c r="M67" s="1"/>
      <c r="N67" s="5">
        <f t="shared" ref="N67:N68" si="63">IF(H67=0,0,L67/H67)</f>
        <v>0</v>
      </c>
      <c r="O67" s="14"/>
      <c r="P67" s="1">
        <f>SUM(OSRRefP22_10x_0)</f>
        <v>0</v>
      </c>
      <c r="Q67" s="1"/>
      <c r="R67" s="5">
        <f t="shared" ref="R67:R68" si="64">IF(P$12=0,0,P67/P$12)</f>
        <v>0</v>
      </c>
      <c r="S67" s="1"/>
      <c r="T67" s="1">
        <f>SUM(OSRRefT22_10x_0)</f>
        <v>0</v>
      </c>
      <c r="U67" s="1"/>
      <c r="V67" s="5">
        <f t="shared" ref="V67:V68" si="65">IF(T$12=0,0,T67/T$12)</f>
        <v>0</v>
      </c>
      <c r="W67" s="1"/>
      <c r="X67" s="1">
        <f t="shared" ref="X67:X68" si="66">+P67-T67</f>
        <v>0</v>
      </c>
      <c r="Y67" s="1"/>
      <c r="Z67" s="5">
        <f t="shared" ref="Z67:Z68" si="67">IF(T67=0,0,X67/T67)</f>
        <v>0</v>
      </c>
    </row>
    <row r="68" spans="1:26" s="24" customFormat="1" hidden="1" outlineLevel="2" x14ac:dyDescent="0.25">
      <c r="A68" s="27"/>
      <c r="B68" s="12" t="str">
        <f>CONCATENATE("          ", "6376", " - ", "TRAINING")</f>
        <v xml:space="preserve">          6376 - TRAINING</v>
      </c>
      <c r="C68" s="12"/>
      <c r="D68" s="7"/>
      <c r="E68" s="3"/>
      <c r="F68" s="8">
        <f t="shared" si="60"/>
        <v>0</v>
      </c>
      <c r="G68" s="3"/>
      <c r="H68" s="7">
        <v>0</v>
      </c>
      <c r="I68" s="3"/>
      <c r="J68" s="8">
        <f t="shared" si="61"/>
        <v>0</v>
      </c>
      <c r="K68" s="3"/>
      <c r="L68" s="7">
        <f t="shared" si="62"/>
        <v>0</v>
      </c>
      <c r="M68" s="3"/>
      <c r="N68" s="8">
        <f t="shared" si="63"/>
        <v>0</v>
      </c>
      <c r="O68" s="12"/>
      <c r="P68" s="7"/>
      <c r="Q68" s="3"/>
      <c r="R68" s="8">
        <f t="shared" si="64"/>
        <v>0</v>
      </c>
      <c r="S68" s="3"/>
      <c r="T68" s="7">
        <v>0</v>
      </c>
      <c r="U68" s="3"/>
      <c r="V68" s="8">
        <f t="shared" si="65"/>
        <v>0</v>
      </c>
      <c r="W68" s="3"/>
      <c r="X68" s="7">
        <f t="shared" si="66"/>
        <v>0</v>
      </c>
      <c r="Y68" s="3"/>
      <c r="Z68" s="8">
        <f t="shared" si="67"/>
        <v>0</v>
      </c>
    </row>
    <row r="69" spans="1:26" s="54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2" customFormat="1" x14ac:dyDescent="0.25">
      <c r="A70" s="10"/>
      <c r="B70" s="26" t="s">
        <v>0</v>
      </c>
      <c r="C70" s="10"/>
      <c r="D70" s="4">
        <f>SUM(0)</f>
        <v>0</v>
      </c>
      <c r="E70" s="4"/>
      <c r="F70" s="11">
        <f>IF(D$12=0,0,D70/D$12)</f>
        <v>0</v>
      </c>
      <c r="G70" s="4"/>
      <c r="H70" s="4">
        <f>SUM(0)</f>
        <v>0</v>
      </c>
      <c r="I70" s="4"/>
      <c r="J70" s="11">
        <f>IF(H$12=0,0,H70/H$12)</f>
        <v>0</v>
      </c>
      <c r="K70" s="4"/>
      <c r="L70" s="4">
        <f>+D70-H70</f>
        <v>0</v>
      </c>
      <c r="M70" s="4"/>
      <c r="N70" s="11">
        <f>IF(H70=0,0,L70/H70)</f>
        <v>0</v>
      </c>
      <c r="O70" s="10"/>
      <c r="P70" s="4">
        <f>SUM(0)</f>
        <v>0</v>
      </c>
      <c r="Q70" s="4"/>
      <c r="R70" s="11">
        <f>IF(P$12=0,0,P70/P$12)</f>
        <v>0</v>
      </c>
      <c r="S70" s="4"/>
      <c r="T70" s="4">
        <f>SUM(0)</f>
        <v>0</v>
      </c>
      <c r="U70" s="4"/>
      <c r="V70" s="11">
        <f>IF(T$12=0,0,T70/T$12)</f>
        <v>0</v>
      </c>
      <c r="W70" s="4"/>
      <c r="X70" s="4">
        <f>+P70-T70</f>
        <v>0</v>
      </c>
      <c r="Y70" s="4"/>
      <c r="Z70" s="11">
        <f>IF(T70=0,0,X70/T70)</f>
        <v>0</v>
      </c>
    </row>
    <row r="71" spans="1:26" x14ac:dyDescent="0.25">
      <c r="A71" s="9"/>
      <c r="B71" s="10"/>
      <c r="C71" s="10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10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2" customFormat="1" x14ac:dyDescent="0.25">
      <c r="A72" s="10"/>
      <c r="B72" s="25" t="s">
        <v>3</v>
      </c>
      <c r="C72" s="25"/>
      <c r="D72" s="21">
        <f>+D18-D20+D70</f>
        <v>-17067.47</v>
      </c>
      <c r="E72" s="13"/>
      <c r="F72" s="20">
        <f>IF(D$12=0,0,D72/D$12)</f>
        <v>0</v>
      </c>
      <c r="G72" s="13"/>
      <c r="H72" s="21">
        <f>+H18-H20+H70</f>
        <v>-7178</v>
      </c>
      <c r="I72" s="13"/>
      <c r="J72" s="20">
        <f>IF(H$12=0,0,H72/H$12)</f>
        <v>0</v>
      </c>
      <c r="K72" s="15"/>
      <c r="L72" s="21">
        <f>+D72-H72</f>
        <v>-9889.4700000000012</v>
      </c>
      <c r="M72" s="15"/>
      <c r="N72" s="20">
        <f>IF(H72=0,0,L72/H72)</f>
        <v>1.3777472833658402</v>
      </c>
      <c r="O72" s="26"/>
      <c r="P72" s="21">
        <f>+P18-P20+P70</f>
        <v>-17067.47</v>
      </c>
      <c r="Q72" s="13"/>
      <c r="R72" s="20">
        <f>IF(P$12=0,0,P72/P$12)</f>
        <v>0</v>
      </c>
      <c r="S72" s="13"/>
      <c r="T72" s="21">
        <f>+T18-T20+T70</f>
        <v>-7178</v>
      </c>
      <c r="U72" s="13"/>
      <c r="V72" s="20">
        <f>IF(T$12=0,0,T72/T$12)</f>
        <v>0</v>
      </c>
      <c r="W72" s="15"/>
      <c r="X72" s="21">
        <f>+P72-T72</f>
        <v>-9889.4700000000012</v>
      </c>
      <c r="Y72" s="15"/>
      <c r="Z72" s="20">
        <f>IF(T72=0,0,X72/T72)</f>
        <v>1.3777472833658402</v>
      </c>
    </row>
    <row r="73" spans="1:26" x14ac:dyDescent="0.25">
      <c r="A73" s="9"/>
      <c r="B73" s="10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2" customFormat="1" x14ac:dyDescent="0.25">
      <c r="A74" s="52"/>
      <c r="B74" s="10" t="s">
        <v>14</v>
      </c>
      <c r="C74" s="10"/>
      <c r="D74" s="4"/>
      <c r="E74" s="4"/>
      <c r="F74" s="11">
        <f>IF(D$12=0,0,D74/D$12)</f>
        <v>0</v>
      </c>
      <c r="G74" s="4"/>
      <c r="H74" s="4"/>
      <c r="I74" s="4"/>
      <c r="J74" s="11">
        <f>IF(H$12=0,0,H74/H$12)</f>
        <v>0</v>
      </c>
      <c r="K74" s="4"/>
      <c r="L74" s="4">
        <f>+D74-H74</f>
        <v>0</v>
      </c>
      <c r="M74" s="4"/>
      <c r="N74" s="11">
        <f>IF(H74=0,0,L74/H74)</f>
        <v>0</v>
      </c>
      <c r="O74" s="10"/>
      <c r="P74" s="4"/>
      <c r="Q74" s="4"/>
      <c r="R74" s="11">
        <f>IF(P$12=0,0,P74/P$12)</f>
        <v>0</v>
      </c>
      <c r="S74" s="4"/>
      <c r="T74" s="4"/>
      <c r="U74" s="4"/>
      <c r="V74" s="11">
        <f>IF(T$12=0,0,T74/T$12)</f>
        <v>0</v>
      </c>
      <c r="W74" s="4"/>
      <c r="X74" s="4">
        <f>+P74-T74</f>
        <v>0</v>
      </c>
      <c r="Y74" s="4"/>
      <c r="Z74" s="11">
        <f>IF(T74=0,0,X74/T74)</f>
        <v>0</v>
      </c>
    </row>
    <row r="75" spans="1:26" x14ac:dyDescent="0.25">
      <c r="A75" s="9"/>
      <c r="B75" s="10"/>
      <c r="C75" s="10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10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2" customFormat="1" ht="15.75" thickBot="1" x14ac:dyDescent="0.3">
      <c r="A76" s="10"/>
      <c r="B76" s="25" t="s">
        <v>4</v>
      </c>
      <c r="C76" s="25"/>
      <c r="D76" s="34">
        <f>+D72-D74</f>
        <v>-17067.47</v>
      </c>
      <c r="E76" s="13"/>
      <c r="F76" s="30">
        <f>IF(D$12=0,0,D76/D$12)</f>
        <v>0</v>
      </c>
      <c r="G76" s="13"/>
      <c r="H76" s="34">
        <f>+H72-H74</f>
        <v>-7178</v>
      </c>
      <c r="I76" s="13"/>
      <c r="J76" s="30">
        <f>IF(H$12=0,0,H76/H$12)</f>
        <v>0</v>
      </c>
      <c r="K76" s="15"/>
      <c r="L76" s="34">
        <f>D76-H76</f>
        <v>-9889.4700000000012</v>
      </c>
      <c r="M76" s="15"/>
      <c r="N76" s="30">
        <f>IF(H76=0,0,L76/H76)</f>
        <v>1.3777472833658402</v>
      </c>
      <c r="O76" s="26"/>
      <c r="P76" s="34">
        <f>+P72-P74</f>
        <v>-17067.47</v>
      </c>
      <c r="Q76" s="13"/>
      <c r="R76" s="30">
        <f>IF(P$12=0,0,P76/P$12)</f>
        <v>0</v>
      </c>
      <c r="S76" s="13"/>
      <c r="T76" s="34">
        <f>+T72-T74</f>
        <v>-7178</v>
      </c>
      <c r="U76" s="13"/>
      <c r="V76" s="30">
        <f>IF(T$12=0,0,T76/T$12)</f>
        <v>0</v>
      </c>
      <c r="W76" s="15"/>
      <c r="X76" s="34">
        <f>P76-T76</f>
        <v>-9889.4700000000012</v>
      </c>
      <c r="Y76" s="15"/>
      <c r="Z76" s="30">
        <f>IF(T76=0,0,X76/T76)</f>
        <v>1.3777472833658402</v>
      </c>
    </row>
    <row r="77" spans="1:26" ht="15.75" thickTop="1" x14ac:dyDescent="0.25">
      <c r="A77" s="9"/>
      <c r="B77" s="9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x14ac:dyDescent="0.25">
      <c r="A78" s="9"/>
      <c r="B78" s="9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2" customFormat="1" ht="15.75" thickBot="1" x14ac:dyDescent="0.3">
      <c r="A79" s="10"/>
      <c r="B79" s="25" t="s">
        <v>5</v>
      </c>
      <c r="C79" s="25"/>
      <c r="D79" s="32">
        <f>SUM(D76:D78)</f>
        <v>-17067.47</v>
      </c>
      <c r="E79" s="13"/>
      <c r="F79" s="33">
        <f>IF(D$12=0,0,D79/D$12)</f>
        <v>0</v>
      </c>
      <c r="G79" s="13"/>
      <c r="H79" s="32">
        <f>SUM(H76:H78)</f>
        <v>-7178</v>
      </c>
      <c r="I79" s="13"/>
      <c r="J79" s="33">
        <f>IF(H$12=0,0,H79/H$12)</f>
        <v>0</v>
      </c>
      <c r="K79" s="15"/>
      <c r="L79" s="32">
        <f>+D79-H79</f>
        <v>-9889.4700000000012</v>
      </c>
      <c r="M79" s="15"/>
      <c r="N79" s="33">
        <f>IF(H79=0,0,L79/H79)</f>
        <v>1.3777472833658402</v>
      </c>
      <c r="O79" s="26"/>
      <c r="P79" s="32">
        <f>SUM(P76:P78)</f>
        <v>-17067.47</v>
      </c>
      <c r="Q79" s="13"/>
      <c r="R79" s="33">
        <f>IF(P$12=0,0,P79/P$12)</f>
        <v>0</v>
      </c>
      <c r="S79" s="13"/>
      <c r="T79" s="32">
        <f>SUM(T76:T78)</f>
        <v>-7178</v>
      </c>
      <c r="U79" s="13"/>
      <c r="V79" s="33">
        <f>IF(T$12=0,0,T79/T$12)</f>
        <v>0</v>
      </c>
      <c r="W79" s="15"/>
      <c r="X79" s="32">
        <f>+P79-T79</f>
        <v>-9889.4700000000012</v>
      </c>
      <c r="Y79" s="15"/>
      <c r="Z79" s="33">
        <f>IF(T79=0,0,X79/T79)</f>
        <v>1.3777472833658402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8">
        <v>44104.686384456021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6" t="s">
        <v>314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62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","420", " - ", "Catering")</f>
        <v>Department 420 - Catering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SUM(0)</f>
        <v>0</v>
      </c>
      <c r="E18" s="19"/>
      <c r="F18" s="31">
        <f>IF(D$12=0,0,D18/D$12)</f>
        <v>0</v>
      </c>
      <c r="G18" s="19"/>
      <c r="H18" s="19">
        <f>SUM(0)</f>
        <v>0</v>
      </c>
      <c r="I18" s="19"/>
      <c r="J18" s="31">
        <f>IF(H$12=0,0,H18/H$12)</f>
        <v>0</v>
      </c>
      <c r="K18" s="4"/>
      <c r="L18" s="19">
        <f>+D18-H18</f>
        <v>0</v>
      </c>
      <c r="M18" s="4"/>
      <c r="N18" s="31">
        <f>IF(H18=0,0,L18/H18)</f>
        <v>0</v>
      </c>
      <c r="O18" s="10"/>
      <c r="P18" s="19">
        <f>SUM(0)</f>
        <v>0</v>
      </c>
      <c r="Q18" s="19"/>
      <c r="R18" s="31">
        <f>IF(P$12=0,0,P18/P$12)</f>
        <v>0</v>
      </c>
      <c r="S18" s="19"/>
      <c r="T18" s="19">
        <f>SUM(0)</f>
        <v>0</v>
      </c>
      <c r="U18" s="19"/>
      <c r="V18" s="31">
        <f>IF(T$12=0,0,T18/T$12)</f>
        <v>0</v>
      </c>
      <c r="W18" s="4"/>
      <c r="X18" s="19">
        <f>+P18-T18</f>
        <v>0</v>
      </c>
      <c r="Y18" s="4"/>
      <c r="Z18" s="31">
        <f>IF(T18=0,0,X18/T18)</f>
        <v>0</v>
      </c>
    </row>
    <row r="19" spans="1:26" s="54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0</v>
      </c>
      <c r="C20" s="10"/>
      <c r="D20" s="4">
        <f>SUM(0)</f>
        <v>0</v>
      </c>
      <c r="E20" s="4"/>
      <c r="F20" s="11">
        <f>IF(D$12=0,0,D20/D$12)</f>
        <v>0</v>
      </c>
      <c r="G20" s="4"/>
      <c r="H20" s="4">
        <f>SUM(0)</f>
        <v>0</v>
      </c>
      <c r="I20" s="4"/>
      <c r="J20" s="11">
        <f>IF(H$12=0,0,H20/H$12)</f>
        <v>0</v>
      </c>
      <c r="K20" s="4"/>
      <c r="L20" s="4">
        <f>+D20-H20</f>
        <v>0</v>
      </c>
      <c r="M20" s="4"/>
      <c r="N20" s="11">
        <f>IF(H20=0,0,L20/H20)</f>
        <v>0</v>
      </c>
      <c r="O20" s="10"/>
      <c r="P20" s="4">
        <f>SUM(0)</f>
        <v>0</v>
      </c>
      <c r="Q20" s="4"/>
      <c r="R20" s="11">
        <f>IF(P$12=0,0,P20/P$12)</f>
        <v>0</v>
      </c>
      <c r="S20" s="4"/>
      <c r="T20" s="4">
        <f>SUM(0)</f>
        <v>0</v>
      </c>
      <c r="U20" s="4"/>
      <c r="V20" s="11">
        <f>IF(T$12=0,0,T20/T$12)</f>
        <v>0</v>
      </c>
      <c r="W20" s="4"/>
      <c r="X20" s="4">
        <f>+P20-T20</f>
        <v>0</v>
      </c>
      <c r="Y20" s="4"/>
      <c r="Z20" s="11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2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2" customFormat="1" x14ac:dyDescent="0.25">
      <c r="A24" s="52"/>
      <c r="B24" s="10" t="s">
        <v>14</v>
      </c>
      <c r="C24" s="10"/>
      <c r="D24" s="4"/>
      <c r="E24" s="4"/>
      <c r="F24" s="11">
        <f>IF(D$12=0,0,D24/D$12)</f>
        <v>0</v>
      </c>
      <c r="G24" s="4"/>
      <c r="H24" s="4"/>
      <c r="I24" s="4"/>
      <c r="J24" s="11">
        <f>IF(H$12=0,0,H24/H$12)</f>
        <v>0</v>
      </c>
      <c r="K24" s="4"/>
      <c r="L24" s="4">
        <f>+D24-H24</f>
        <v>0</v>
      </c>
      <c r="M24" s="4"/>
      <c r="N24" s="11">
        <f>IF(H24=0,0,L24/H24)</f>
        <v>0</v>
      </c>
      <c r="O24" s="10"/>
      <c r="P24" s="4"/>
      <c r="Q24" s="4"/>
      <c r="R24" s="11">
        <f>IF(P$12=0,0,P24/P$12)</f>
        <v>0</v>
      </c>
      <c r="S24" s="4"/>
      <c r="T24" s="4"/>
      <c r="U24" s="4"/>
      <c r="V24" s="11">
        <f>IF(T$12=0,0,T24/T$12)</f>
        <v>0</v>
      </c>
      <c r="W24" s="4"/>
      <c r="X24" s="4">
        <f>+P24-T24</f>
        <v>0</v>
      </c>
      <c r="Y24" s="4"/>
      <c r="Z24" s="11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2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0">
        <f>IF(D$12=0,0,D26/D$12)</f>
        <v>0</v>
      </c>
      <c r="G26" s="13"/>
      <c r="H26" s="34">
        <f>+H22-H24</f>
        <v>0</v>
      </c>
      <c r="I26" s="13"/>
      <c r="J26" s="30">
        <f>IF(H$12=0,0,H26/H$12)</f>
        <v>0</v>
      </c>
      <c r="K26" s="15"/>
      <c r="L26" s="34">
        <f>D26-H26</f>
        <v>0</v>
      </c>
      <c r="M26" s="15"/>
      <c r="N26" s="30">
        <f>IF(H26=0,0,L26/H26)</f>
        <v>0</v>
      </c>
      <c r="O26" s="26"/>
      <c r="P26" s="34">
        <f>+P22-P24</f>
        <v>0</v>
      </c>
      <c r="Q26" s="13"/>
      <c r="R26" s="30">
        <f>IF(P$12=0,0,P26/P$12)</f>
        <v>0</v>
      </c>
      <c r="S26" s="13"/>
      <c r="T26" s="34">
        <f>+T22-T24</f>
        <v>0</v>
      </c>
      <c r="U26" s="13"/>
      <c r="V26" s="30">
        <f>IF(T$12=0,0,T26/T$12)</f>
        <v>0</v>
      </c>
      <c r="W26" s="15"/>
      <c r="X26" s="34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x14ac:dyDescent="0.25">
      <c r="A28" s="9"/>
      <c r="B28" s="9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ht="15.75" thickBot="1" x14ac:dyDescent="0.3">
      <c r="A29" s="10"/>
      <c r="B29" s="25" t="s">
        <v>5</v>
      </c>
      <c r="C29" s="25"/>
      <c r="D29" s="32">
        <f>SUM(D26:D28)</f>
        <v>0</v>
      </c>
      <c r="E29" s="13"/>
      <c r="F29" s="33">
        <f>IF(D$12=0,0,D29/D$12)</f>
        <v>0</v>
      </c>
      <c r="G29" s="13"/>
      <c r="H29" s="32">
        <f>SUM(H26:H28)</f>
        <v>0</v>
      </c>
      <c r="I29" s="13"/>
      <c r="J29" s="33">
        <f>IF(H$12=0,0,H29/H$12)</f>
        <v>0</v>
      </c>
      <c r="K29" s="15"/>
      <c r="L29" s="32">
        <f>+D29-H29</f>
        <v>0</v>
      </c>
      <c r="M29" s="15"/>
      <c r="N29" s="33">
        <f>IF(H29=0,0,L29/H29)</f>
        <v>0</v>
      </c>
      <c r="O29" s="26"/>
      <c r="P29" s="32">
        <f>SUM(P26:P28)</f>
        <v>0</v>
      </c>
      <c r="Q29" s="13"/>
      <c r="R29" s="33">
        <f>IF(P$12=0,0,P29/P$12)</f>
        <v>0</v>
      </c>
      <c r="S29" s="13"/>
      <c r="T29" s="32">
        <f>SUM(T26:T28)</f>
        <v>0</v>
      </c>
      <c r="U29" s="13"/>
      <c r="V29" s="33">
        <f>IF(T$12=0,0,T29/T$12)</f>
        <v>0</v>
      </c>
      <c r="W29" s="15"/>
      <c r="X29" s="32">
        <f>+P29-T29</f>
        <v>0</v>
      </c>
      <c r="Y29" s="15"/>
      <c r="Z29" s="33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8">
        <v>44104.686403356478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56" t="s">
        <v>314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62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","423", " - ", "Contract Revenue")</f>
        <v>Department 423 - Contract Revenue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2458.4299999999998</v>
      </c>
      <c r="E18" s="19"/>
      <c r="F18" s="31">
        <f t="shared" ref="F18:F27" si="0">IF(D$12=0,0,D18/D$12)</f>
        <v>0</v>
      </c>
      <c r="G18" s="19"/>
      <c r="H18" s="19">
        <f>SUM(OSRRefH22x_0)</f>
        <v>20627.026634615377</v>
      </c>
      <c r="I18" s="19"/>
      <c r="J18" s="31">
        <f t="shared" ref="J18:J27" si="1">IF(H$12=0,0,H18/H$12)</f>
        <v>0</v>
      </c>
      <c r="K18" s="4"/>
      <c r="L18" s="19">
        <f t="shared" ref="L18:L27" si="2">+D18-H18</f>
        <v>-18168.596634615376</v>
      </c>
      <c r="M18" s="4"/>
      <c r="N18" s="31">
        <f t="shared" ref="N18:N27" si="3">IF(H18=0,0,L18/H18)</f>
        <v>-0.88081510517495676</v>
      </c>
      <c r="O18" s="10"/>
      <c r="P18" s="19">
        <f>SUM(OSRRefP22x_0)</f>
        <v>2458.4299999999998</v>
      </c>
      <c r="Q18" s="19"/>
      <c r="R18" s="31">
        <f t="shared" ref="R18:R27" si="4">IF(P$12=0,0,P18/P$12)</f>
        <v>0</v>
      </c>
      <c r="S18" s="19"/>
      <c r="T18" s="19">
        <f>SUM(OSRRefT22x_0)</f>
        <v>20627.026634615377</v>
      </c>
      <c r="U18" s="19"/>
      <c r="V18" s="31">
        <f t="shared" ref="V18:V27" si="5">IF(T$12=0,0,T18/T$12)</f>
        <v>0</v>
      </c>
      <c r="W18" s="4"/>
      <c r="X18" s="19">
        <f t="shared" ref="X18:X27" si="6">+P18-T18</f>
        <v>-18168.596634615376</v>
      </c>
      <c r="Y18" s="4"/>
      <c r="Z18" s="31">
        <f t="shared" ref="Z18:Z27" si="7">IF(T18=0,0,X18/T18)</f>
        <v>-0.88081510517495676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2478.73</v>
      </c>
      <c r="E19" s="1"/>
      <c r="F19" s="5">
        <f t="shared" si="0"/>
        <v>0</v>
      </c>
      <c r="G19" s="1"/>
      <c r="H19" s="1">
        <f>SUM(OSRRefH22_0x_0)</f>
        <v>5099.1420192307769</v>
      </c>
      <c r="I19" s="1"/>
      <c r="J19" s="5">
        <f t="shared" si="1"/>
        <v>0</v>
      </c>
      <c r="K19" s="1"/>
      <c r="L19" s="1">
        <f t="shared" si="2"/>
        <v>-2620.4120192307769</v>
      </c>
      <c r="M19" s="1"/>
      <c r="N19" s="5">
        <f t="shared" si="3"/>
        <v>-0.51389273123757295</v>
      </c>
      <c r="O19" s="14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5099.1420192307769</v>
      </c>
      <c r="U19" s="1"/>
      <c r="V19" s="5">
        <f t="shared" si="5"/>
        <v>0</v>
      </c>
      <c r="W19" s="1"/>
      <c r="X19" s="1">
        <f t="shared" si="6"/>
        <v>-2620.4120192307769</v>
      </c>
      <c r="Y19" s="1"/>
      <c r="Z19" s="5">
        <f t="shared" si="7"/>
        <v>-0.51389273123757295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/>
      <c r="E20" s="3"/>
      <c r="F20" s="8">
        <f t="shared" si="0"/>
        <v>0</v>
      </c>
      <c r="G20" s="3"/>
      <c r="H20" s="7">
        <v>1058.9102884615402</v>
      </c>
      <c r="I20" s="3"/>
      <c r="J20" s="8">
        <f t="shared" si="1"/>
        <v>0</v>
      </c>
      <c r="K20" s="3"/>
      <c r="L20" s="7">
        <f t="shared" si="2"/>
        <v>-1058.9102884615402</v>
      </c>
      <c r="M20" s="3"/>
      <c r="N20" s="8">
        <f t="shared" si="3"/>
        <v>-1</v>
      </c>
      <c r="O20" s="12"/>
      <c r="P20" s="7"/>
      <c r="Q20" s="3"/>
      <c r="R20" s="8">
        <f t="shared" si="4"/>
        <v>0</v>
      </c>
      <c r="S20" s="3"/>
      <c r="T20" s="7">
        <v>1058.9102884615402</v>
      </c>
      <c r="U20" s="3"/>
      <c r="V20" s="8">
        <f t="shared" si="5"/>
        <v>0</v>
      </c>
      <c r="W20" s="3"/>
      <c r="X20" s="7">
        <f t="shared" si="6"/>
        <v>-1058.9102884615402</v>
      </c>
      <c r="Y20" s="3"/>
      <c r="Z20" s="8">
        <f t="shared" si="7"/>
        <v>-1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/>
      <c r="E21" s="3"/>
      <c r="F21" s="8">
        <f t="shared" si="0"/>
        <v>0</v>
      </c>
      <c r="G21" s="3"/>
      <c r="H21" s="7">
        <v>45.660576923076903</v>
      </c>
      <c r="I21" s="3"/>
      <c r="J21" s="8">
        <f t="shared" si="1"/>
        <v>0</v>
      </c>
      <c r="K21" s="3"/>
      <c r="L21" s="7">
        <f t="shared" si="2"/>
        <v>-45.660576923076903</v>
      </c>
      <c r="M21" s="3"/>
      <c r="N21" s="8">
        <f t="shared" si="3"/>
        <v>-1</v>
      </c>
      <c r="O21" s="12"/>
      <c r="P21" s="7"/>
      <c r="Q21" s="3"/>
      <c r="R21" s="8">
        <f t="shared" si="4"/>
        <v>0</v>
      </c>
      <c r="S21" s="3"/>
      <c r="T21" s="7">
        <v>45.660576923076903</v>
      </c>
      <c r="U21" s="3"/>
      <c r="V21" s="8">
        <f t="shared" si="5"/>
        <v>0</v>
      </c>
      <c r="W21" s="3"/>
      <c r="X21" s="7">
        <f t="shared" si="6"/>
        <v>-45.660576923076903</v>
      </c>
      <c r="Y21" s="3"/>
      <c r="Z21" s="8">
        <f t="shared" si="7"/>
        <v>-1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1868.2</v>
      </c>
      <c r="E22" s="3"/>
      <c r="F22" s="8">
        <f t="shared" si="0"/>
        <v>0</v>
      </c>
      <c r="G22" s="3"/>
      <c r="H22" s="7">
        <v>1385</v>
      </c>
      <c r="I22" s="3"/>
      <c r="J22" s="8">
        <f t="shared" si="1"/>
        <v>0</v>
      </c>
      <c r="K22" s="3"/>
      <c r="L22" s="7">
        <f t="shared" si="2"/>
        <v>483.20000000000005</v>
      </c>
      <c r="M22" s="3"/>
      <c r="N22" s="8">
        <f t="shared" si="3"/>
        <v>0.34888086642599281</v>
      </c>
      <c r="O22" s="12"/>
      <c r="P22" s="7">
        <v>1868.2</v>
      </c>
      <c r="Q22" s="3"/>
      <c r="R22" s="8">
        <f t="shared" si="4"/>
        <v>0</v>
      </c>
      <c r="S22" s="3"/>
      <c r="T22" s="7">
        <v>1385</v>
      </c>
      <c r="U22" s="3"/>
      <c r="V22" s="8">
        <f t="shared" si="5"/>
        <v>0</v>
      </c>
      <c r="W22" s="3"/>
      <c r="X22" s="7">
        <f t="shared" si="6"/>
        <v>483.20000000000005</v>
      </c>
      <c r="Y22" s="3"/>
      <c r="Z22" s="8">
        <f t="shared" si="7"/>
        <v>0.34888086642599281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/>
      <c r="E23" s="3"/>
      <c r="F23" s="8">
        <f t="shared" si="0"/>
        <v>0</v>
      </c>
      <c r="G23" s="3"/>
      <c r="H23" s="7">
        <v>35.975000000000001</v>
      </c>
      <c r="I23" s="3"/>
      <c r="J23" s="8">
        <f t="shared" si="1"/>
        <v>0</v>
      </c>
      <c r="K23" s="3"/>
      <c r="L23" s="7">
        <f t="shared" si="2"/>
        <v>-35.975000000000001</v>
      </c>
      <c r="M23" s="3"/>
      <c r="N23" s="8">
        <f t="shared" si="3"/>
        <v>-1</v>
      </c>
      <c r="O23" s="12"/>
      <c r="P23" s="7"/>
      <c r="Q23" s="3"/>
      <c r="R23" s="8">
        <f t="shared" si="4"/>
        <v>0</v>
      </c>
      <c r="S23" s="3"/>
      <c r="T23" s="7">
        <v>35.975000000000001</v>
      </c>
      <c r="U23" s="3"/>
      <c r="V23" s="8">
        <f t="shared" si="5"/>
        <v>0</v>
      </c>
      <c r="W23" s="3"/>
      <c r="X23" s="7">
        <f t="shared" si="6"/>
        <v>-35.975000000000001</v>
      </c>
      <c r="Y23" s="3"/>
      <c r="Z23" s="8">
        <f t="shared" si="7"/>
        <v>-1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610.53</v>
      </c>
      <c r="E24" s="3"/>
      <c r="F24" s="8">
        <f t="shared" si="0"/>
        <v>0</v>
      </c>
      <c r="G24" s="3"/>
      <c r="H24" s="7">
        <v>1189.9423076923101</v>
      </c>
      <c r="I24" s="3"/>
      <c r="J24" s="8">
        <f t="shared" si="1"/>
        <v>0</v>
      </c>
      <c r="K24" s="3"/>
      <c r="L24" s="7">
        <f t="shared" si="2"/>
        <v>-579.41230769231015</v>
      </c>
      <c r="M24" s="3"/>
      <c r="N24" s="8">
        <f t="shared" si="3"/>
        <v>-0.48692470546406685</v>
      </c>
      <c r="O24" s="12"/>
      <c r="P24" s="7">
        <v>610.53</v>
      </c>
      <c r="Q24" s="3"/>
      <c r="R24" s="8">
        <f t="shared" si="4"/>
        <v>0</v>
      </c>
      <c r="S24" s="3"/>
      <c r="T24" s="7">
        <v>1189.9423076923101</v>
      </c>
      <c r="U24" s="3"/>
      <c r="V24" s="8">
        <f t="shared" si="5"/>
        <v>0</v>
      </c>
      <c r="W24" s="3"/>
      <c r="X24" s="7">
        <f t="shared" si="6"/>
        <v>-579.41230769231015</v>
      </c>
      <c r="Y24" s="3"/>
      <c r="Z24" s="8">
        <f t="shared" si="7"/>
        <v>-0.48692470546406685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"6118", " - ", "VACATION")</f>
        <v xml:space="preserve">          6118 - VACATION</v>
      </c>
      <c r="C26" s="12"/>
      <c r="D26" s="7"/>
      <c r="E26" s="3"/>
      <c r="F26" s="8">
        <f t="shared" si="0"/>
        <v>0</v>
      </c>
      <c r="G26" s="3"/>
      <c r="H26" s="7">
        <v>1383.6538461538501</v>
      </c>
      <c r="I26" s="3"/>
      <c r="J26" s="8">
        <f t="shared" si="1"/>
        <v>0</v>
      </c>
      <c r="K26" s="3"/>
      <c r="L26" s="7">
        <f t="shared" si="2"/>
        <v>-1383.6538461538501</v>
      </c>
      <c r="M26" s="3"/>
      <c r="N26" s="8">
        <f t="shared" si="3"/>
        <v>-1</v>
      </c>
      <c r="O26" s="12"/>
      <c r="P26" s="7"/>
      <c r="Q26" s="3"/>
      <c r="R26" s="8">
        <f t="shared" si="4"/>
        <v>0</v>
      </c>
      <c r="S26" s="3"/>
      <c r="T26" s="7">
        <v>1383.6538461538501</v>
      </c>
      <c r="U26" s="3"/>
      <c r="V26" s="8">
        <f t="shared" si="5"/>
        <v>0</v>
      </c>
      <c r="W26" s="3"/>
      <c r="X26" s="7">
        <f t="shared" si="6"/>
        <v>-1383.6538461538501</v>
      </c>
      <c r="Y26" s="3"/>
      <c r="Z26" s="8">
        <f t="shared" si="7"/>
        <v>-1</v>
      </c>
    </row>
    <row r="27" spans="1:26" s="24" customFormat="1" hidden="1" outlineLevel="2" x14ac:dyDescent="0.25">
      <c r="A27" s="27"/>
      <c r="B27" s="12" t="str">
        <f>CONCATENATE("          ", "6119", " - ", "SICK LEAVE")</f>
        <v xml:space="preserve">          6119 - SICK LEAVE</v>
      </c>
      <c r="C27" s="12"/>
      <c r="D27" s="7"/>
      <c r="E27" s="3"/>
      <c r="F27" s="8">
        <f t="shared" si="0"/>
        <v>0</v>
      </c>
      <c r="G27" s="3"/>
      <c r="H27" s="7">
        <v>0</v>
      </c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0</v>
      </c>
      <c r="U27" s="3"/>
      <c r="V27" s="8">
        <f t="shared" si="5"/>
        <v>0</v>
      </c>
      <c r="W27" s="3"/>
      <c r="X27" s="7">
        <f t="shared" si="6"/>
        <v>0</v>
      </c>
      <c r="Y27" s="3"/>
      <c r="Z27" s="8">
        <f t="shared" si="7"/>
        <v>0</v>
      </c>
    </row>
    <row r="28" spans="1:26" s="29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12452.884615384599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-12452.884615384599</v>
      </c>
      <c r="M28" s="1"/>
      <c r="N28" s="5">
        <f t="shared" ref="N28:N38" si="11">IF(H28=0,0,L28/H28)</f>
        <v>-1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12452.884615384599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-12452.884615384599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7"/>
      <c r="B29" s="12" t="str">
        <f>CONCATENATE("          ", "6001", " - ", "ADMINISTRATIVE SALARIES")</f>
        <v xml:space="preserve">          6001 - ADMINISTRATIVE SALARIES</v>
      </c>
      <c r="C29" s="12"/>
      <c r="D29" s="7"/>
      <c r="E29" s="3"/>
      <c r="F29" s="8">
        <f t="shared" si="8"/>
        <v>0</v>
      </c>
      <c r="G29" s="3"/>
      <c r="H29" s="7">
        <v>12452.884615384599</v>
      </c>
      <c r="I29" s="3"/>
      <c r="J29" s="8">
        <f t="shared" si="9"/>
        <v>0</v>
      </c>
      <c r="K29" s="3"/>
      <c r="L29" s="7">
        <f t="shared" si="10"/>
        <v>-12452.884615384599</v>
      </c>
      <c r="M29" s="3"/>
      <c r="N29" s="8">
        <f t="shared" si="11"/>
        <v>-1</v>
      </c>
      <c r="O29" s="12"/>
      <c r="P29" s="7"/>
      <c r="Q29" s="3"/>
      <c r="R29" s="8">
        <f t="shared" si="12"/>
        <v>0</v>
      </c>
      <c r="S29" s="3"/>
      <c r="T29" s="7">
        <v>12452.884615384599</v>
      </c>
      <c r="U29" s="3"/>
      <c r="V29" s="8">
        <f t="shared" si="13"/>
        <v>0</v>
      </c>
      <c r="W29" s="3"/>
      <c r="X29" s="7">
        <f t="shared" si="14"/>
        <v>-12452.884615384599</v>
      </c>
      <c r="Y29" s="3"/>
      <c r="Z29" s="8">
        <f t="shared" si="15"/>
        <v>-1</v>
      </c>
    </row>
    <row r="30" spans="1:26" s="24" customFormat="1" hidden="1" outlineLevel="2" x14ac:dyDescent="0.25">
      <c r="A30" s="27"/>
      <c r="B30" s="12" t="str">
        <f>CONCATENATE("          ", "6002", " - ", "STAFF SALARIES")</f>
        <v xml:space="preserve">          6002 - STAFF SALARIES</v>
      </c>
      <c r="C30" s="12"/>
      <c r="D30" s="7"/>
      <c r="E30" s="3"/>
      <c r="F30" s="8">
        <f t="shared" si="8"/>
        <v>0</v>
      </c>
      <c r="G30" s="3"/>
      <c r="H30" s="7">
        <v>0</v>
      </c>
      <c r="I30" s="3"/>
      <c r="J30" s="8">
        <f t="shared" si="9"/>
        <v>0</v>
      </c>
      <c r="K30" s="3"/>
      <c r="L30" s="7">
        <f t="shared" si="10"/>
        <v>0</v>
      </c>
      <c r="M30" s="3"/>
      <c r="N30" s="8">
        <f t="shared" si="11"/>
        <v>0</v>
      </c>
      <c r="O30" s="12"/>
      <c r="P30" s="7"/>
      <c r="Q30" s="3"/>
      <c r="R30" s="8">
        <f t="shared" si="12"/>
        <v>0</v>
      </c>
      <c r="S30" s="3"/>
      <c r="T30" s="7">
        <v>0</v>
      </c>
      <c r="U30" s="3"/>
      <c r="V30" s="8">
        <f t="shared" si="13"/>
        <v>0</v>
      </c>
      <c r="W30" s="3"/>
      <c r="X30" s="7">
        <f t="shared" si="14"/>
        <v>0</v>
      </c>
      <c r="Y30" s="3"/>
      <c r="Z30" s="8">
        <f t="shared" si="15"/>
        <v>0</v>
      </c>
    </row>
    <row r="31" spans="1:26" s="24" customFormat="1" hidden="1" outlineLevel="2" x14ac:dyDescent="0.25">
      <c r="A31" s="27"/>
      <c r="B31" s="12" t="str">
        <f>CONCATENATE("          ", "6003", " - ", "STAFF HOURLY-9 MONTH")</f>
        <v xml:space="preserve">          6003 - STAFF HOURLY-9 MONTH</v>
      </c>
      <c r="C31" s="12"/>
      <c r="D31" s="7"/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0</v>
      </c>
      <c r="M31" s="3"/>
      <c r="N31" s="8">
        <f t="shared" si="11"/>
        <v>0</v>
      </c>
      <c r="O31" s="12"/>
      <c r="P31" s="7"/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0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"6004", " - ", "STAFF HOURLY")</f>
        <v xml:space="preserve">          6004 - STAFF HOURLY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"6005", " - ", "TEMPORARY WAGES-HOURLY")</f>
        <v xml:space="preserve">          6005 - TEMPORARY WAGES-HOURLY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"6006", " - ", "TEMPORARY PART TIME")</f>
        <v xml:space="preserve">          6006 - TEMPORARY PART TIME</v>
      </c>
      <c r="C34" s="12"/>
      <c r="D34" s="7"/>
      <c r="E34" s="3"/>
      <c r="F34" s="8">
        <f t="shared" si="8"/>
        <v>0</v>
      </c>
      <c r="G34" s="3"/>
      <c r="H34" s="7">
        <v>0</v>
      </c>
      <c r="I34" s="3"/>
      <c r="J34" s="8">
        <f t="shared" si="9"/>
        <v>0</v>
      </c>
      <c r="K34" s="3"/>
      <c r="L34" s="7">
        <f t="shared" si="10"/>
        <v>0</v>
      </c>
      <c r="M34" s="3"/>
      <c r="N34" s="8">
        <f t="shared" si="11"/>
        <v>0</v>
      </c>
      <c r="O34" s="12"/>
      <c r="P34" s="7"/>
      <c r="Q34" s="3"/>
      <c r="R34" s="8">
        <f t="shared" si="12"/>
        <v>0</v>
      </c>
      <c r="S34" s="3"/>
      <c r="T34" s="7">
        <v>0</v>
      </c>
      <c r="U34" s="3"/>
      <c r="V34" s="8">
        <f t="shared" si="13"/>
        <v>0</v>
      </c>
      <c r="W34" s="3"/>
      <c r="X34" s="7">
        <f t="shared" si="14"/>
        <v>0</v>
      </c>
      <c r="Y34" s="3"/>
      <c r="Z34" s="8">
        <f t="shared" si="15"/>
        <v>0</v>
      </c>
    </row>
    <row r="35" spans="1:26" s="24" customFormat="1" hidden="1" outlineLevel="2" x14ac:dyDescent="0.25">
      <c r="A35" s="27"/>
      <c r="B35" s="12" t="str">
        <f>CONCATENATE("          ", "6007", " - ", "STUDENT HOURLY")</f>
        <v xml:space="preserve">          6007 - STUDENT HOURLY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"6008", " - ", "STUDENT HOURLY-FICA EXEMPT")</f>
        <v xml:space="preserve">          6008 - STUDENT HOURLY-FICA EXEMPT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"6009", " - ", "TEMPORARY-SEASONAL")</f>
        <v xml:space="preserve">          6009 - TEMPORARY-SEASONAL</v>
      </c>
      <c r="C37" s="12"/>
      <c r="D37" s="7"/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0</v>
      </c>
      <c r="M37" s="3"/>
      <c r="N37" s="8">
        <f t="shared" si="11"/>
        <v>0</v>
      </c>
      <c r="O37" s="12"/>
      <c r="P37" s="7"/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0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"6010", " - ", "GRATUITY")</f>
        <v xml:space="preserve">          6010 - GRATUITY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9" customFormat="1" outlineLevel="1" collapsed="1" x14ac:dyDescent="0.25">
      <c r="A39" s="28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3000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-3000</v>
      </c>
      <c r="M39" s="1"/>
      <c r="N39" s="5">
        <f t="shared" ref="N39:N43" si="19">IF(H39=0,0,L39/H39)</f>
        <v>-1</v>
      </c>
      <c r="O39" s="14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7"/>
      <c r="B40" s="12" t="str">
        <f>CONCATENATE("          ", "6279", " - ", "GENERAL EXPENSE")</f>
        <v xml:space="preserve">          6279 - GENERAL EXPENSE</v>
      </c>
      <c r="C40" s="12"/>
      <c r="D40" s="7"/>
      <c r="E40" s="3"/>
      <c r="F40" s="8">
        <f t="shared" si="16"/>
        <v>0</v>
      </c>
      <c r="G40" s="3"/>
      <c r="H40" s="7">
        <v>3000</v>
      </c>
      <c r="I40" s="3"/>
      <c r="J40" s="8">
        <f t="shared" si="17"/>
        <v>0</v>
      </c>
      <c r="K40" s="3"/>
      <c r="L40" s="7">
        <f t="shared" si="18"/>
        <v>-3000</v>
      </c>
      <c r="M40" s="3"/>
      <c r="N40" s="8">
        <f t="shared" si="19"/>
        <v>-1</v>
      </c>
      <c r="O40" s="12"/>
      <c r="P40" s="7"/>
      <c r="Q40" s="3"/>
      <c r="R40" s="8">
        <f t="shared" si="20"/>
        <v>0</v>
      </c>
      <c r="S40" s="3"/>
      <c r="T40" s="7">
        <v>3000</v>
      </c>
      <c r="U40" s="3"/>
      <c r="V40" s="8">
        <f t="shared" si="21"/>
        <v>0</v>
      </c>
      <c r="W40" s="3"/>
      <c r="X40" s="7">
        <f t="shared" si="22"/>
        <v>-3000</v>
      </c>
      <c r="Y40" s="3"/>
      <c r="Z40" s="8">
        <f t="shared" si="23"/>
        <v>-1</v>
      </c>
    </row>
    <row r="41" spans="1:26" s="29" customFormat="1" outlineLevel="1" collapsed="1" x14ac:dyDescent="0.25">
      <c r="A41" s="28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7"/>
      <c r="B42" s="12" t="str">
        <f>CONCATENATE("          ", "6282", " - ", "JANITORIAL/EXTERMINATOR EXPENS")</f>
        <v xml:space="preserve">          6282 - JANITORIAL/EXTERMINATOR EXPENS</v>
      </c>
      <c r="C42" s="12"/>
      <c r="D42" s="7"/>
      <c r="E42" s="3"/>
      <c r="F42" s="8">
        <f t="shared" si="16"/>
        <v>0</v>
      </c>
      <c r="G42" s="3"/>
      <c r="H42" s="7">
        <v>0</v>
      </c>
      <c r="I42" s="3"/>
      <c r="J42" s="8">
        <f t="shared" si="17"/>
        <v>0</v>
      </c>
      <c r="K42" s="3"/>
      <c r="L42" s="7">
        <f t="shared" si="18"/>
        <v>0</v>
      </c>
      <c r="M42" s="3"/>
      <c r="N42" s="8">
        <f t="shared" si="19"/>
        <v>0</v>
      </c>
      <c r="O42" s="12"/>
      <c r="P42" s="7"/>
      <c r="Q42" s="3"/>
      <c r="R42" s="8">
        <f t="shared" si="20"/>
        <v>0</v>
      </c>
      <c r="S42" s="3"/>
      <c r="T42" s="7">
        <v>0</v>
      </c>
      <c r="U42" s="3"/>
      <c r="V42" s="8">
        <f t="shared" si="21"/>
        <v>0</v>
      </c>
      <c r="W42" s="3"/>
      <c r="X42" s="7">
        <f t="shared" si="22"/>
        <v>0</v>
      </c>
      <c r="Y42" s="3"/>
      <c r="Z42" s="8">
        <f t="shared" si="23"/>
        <v>0</v>
      </c>
    </row>
    <row r="43" spans="1:26" s="24" customFormat="1" hidden="1" outlineLevel="2" x14ac:dyDescent="0.25">
      <c r="A43" s="27"/>
      <c r="B43" s="12" t="str">
        <f>CONCATENATE("          ", "6285", " - ", "JANITORIAL SERVICES")</f>
        <v xml:space="preserve">          6285 - JANITORIAL SERVICES</v>
      </c>
      <c r="C43" s="12"/>
      <c r="D43" s="7"/>
      <c r="E43" s="3"/>
      <c r="F43" s="8">
        <f t="shared" si="16"/>
        <v>0</v>
      </c>
      <c r="G43" s="3"/>
      <c r="H43" s="7">
        <v>0</v>
      </c>
      <c r="I43" s="3"/>
      <c r="J43" s="8">
        <f t="shared" si="17"/>
        <v>0</v>
      </c>
      <c r="K43" s="3"/>
      <c r="L43" s="7">
        <f t="shared" si="18"/>
        <v>0</v>
      </c>
      <c r="M43" s="3"/>
      <c r="N43" s="8">
        <f t="shared" si="19"/>
        <v>0</v>
      </c>
      <c r="O43" s="12"/>
      <c r="P43" s="7"/>
      <c r="Q43" s="3"/>
      <c r="R43" s="8">
        <f t="shared" si="20"/>
        <v>0</v>
      </c>
      <c r="S43" s="3"/>
      <c r="T43" s="7">
        <v>0</v>
      </c>
      <c r="U43" s="3"/>
      <c r="V43" s="8">
        <f t="shared" si="21"/>
        <v>0</v>
      </c>
      <c r="W43" s="3"/>
      <c r="X43" s="7">
        <f t="shared" si="22"/>
        <v>0</v>
      </c>
      <c r="Y43" s="3"/>
      <c r="Z43" s="8">
        <f t="shared" si="23"/>
        <v>0</v>
      </c>
    </row>
    <row r="44" spans="1:26" s="29" customFormat="1" outlineLevel="1" collapsed="1" x14ac:dyDescent="0.25">
      <c r="A44" s="28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-56.3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-81.3</v>
      </c>
      <c r="M44" s="1"/>
      <c r="N44" s="5">
        <f t="shared" ref="N44:N49" si="27">IF(H44=0,0,L44/H44)</f>
        <v>-3.2519999999999998</v>
      </c>
      <c r="O44" s="14"/>
      <c r="P44" s="1">
        <f>SUM(OSRRefP22_4x_0)</f>
        <v>-56.3</v>
      </c>
      <c r="Q44" s="1"/>
      <c r="R44" s="5">
        <f t="shared" ref="R44:R49" si="28">IF(P$12=0,0,P44/P$12)</f>
        <v>0</v>
      </c>
      <c r="S44" s="1"/>
      <c r="T44" s="1">
        <f>SUM(OSRRefT22_4x_0)</f>
        <v>25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-81.3</v>
      </c>
      <c r="Y44" s="1"/>
      <c r="Z44" s="5">
        <f t="shared" ref="Z44:Z49" si="31">IF(T44=0,0,X44/T44)</f>
        <v>-3.2519999999999998</v>
      </c>
    </row>
    <row r="45" spans="1:26" s="24" customFormat="1" hidden="1" outlineLevel="2" x14ac:dyDescent="0.25">
      <c r="A45" s="27"/>
      <c r="B45" s="12" t="str">
        <f>CONCATENATE("          ", "6241", " - ", "OFFICE EXPENSE")</f>
        <v xml:space="preserve">          6241 - OFFICE EXPENSE</v>
      </c>
      <c r="C45" s="12"/>
      <c r="D45" s="7">
        <v>-56.3</v>
      </c>
      <c r="E45" s="3"/>
      <c r="F45" s="8">
        <f t="shared" si="24"/>
        <v>0</v>
      </c>
      <c r="G45" s="3"/>
      <c r="H45" s="7">
        <v>25</v>
      </c>
      <c r="I45" s="3"/>
      <c r="J45" s="8">
        <f t="shared" si="25"/>
        <v>0</v>
      </c>
      <c r="K45" s="3"/>
      <c r="L45" s="7">
        <f t="shared" si="26"/>
        <v>-81.3</v>
      </c>
      <c r="M45" s="3"/>
      <c r="N45" s="8">
        <f t="shared" si="27"/>
        <v>-3.2519999999999998</v>
      </c>
      <c r="O45" s="12"/>
      <c r="P45" s="7">
        <v>-56.3</v>
      </c>
      <c r="Q45" s="3"/>
      <c r="R45" s="8">
        <f t="shared" si="28"/>
        <v>0</v>
      </c>
      <c r="S45" s="3"/>
      <c r="T45" s="7">
        <v>25</v>
      </c>
      <c r="U45" s="3"/>
      <c r="V45" s="8">
        <f t="shared" si="29"/>
        <v>0</v>
      </c>
      <c r="W45" s="3"/>
      <c r="X45" s="7">
        <f t="shared" si="30"/>
        <v>-81.3</v>
      </c>
      <c r="Y45" s="3"/>
      <c r="Z45" s="8">
        <f t="shared" si="31"/>
        <v>-3.2519999999999998</v>
      </c>
    </row>
    <row r="46" spans="1:26" s="29" customFormat="1" outlineLevel="1" collapsed="1" x14ac:dyDescent="0.25">
      <c r="A46" s="28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36</v>
      </c>
      <c r="E46" s="1"/>
      <c r="F46" s="5">
        <f t="shared" si="24"/>
        <v>0</v>
      </c>
      <c r="G46" s="1"/>
      <c r="H46" s="1">
        <f>SUM(OSRRefH22_5x_0)</f>
        <v>50</v>
      </c>
      <c r="I46" s="1"/>
      <c r="J46" s="5">
        <f t="shared" si="25"/>
        <v>0</v>
      </c>
      <c r="K46" s="1"/>
      <c r="L46" s="1">
        <f t="shared" si="26"/>
        <v>-14</v>
      </c>
      <c r="M46" s="1"/>
      <c r="N46" s="5">
        <f t="shared" si="27"/>
        <v>-0.28000000000000003</v>
      </c>
      <c r="O46" s="14"/>
      <c r="P46" s="1">
        <f>SUM(OSRRefP22_5x_0)</f>
        <v>36</v>
      </c>
      <c r="Q46" s="1"/>
      <c r="R46" s="5">
        <f t="shared" si="28"/>
        <v>0</v>
      </c>
      <c r="S46" s="1"/>
      <c r="T46" s="1">
        <f>SUM(OSRRefT22_5x_0)</f>
        <v>50</v>
      </c>
      <c r="U46" s="1"/>
      <c r="V46" s="5">
        <f t="shared" si="29"/>
        <v>0</v>
      </c>
      <c r="W46" s="1"/>
      <c r="X46" s="1">
        <f t="shared" si="30"/>
        <v>-14</v>
      </c>
      <c r="Y46" s="1"/>
      <c r="Z46" s="5">
        <f t="shared" si="31"/>
        <v>-0.28000000000000003</v>
      </c>
    </row>
    <row r="47" spans="1:26" s="24" customFormat="1" hidden="1" outlineLevel="2" x14ac:dyDescent="0.25">
      <c r="A47" s="27"/>
      <c r="B47" s="12" t="str">
        <f>CONCATENATE("          ", "6309", " - ", "TELEPHONE")</f>
        <v xml:space="preserve">          6309 - TELEPHONE</v>
      </c>
      <c r="C47" s="12"/>
      <c r="D47" s="7">
        <v>36</v>
      </c>
      <c r="E47" s="3"/>
      <c r="F47" s="8">
        <f t="shared" si="24"/>
        <v>0</v>
      </c>
      <c r="G47" s="3"/>
      <c r="H47" s="7">
        <v>50</v>
      </c>
      <c r="I47" s="3"/>
      <c r="J47" s="8">
        <f t="shared" si="25"/>
        <v>0</v>
      </c>
      <c r="K47" s="3"/>
      <c r="L47" s="7">
        <f t="shared" si="26"/>
        <v>-14</v>
      </c>
      <c r="M47" s="3"/>
      <c r="N47" s="8">
        <f t="shared" si="27"/>
        <v>-0.28000000000000003</v>
      </c>
      <c r="O47" s="12"/>
      <c r="P47" s="7">
        <v>36</v>
      </c>
      <c r="Q47" s="3"/>
      <c r="R47" s="8">
        <f t="shared" si="28"/>
        <v>0</v>
      </c>
      <c r="S47" s="3"/>
      <c r="T47" s="7">
        <v>50</v>
      </c>
      <c r="U47" s="3"/>
      <c r="V47" s="8">
        <f t="shared" si="29"/>
        <v>0</v>
      </c>
      <c r="W47" s="3"/>
      <c r="X47" s="7">
        <f t="shared" si="30"/>
        <v>-14</v>
      </c>
      <c r="Y47" s="3"/>
      <c r="Z47" s="8">
        <f t="shared" si="31"/>
        <v>-0.28000000000000003</v>
      </c>
    </row>
    <row r="48" spans="1:26" s="29" customFormat="1" outlineLevel="1" collapsed="1" x14ac:dyDescent="0.25">
      <c r="A48" s="28"/>
      <c r="B48" s="14" t="str">
        <f>CONCATENATE("     ","Utilities                                         ")</f>
        <v xml:space="preserve">     Utilities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7"/>
      <c r="B49" s="12" t="str">
        <f>CONCATENATE("          ", "6274", " - ", "UTILITIES")</f>
        <v xml:space="preserve">          6274 - UTILITIES</v>
      </c>
      <c r="C49" s="12"/>
      <c r="D49" s="7"/>
      <c r="E49" s="3"/>
      <c r="F49" s="8">
        <f t="shared" si="24"/>
        <v>0</v>
      </c>
      <c r="G49" s="3"/>
      <c r="H49" s="7">
        <v>0</v>
      </c>
      <c r="I49" s="3"/>
      <c r="J49" s="8">
        <f t="shared" si="25"/>
        <v>0</v>
      </c>
      <c r="K49" s="3"/>
      <c r="L49" s="7">
        <f t="shared" si="26"/>
        <v>0</v>
      </c>
      <c r="M49" s="3"/>
      <c r="N49" s="8">
        <f t="shared" si="27"/>
        <v>0</v>
      </c>
      <c r="O49" s="12"/>
      <c r="P49" s="7"/>
      <c r="Q49" s="3"/>
      <c r="R49" s="8">
        <f t="shared" si="28"/>
        <v>0</v>
      </c>
      <c r="S49" s="3"/>
      <c r="T49" s="7">
        <v>0</v>
      </c>
      <c r="U49" s="3"/>
      <c r="V49" s="8">
        <f t="shared" si="29"/>
        <v>0</v>
      </c>
      <c r="W49" s="3"/>
      <c r="X49" s="7">
        <f t="shared" si="30"/>
        <v>0</v>
      </c>
      <c r="Y49" s="3"/>
      <c r="Z49" s="8">
        <f t="shared" si="31"/>
        <v>0</v>
      </c>
    </row>
    <row r="50" spans="1:26" s="54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2" customFormat="1" collapsed="1" x14ac:dyDescent="0.25">
      <c r="A51" s="10"/>
      <c r="B51" s="26" t="s">
        <v>0</v>
      </c>
      <c r="C51" s="10"/>
      <c r="D51" s="4">
        <f>SUM(OSRRefD25x_0)</f>
        <v>0</v>
      </c>
      <c r="E51" s="4"/>
      <c r="F51" s="11">
        <f t="shared" ref="F51:F52" si="32">IF(D$12=0,0,D51/D$12)</f>
        <v>0</v>
      </c>
      <c r="G51" s="4"/>
      <c r="H51" s="4">
        <f>SUM(OSRRefH25x_0)</f>
        <v>0</v>
      </c>
      <c r="I51" s="4"/>
      <c r="J51" s="11">
        <f t="shared" ref="J51:J52" si="33">IF(H$12=0,0,H51/H$12)</f>
        <v>0</v>
      </c>
      <c r="K51" s="4"/>
      <c r="L51" s="4">
        <f t="shared" ref="L51:L52" si="34">+D51-H51</f>
        <v>0</v>
      </c>
      <c r="M51" s="4"/>
      <c r="N51" s="11">
        <f t="shared" ref="N51:N52" si="35">IF(H51=0,0,L51/H51)</f>
        <v>0</v>
      </c>
      <c r="O51" s="10"/>
      <c r="P51" s="4">
        <f>SUM(OSRRefP25x_0)</f>
        <v>0</v>
      </c>
      <c r="Q51" s="4"/>
      <c r="R51" s="11">
        <f t="shared" ref="R51:R52" si="36">IF(P$12=0,0,P51/P$12)</f>
        <v>0</v>
      </c>
      <c r="S51" s="4"/>
      <c r="T51" s="4">
        <f>SUM(OSRRefT25x_0)</f>
        <v>0</v>
      </c>
      <c r="U51" s="4"/>
      <c r="V51" s="11">
        <f t="shared" ref="V51:V52" si="37">IF(T$12=0,0,T51/T$12)</f>
        <v>0</v>
      </c>
      <c r="W51" s="4"/>
      <c r="X51" s="4">
        <f t="shared" ref="X51:X52" si="38">+P51-T51</f>
        <v>0</v>
      </c>
      <c r="Y51" s="4"/>
      <c r="Z51" s="11">
        <f t="shared" ref="Z51:Z52" si="39">IF(T51=0,0,X51/T51)</f>
        <v>0</v>
      </c>
    </row>
    <row r="52" spans="1:26" s="24" customFormat="1" hidden="1" outlineLevel="1" x14ac:dyDescent="0.25">
      <c r="A52" s="51"/>
      <c r="B52" s="12" t="str">
        <f>CONCATENATE("          ", "9150", " - ", "MISC. INCOME")</f>
        <v xml:space="preserve">          9150 - MISC. INCOME</v>
      </c>
      <c r="C52" s="12"/>
      <c r="D52" s="3">
        <f>0</f>
        <v>0</v>
      </c>
      <c r="E52" s="3"/>
      <c r="F52" s="23">
        <f t="shared" si="32"/>
        <v>0</v>
      </c>
      <c r="G52" s="3"/>
      <c r="H52" s="3">
        <v>0</v>
      </c>
      <c r="I52" s="3"/>
      <c r="J52" s="23">
        <f t="shared" si="33"/>
        <v>0</v>
      </c>
      <c r="K52" s="3"/>
      <c r="L52" s="3">
        <f t="shared" si="34"/>
        <v>0</v>
      </c>
      <c r="M52" s="3"/>
      <c r="N52" s="23">
        <f t="shared" si="35"/>
        <v>0</v>
      </c>
      <c r="O52" s="12"/>
      <c r="P52" s="3">
        <f>0</f>
        <v>0</v>
      </c>
      <c r="Q52" s="3"/>
      <c r="R52" s="23">
        <f t="shared" si="36"/>
        <v>0</v>
      </c>
      <c r="S52" s="3"/>
      <c r="T52" s="3">
        <v>0</v>
      </c>
      <c r="U52" s="3"/>
      <c r="V52" s="23">
        <f t="shared" si="37"/>
        <v>0</v>
      </c>
      <c r="W52" s="3"/>
      <c r="X52" s="3">
        <f t="shared" si="38"/>
        <v>0</v>
      </c>
      <c r="Y52" s="3"/>
      <c r="Z52" s="23">
        <f t="shared" si="39"/>
        <v>0</v>
      </c>
    </row>
    <row r="53" spans="1:26" x14ac:dyDescent="0.25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2" customFormat="1" x14ac:dyDescent="0.25">
      <c r="A54" s="10"/>
      <c r="B54" s="25" t="s">
        <v>3</v>
      </c>
      <c r="C54" s="25"/>
      <c r="D54" s="21">
        <f>+D16-D18+D51</f>
        <v>-2458.4299999999998</v>
      </c>
      <c r="E54" s="13"/>
      <c r="F54" s="20">
        <f>IF(D$12=0,0,D54/D$12)</f>
        <v>0</v>
      </c>
      <c r="G54" s="13"/>
      <c r="H54" s="21">
        <f>+H16-H18+H51</f>
        <v>-20627.026634615377</v>
      </c>
      <c r="I54" s="13"/>
      <c r="J54" s="20">
        <f>IF(H$12=0,0,H54/H$12)</f>
        <v>0</v>
      </c>
      <c r="K54" s="15"/>
      <c r="L54" s="21">
        <f>+D54-H54</f>
        <v>18168.596634615376</v>
      </c>
      <c r="M54" s="15"/>
      <c r="N54" s="20">
        <f>IF(H54=0,0,L54/H54)</f>
        <v>-0.88081510517495676</v>
      </c>
      <c r="O54" s="26"/>
      <c r="P54" s="21">
        <f>+P16-P18+P51</f>
        <v>-2458.4299999999998</v>
      </c>
      <c r="Q54" s="13"/>
      <c r="R54" s="20">
        <f>IF(P$12=0,0,P54/P$12)</f>
        <v>0</v>
      </c>
      <c r="S54" s="13"/>
      <c r="T54" s="21">
        <f>+T16-T18+T51</f>
        <v>-20627.026634615377</v>
      </c>
      <c r="U54" s="13"/>
      <c r="V54" s="20">
        <f>IF(T$12=0,0,T54/T$12)</f>
        <v>0</v>
      </c>
      <c r="W54" s="15"/>
      <c r="X54" s="21">
        <f>+P54-T54</f>
        <v>18168.596634615376</v>
      </c>
      <c r="Y54" s="15"/>
      <c r="Z54" s="20">
        <f>IF(T54=0,0,X54/T54)</f>
        <v>-0.88081510517495676</v>
      </c>
    </row>
    <row r="55" spans="1:26" x14ac:dyDescent="0.25">
      <c r="A55" s="9"/>
      <c r="B55" s="10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2" customFormat="1" x14ac:dyDescent="0.25">
      <c r="A56" s="52"/>
      <c r="B56" s="10" t="s">
        <v>14</v>
      </c>
      <c r="C56" s="10"/>
      <c r="D56" s="4"/>
      <c r="E56" s="4"/>
      <c r="F56" s="11">
        <f>IF(D$12=0,0,D56/D$12)</f>
        <v>0</v>
      </c>
      <c r="G56" s="4"/>
      <c r="H56" s="4"/>
      <c r="I56" s="4"/>
      <c r="J56" s="11">
        <f>IF(H$12=0,0,H56/H$12)</f>
        <v>0</v>
      </c>
      <c r="K56" s="4"/>
      <c r="L56" s="4">
        <f>+D56-H56</f>
        <v>0</v>
      </c>
      <c r="M56" s="4"/>
      <c r="N56" s="11">
        <f>IF(H56=0,0,L56/H56)</f>
        <v>0</v>
      </c>
      <c r="O56" s="10"/>
      <c r="P56" s="4"/>
      <c r="Q56" s="4"/>
      <c r="R56" s="11">
        <f>IF(P$12=0,0,P56/P$12)</f>
        <v>0</v>
      </c>
      <c r="S56" s="4"/>
      <c r="T56" s="4"/>
      <c r="U56" s="4"/>
      <c r="V56" s="11">
        <f>IF(T$12=0,0,T56/T$12)</f>
        <v>0</v>
      </c>
      <c r="W56" s="4"/>
      <c r="X56" s="4">
        <f>+P56-T56</f>
        <v>0</v>
      </c>
      <c r="Y56" s="4"/>
      <c r="Z56" s="11">
        <f>IF(T56=0,0,X56/T56)</f>
        <v>0</v>
      </c>
    </row>
    <row r="57" spans="1:26" x14ac:dyDescent="0.25">
      <c r="A57" s="9"/>
      <c r="B57" s="10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10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2" customFormat="1" ht="15.75" thickBot="1" x14ac:dyDescent="0.3">
      <c r="A58" s="10"/>
      <c r="B58" s="25" t="s">
        <v>4</v>
      </c>
      <c r="C58" s="25"/>
      <c r="D58" s="34">
        <f>+D54-D56</f>
        <v>-2458.4299999999998</v>
      </c>
      <c r="E58" s="13"/>
      <c r="F58" s="30">
        <f>IF(D$12=0,0,D58/D$12)</f>
        <v>0</v>
      </c>
      <c r="G58" s="13"/>
      <c r="H58" s="34">
        <f>+H54-H56</f>
        <v>-20627.026634615377</v>
      </c>
      <c r="I58" s="13"/>
      <c r="J58" s="30">
        <f>IF(H$12=0,0,H58/H$12)</f>
        <v>0</v>
      </c>
      <c r="K58" s="15"/>
      <c r="L58" s="34">
        <f>D58-H58</f>
        <v>18168.596634615376</v>
      </c>
      <c r="M58" s="15"/>
      <c r="N58" s="30">
        <f>IF(H58=0,0,L58/H58)</f>
        <v>-0.88081510517495676</v>
      </c>
      <c r="O58" s="26"/>
      <c r="P58" s="34">
        <f>+P54-P56</f>
        <v>-2458.4299999999998</v>
      </c>
      <c r="Q58" s="13"/>
      <c r="R58" s="30">
        <f>IF(P$12=0,0,P58/P$12)</f>
        <v>0</v>
      </c>
      <c r="S58" s="13"/>
      <c r="T58" s="34">
        <f>+T54-T56</f>
        <v>-20627.026634615377</v>
      </c>
      <c r="U58" s="13"/>
      <c r="V58" s="30">
        <f>IF(T$12=0,0,T58/T$12)</f>
        <v>0</v>
      </c>
      <c r="W58" s="15"/>
      <c r="X58" s="34">
        <f>P58-T58</f>
        <v>18168.596634615376</v>
      </c>
      <c r="Y58" s="15"/>
      <c r="Z58" s="30">
        <f>IF(T58=0,0,X58/T58)</f>
        <v>-0.88081510517495676</v>
      </c>
    </row>
    <row r="59" spans="1:26" ht="15.75" thickTop="1" x14ac:dyDescent="0.25">
      <c r="A59" s="9"/>
      <c r="B59" s="9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x14ac:dyDescent="0.25">
      <c r="A60" s="9"/>
      <c r="B60" s="9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2" customFormat="1" ht="15.75" thickBot="1" x14ac:dyDescent="0.3">
      <c r="A61" s="10"/>
      <c r="B61" s="25" t="s">
        <v>5</v>
      </c>
      <c r="C61" s="25"/>
      <c r="D61" s="32">
        <f>SUM(D58:D60)</f>
        <v>-2458.4299999999998</v>
      </c>
      <c r="E61" s="13"/>
      <c r="F61" s="33">
        <f>IF(D$12=0,0,D61/D$12)</f>
        <v>0</v>
      </c>
      <c r="G61" s="13"/>
      <c r="H61" s="32">
        <f>SUM(H58:H60)</f>
        <v>-20627.026634615377</v>
      </c>
      <c r="I61" s="13"/>
      <c r="J61" s="33">
        <f>IF(H$12=0,0,H61/H$12)</f>
        <v>0</v>
      </c>
      <c r="K61" s="15"/>
      <c r="L61" s="32">
        <f>+D61-H61</f>
        <v>18168.596634615376</v>
      </c>
      <c r="M61" s="15"/>
      <c r="N61" s="33">
        <f>IF(H61=0,0,L61/H61)</f>
        <v>-0.88081510517495676</v>
      </c>
      <c r="O61" s="26"/>
      <c r="P61" s="32">
        <f>SUM(P58:P60)</f>
        <v>-2458.4299999999998</v>
      </c>
      <c r="Q61" s="13"/>
      <c r="R61" s="33">
        <f>IF(P$12=0,0,P61/P$12)</f>
        <v>0</v>
      </c>
      <c r="S61" s="13"/>
      <c r="T61" s="32">
        <f>SUM(T58:T60)</f>
        <v>-20627.026634615377</v>
      </c>
      <c r="U61" s="13"/>
      <c r="V61" s="33">
        <f>IF(T$12=0,0,T61/T$12)</f>
        <v>0</v>
      </c>
      <c r="W61" s="15"/>
      <c r="X61" s="32">
        <f>+P61-T61</f>
        <v>18168.596634615376</v>
      </c>
      <c r="Y61" s="15"/>
      <c r="Z61" s="33">
        <f>IF(T61=0,0,X61/T61)</f>
        <v>-0.88081510517495676</v>
      </c>
    </row>
    <row r="62" spans="1:26" ht="15.75" thickTop="1" x14ac:dyDescent="0.25">
      <c r="A62" s="9"/>
      <c r="C62" s="9"/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58">
        <v>44104.686418981481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6" t="s">
        <v>314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25">
      <c r="A65" s="9"/>
      <c r="B65" s="62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","424", " - ", "Blair Field")</f>
        <v>Department 424 - Blair Field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1212.8499999999999</v>
      </c>
      <c r="E18" s="19"/>
      <c r="F18" s="31">
        <f t="shared" ref="F18:F24" si="0">IF(D$12=0,0,D18/D$12)</f>
        <v>0</v>
      </c>
      <c r="G18" s="19"/>
      <c r="H18" s="19">
        <f>SUM(OSRRefH22x_0)</f>
        <v>479</v>
      </c>
      <c r="I18" s="19"/>
      <c r="J18" s="31">
        <f t="shared" ref="J18:J24" si="1">IF(H$12=0,0,H18/H$12)</f>
        <v>0</v>
      </c>
      <c r="K18" s="4"/>
      <c r="L18" s="19">
        <f t="shared" ref="L18:L24" si="2">+D18-H18</f>
        <v>733.84999999999991</v>
      </c>
      <c r="M18" s="4"/>
      <c r="N18" s="31">
        <f t="shared" ref="N18:N24" si="3">IF(H18=0,0,L18/H18)</f>
        <v>1.5320459290187889</v>
      </c>
      <c r="O18" s="10"/>
      <c r="P18" s="19">
        <f>SUM(OSRRefP22x_0)</f>
        <v>1212.8499999999999</v>
      </c>
      <c r="Q18" s="19"/>
      <c r="R18" s="31">
        <f t="shared" ref="R18:R24" si="4">IF(P$12=0,0,P18/P$12)</f>
        <v>0</v>
      </c>
      <c r="S18" s="19"/>
      <c r="T18" s="19">
        <f>SUM(OSRRefT22x_0)</f>
        <v>479</v>
      </c>
      <c r="U18" s="19"/>
      <c r="V18" s="31">
        <f t="shared" ref="V18:V24" si="5">IF(T$12=0,0,T18/T$12)</f>
        <v>0</v>
      </c>
      <c r="W18" s="4"/>
      <c r="X18" s="19">
        <f t="shared" ref="X18:X24" si="6">+P18-T18</f>
        <v>733.84999999999991</v>
      </c>
      <c r="Y18" s="4"/>
      <c r="Z18" s="31">
        <f t="shared" ref="Z18:Z24" si="7">IF(T18=0,0,X18/T18)</f>
        <v>1.5320459290187889</v>
      </c>
    </row>
    <row r="19" spans="1:26" s="29" customFormat="1" outlineLevel="1" collapsed="1" x14ac:dyDescent="0.25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479.29</v>
      </c>
      <c r="Q19" s="1"/>
      <c r="R19" s="5">
        <f t="shared" si="4"/>
        <v>0</v>
      </c>
      <c r="S19" s="1"/>
      <c r="T19" s="1">
        <f>SUM(OSRRefT22_0x_0)</f>
        <v>479</v>
      </c>
      <c r="U19" s="1"/>
      <c r="V19" s="5">
        <f t="shared" si="5"/>
        <v>0</v>
      </c>
      <c r="W19" s="1"/>
      <c r="X19" s="1">
        <f t="shared" si="6"/>
        <v>0.29000000000002046</v>
      </c>
      <c r="Y19" s="1"/>
      <c r="Z19" s="5">
        <f t="shared" si="7"/>
        <v>6.054279749478506E-4</v>
      </c>
    </row>
    <row r="20" spans="1:26" s="24" customFormat="1" hidden="1" outlineLevel="2" x14ac:dyDescent="0.25">
      <c r="A20" s="27"/>
      <c r="B20" s="12" t="str">
        <f>CONCATENATE("          ", "6322", " - ", "EQUIPMENT DEPRECIATION EXPENSE")</f>
        <v xml:space="preserve">          6322 - EQUIPMENT DEPRECIATION EXPENSE</v>
      </c>
      <c r="C20" s="12"/>
      <c r="D20" s="7">
        <v>479.29</v>
      </c>
      <c r="E20" s="3"/>
      <c r="F20" s="8">
        <f t="shared" si="0"/>
        <v>0</v>
      </c>
      <c r="G20" s="3"/>
      <c r="H20" s="7">
        <v>479</v>
      </c>
      <c r="I20" s="3"/>
      <c r="J20" s="8">
        <f t="shared" si="1"/>
        <v>0</v>
      </c>
      <c r="K20" s="3"/>
      <c r="L20" s="7">
        <f t="shared" si="2"/>
        <v>0.29000000000002046</v>
      </c>
      <c r="M20" s="3"/>
      <c r="N20" s="8">
        <f t="shared" si="3"/>
        <v>6.054279749478506E-4</v>
      </c>
      <c r="O20" s="12"/>
      <c r="P20" s="7">
        <v>479.29</v>
      </c>
      <c r="Q20" s="3"/>
      <c r="R20" s="8">
        <f t="shared" si="4"/>
        <v>0</v>
      </c>
      <c r="S20" s="3"/>
      <c r="T20" s="7">
        <v>479</v>
      </c>
      <c r="U20" s="3"/>
      <c r="V20" s="8">
        <f t="shared" si="5"/>
        <v>0</v>
      </c>
      <c r="W20" s="3"/>
      <c r="X20" s="7">
        <f t="shared" si="6"/>
        <v>0.29000000000002046</v>
      </c>
      <c r="Y20" s="3"/>
      <c r="Z20" s="8">
        <f t="shared" si="7"/>
        <v>6.054279749478506E-4</v>
      </c>
    </row>
    <row r="21" spans="1:26" s="29" customFormat="1" outlineLevel="1" collapsed="1" x14ac:dyDescent="0.25">
      <c r="A21" s="28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519.54999999999995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519.54999999999995</v>
      </c>
      <c r="M21" s="1"/>
      <c r="N21" s="5">
        <f t="shared" si="3"/>
        <v>0</v>
      </c>
      <c r="O21" s="14"/>
      <c r="P21" s="1">
        <f>SUM(OSRRefP22_1x_0)</f>
        <v>519.54999999999995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519.54999999999995</v>
      </c>
      <c r="Y21" s="1"/>
      <c r="Z21" s="5">
        <f t="shared" si="7"/>
        <v>0</v>
      </c>
    </row>
    <row r="22" spans="1:26" s="24" customFormat="1" hidden="1" outlineLevel="2" x14ac:dyDescent="0.25">
      <c r="A22" s="27"/>
      <c r="B22" s="12" t="str">
        <f>CONCATENATE("          ", "6279", " - ", "GENERAL EXPENSE")</f>
        <v xml:space="preserve">          6279 - GENERAL EXPENSE</v>
      </c>
      <c r="C22" s="12"/>
      <c r="D22" s="7">
        <v>519.54999999999995</v>
      </c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519.54999999999995</v>
      </c>
      <c r="M22" s="3"/>
      <c r="N22" s="8">
        <f t="shared" si="3"/>
        <v>0</v>
      </c>
      <c r="O22" s="12"/>
      <c r="P22" s="7">
        <v>519.54999999999995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519.54999999999995</v>
      </c>
      <c r="Y22" s="3"/>
      <c r="Z22" s="8">
        <f t="shared" si="7"/>
        <v>0</v>
      </c>
    </row>
    <row r="23" spans="1:26" s="29" customFormat="1" outlineLevel="1" collapsed="1" x14ac:dyDescent="0.25">
      <c r="A23" s="28"/>
      <c r="B23" s="14" t="str">
        <f>CONCATENATE("     ","Telephone/Data Lines                              ")</f>
        <v xml:space="preserve">     Telephone/Data Lines                              </v>
      </c>
      <c r="C23" s="14"/>
      <c r="D23" s="1">
        <f>SUM(OSRRefD22_2x_0)</f>
        <v>214.01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214.01</v>
      </c>
      <c r="M23" s="1"/>
      <c r="N23" s="5">
        <f t="shared" si="3"/>
        <v>0</v>
      </c>
      <c r="O23" s="14"/>
      <c r="P23" s="1">
        <f>SUM(OSRRefP22_2x_0)</f>
        <v>214.01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214.01</v>
      </c>
      <c r="Y23" s="1"/>
      <c r="Z23" s="5">
        <f t="shared" si="7"/>
        <v>0</v>
      </c>
    </row>
    <row r="24" spans="1:26" s="24" customFormat="1" hidden="1" outlineLevel="2" x14ac:dyDescent="0.25">
      <c r="A24" s="27"/>
      <c r="B24" s="12" t="str">
        <f>CONCATENATE("          ", "6309", " - ", "TELEPHONE")</f>
        <v xml:space="preserve">          6309 - TELEPHONE</v>
      </c>
      <c r="C24" s="12"/>
      <c r="D24" s="7">
        <v>214.01</v>
      </c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214.01</v>
      </c>
      <c r="M24" s="3"/>
      <c r="N24" s="8">
        <f t="shared" si="3"/>
        <v>0</v>
      </c>
      <c r="O24" s="12"/>
      <c r="P24" s="7">
        <v>214.01</v>
      </c>
      <c r="Q24" s="3"/>
      <c r="R24" s="8">
        <f t="shared" si="4"/>
        <v>0</v>
      </c>
      <c r="S24" s="3"/>
      <c r="T24" s="7"/>
      <c r="U24" s="3"/>
      <c r="V24" s="8">
        <f t="shared" si="5"/>
        <v>0</v>
      </c>
      <c r="W24" s="3"/>
      <c r="X24" s="7">
        <f t="shared" si="6"/>
        <v>214.01</v>
      </c>
      <c r="Y24" s="3"/>
      <c r="Z24" s="8">
        <f t="shared" si="7"/>
        <v>0</v>
      </c>
    </row>
    <row r="25" spans="1:26" s="54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2" customFormat="1" x14ac:dyDescent="0.25">
      <c r="A26" s="10"/>
      <c r="B26" s="26" t="s">
        <v>0</v>
      </c>
      <c r="C26" s="10"/>
      <c r="D26" s="4">
        <f>SUM(0)</f>
        <v>0</v>
      </c>
      <c r="E26" s="4"/>
      <c r="F26" s="11">
        <f>IF(D$12=0,0,D26/D$12)</f>
        <v>0</v>
      </c>
      <c r="G26" s="4"/>
      <c r="H26" s="4">
        <f>SUM(0)</f>
        <v>0</v>
      </c>
      <c r="I26" s="4"/>
      <c r="J26" s="11">
        <f>IF(H$12=0,0,H26/H$12)</f>
        <v>0</v>
      </c>
      <c r="K26" s="4"/>
      <c r="L26" s="4">
        <f>+D26-H26</f>
        <v>0</v>
      </c>
      <c r="M26" s="4"/>
      <c r="N26" s="11">
        <f>IF(H26=0,0,L26/H26)</f>
        <v>0</v>
      </c>
      <c r="O26" s="10"/>
      <c r="P26" s="4">
        <f>SUM(0)</f>
        <v>0</v>
      </c>
      <c r="Q26" s="4"/>
      <c r="R26" s="11">
        <f>IF(P$12=0,0,P26/P$12)</f>
        <v>0</v>
      </c>
      <c r="S26" s="4"/>
      <c r="T26" s="4">
        <f>SUM(0)</f>
        <v>0</v>
      </c>
      <c r="U26" s="4"/>
      <c r="V26" s="11">
        <f>IF(T$12=0,0,T26/T$12)</f>
        <v>0</v>
      </c>
      <c r="W26" s="4"/>
      <c r="X26" s="4">
        <f>+P26-T26</f>
        <v>0</v>
      </c>
      <c r="Y26" s="4"/>
      <c r="Z26" s="11">
        <f>IF(T26=0,0,X26/T26)</f>
        <v>0</v>
      </c>
    </row>
    <row r="27" spans="1:26" x14ac:dyDescent="0.25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2" customFormat="1" x14ac:dyDescent="0.25">
      <c r="A28" s="10"/>
      <c r="B28" s="25" t="s">
        <v>3</v>
      </c>
      <c r="C28" s="25"/>
      <c r="D28" s="21">
        <f>+D16-D18+D26</f>
        <v>-1212.8499999999999</v>
      </c>
      <c r="E28" s="13"/>
      <c r="F28" s="20">
        <f>IF(D$12=0,0,D28/D$12)</f>
        <v>0</v>
      </c>
      <c r="G28" s="13"/>
      <c r="H28" s="21">
        <f>+H16-H18+H26</f>
        <v>-479</v>
      </c>
      <c r="I28" s="13"/>
      <c r="J28" s="20">
        <f>IF(H$12=0,0,H28/H$12)</f>
        <v>0</v>
      </c>
      <c r="K28" s="15"/>
      <c r="L28" s="21">
        <f>+D28-H28</f>
        <v>-733.84999999999991</v>
      </c>
      <c r="M28" s="15"/>
      <c r="N28" s="20">
        <f>IF(H28=0,0,L28/H28)</f>
        <v>1.5320459290187889</v>
      </c>
      <c r="O28" s="26"/>
      <c r="P28" s="21">
        <f>+P16-P18+P26</f>
        <v>-1212.8499999999999</v>
      </c>
      <c r="Q28" s="13"/>
      <c r="R28" s="20">
        <f>IF(P$12=0,0,P28/P$12)</f>
        <v>0</v>
      </c>
      <c r="S28" s="13"/>
      <c r="T28" s="21">
        <f>+T16-T18+T26</f>
        <v>-479</v>
      </c>
      <c r="U28" s="13"/>
      <c r="V28" s="20">
        <f>IF(T$12=0,0,T28/T$12)</f>
        <v>0</v>
      </c>
      <c r="W28" s="15"/>
      <c r="X28" s="21">
        <f>+P28-T28</f>
        <v>-733.84999999999991</v>
      </c>
      <c r="Y28" s="15"/>
      <c r="Z28" s="20">
        <f>IF(T28=0,0,X28/T28)</f>
        <v>1.5320459290187889</v>
      </c>
    </row>
    <row r="29" spans="1:26" x14ac:dyDescent="0.25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2" customFormat="1" x14ac:dyDescent="0.25">
      <c r="A30" s="52"/>
      <c r="B30" s="10" t="s">
        <v>14</v>
      </c>
      <c r="C30" s="10"/>
      <c r="D30" s="4"/>
      <c r="E30" s="4"/>
      <c r="F30" s="11">
        <f>IF(D$12=0,0,D30/D$12)</f>
        <v>0</v>
      </c>
      <c r="G30" s="4"/>
      <c r="H30" s="4"/>
      <c r="I30" s="4"/>
      <c r="J30" s="11">
        <f>IF(H$12=0,0,H30/H$12)</f>
        <v>0</v>
      </c>
      <c r="K30" s="4"/>
      <c r="L30" s="4">
        <f>+D30-H30</f>
        <v>0</v>
      </c>
      <c r="M30" s="4"/>
      <c r="N30" s="11">
        <f>IF(H30=0,0,L30/H30)</f>
        <v>0</v>
      </c>
      <c r="O30" s="10"/>
      <c r="P30" s="4"/>
      <c r="Q30" s="4"/>
      <c r="R30" s="11">
        <f>IF(P$12=0,0,P30/P$12)</f>
        <v>0</v>
      </c>
      <c r="S30" s="4"/>
      <c r="T30" s="4"/>
      <c r="U30" s="4"/>
      <c r="V30" s="11">
        <f>IF(T$12=0,0,T30/T$12)</f>
        <v>0</v>
      </c>
      <c r="W30" s="4"/>
      <c r="X30" s="4">
        <f>+P30-T30</f>
        <v>0</v>
      </c>
      <c r="Y30" s="4"/>
      <c r="Z30" s="11">
        <f>IF(T30=0,0,X30/T30)</f>
        <v>0</v>
      </c>
    </row>
    <row r="31" spans="1:26" x14ac:dyDescent="0.25">
      <c r="A31" s="9"/>
      <c r="B31" s="10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10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2" customFormat="1" ht="15.75" thickBot="1" x14ac:dyDescent="0.3">
      <c r="A32" s="10"/>
      <c r="B32" s="25" t="s">
        <v>4</v>
      </c>
      <c r="C32" s="25"/>
      <c r="D32" s="34">
        <f>+D28-D30</f>
        <v>-1212.8499999999999</v>
      </c>
      <c r="E32" s="13"/>
      <c r="F32" s="30">
        <f>IF(D$12=0,0,D32/D$12)</f>
        <v>0</v>
      </c>
      <c r="G32" s="13"/>
      <c r="H32" s="34">
        <f>+H28-H30</f>
        <v>-479</v>
      </c>
      <c r="I32" s="13"/>
      <c r="J32" s="30">
        <f>IF(H$12=0,0,H32/H$12)</f>
        <v>0</v>
      </c>
      <c r="K32" s="15"/>
      <c r="L32" s="34">
        <f>D32-H32</f>
        <v>-733.84999999999991</v>
      </c>
      <c r="M32" s="15"/>
      <c r="N32" s="30">
        <f>IF(H32=0,0,L32/H32)</f>
        <v>1.5320459290187889</v>
      </c>
      <c r="O32" s="26"/>
      <c r="P32" s="34">
        <f>+P28-P30</f>
        <v>-1212.8499999999999</v>
      </c>
      <c r="Q32" s="13"/>
      <c r="R32" s="30">
        <f>IF(P$12=0,0,P32/P$12)</f>
        <v>0</v>
      </c>
      <c r="S32" s="13"/>
      <c r="T32" s="34">
        <f>+T28-T30</f>
        <v>-479</v>
      </c>
      <c r="U32" s="13"/>
      <c r="V32" s="30">
        <f>IF(T$12=0,0,T32/T$12)</f>
        <v>0</v>
      </c>
      <c r="W32" s="15"/>
      <c r="X32" s="34">
        <f>P32-T32</f>
        <v>-733.84999999999991</v>
      </c>
      <c r="Y32" s="15"/>
      <c r="Z32" s="30">
        <f>IF(T32=0,0,X32/T32)</f>
        <v>1.5320459290187889</v>
      </c>
    </row>
    <row r="33" spans="1:26" ht="15.75" thickTop="1" x14ac:dyDescent="0.25">
      <c r="A33" s="9"/>
      <c r="B33" s="9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x14ac:dyDescent="0.25">
      <c r="A34" s="9"/>
      <c r="B34" s="9"/>
      <c r="C34" s="9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2" customFormat="1" ht="15.75" thickBot="1" x14ac:dyDescent="0.3">
      <c r="A35" s="10"/>
      <c r="B35" s="25" t="s">
        <v>5</v>
      </c>
      <c r="C35" s="25"/>
      <c r="D35" s="32">
        <f>SUM(D32:D34)</f>
        <v>-1212.8499999999999</v>
      </c>
      <c r="E35" s="13"/>
      <c r="F35" s="33">
        <f>IF(D$12=0,0,D35/D$12)</f>
        <v>0</v>
      </c>
      <c r="G35" s="13"/>
      <c r="H35" s="32">
        <f>SUM(H32:H34)</f>
        <v>-479</v>
      </c>
      <c r="I35" s="13"/>
      <c r="J35" s="33">
        <f>IF(H$12=0,0,H35/H$12)</f>
        <v>0</v>
      </c>
      <c r="K35" s="15"/>
      <c r="L35" s="32">
        <f>+D35-H35</f>
        <v>-733.84999999999991</v>
      </c>
      <c r="M35" s="15"/>
      <c r="N35" s="33">
        <f>IF(H35=0,0,L35/H35)</f>
        <v>1.5320459290187889</v>
      </c>
      <c r="O35" s="26"/>
      <c r="P35" s="32">
        <f>SUM(P32:P34)</f>
        <v>-1212.8499999999999</v>
      </c>
      <c r="Q35" s="13"/>
      <c r="R35" s="33">
        <f>IF(P$12=0,0,P35/P$12)</f>
        <v>0</v>
      </c>
      <c r="S35" s="13"/>
      <c r="T35" s="32">
        <f>SUM(T32:T34)</f>
        <v>-479</v>
      </c>
      <c r="U35" s="13"/>
      <c r="V35" s="33">
        <f>IF(T$12=0,0,T35/T$12)</f>
        <v>0</v>
      </c>
      <c r="W35" s="15"/>
      <c r="X35" s="32">
        <f>+P35-T35</f>
        <v>-733.84999999999991</v>
      </c>
      <c r="Y35" s="15"/>
      <c r="Z35" s="33">
        <f>IF(T35=0,0,X35/T35)</f>
        <v>1.5320459290187889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58">
        <v>44104.68643144676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s">
        <v>314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","425", " - ", "Events Center")</f>
        <v>Department 425 - Events Center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3855.2699999999995</v>
      </c>
      <c r="E18" s="19"/>
      <c r="F18" s="31">
        <f t="shared" ref="F18:F24" si="0">IF(D$12=0,0,D18/D$12)</f>
        <v>0</v>
      </c>
      <c r="G18" s="19"/>
      <c r="H18" s="19">
        <f>SUM(OSRRefH22x_0)</f>
        <v>1001</v>
      </c>
      <c r="I18" s="19"/>
      <c r="J18" s="31">
        <f t="shared" ref="J18:J24" si="1">IF(H$12=0,0,H18/H$12)</f>
        <v>0</v>
      </c>
      <c r="K18" s="4"/>
      <c r="L18" s="19">
        <f t="shared" ref="L18:L24" si="2">+D18-H18</f>
        <v>2854.2699999999995</v>
      </c>
      <c r="M18" s="4"/>
      <c r="N18" s="31">
        <f t="shared" ref="N18:N24" si="3">IF(H18=0,0,L18/H18)</f>
        <v>2.8514185814185811</v>
      </c>
      <c r="O18" s="10"/>
      <c r="P18" s="19">
        <f>SUM(OSRRefP22x_0)</f>
        <v>3855.2699999999995</v>
      </c>
      <c r="Q18" s="19"/>
      <c r="R18" s="31">
        <f t="shared" ref="R18:R24" si="4">IF(P$12=0,0,P18/P$12)</f>
        <v>0</v>
      </c>
      <c r="S18" s="19"/>
      <c r="T18" s="19">
        <f>SUM(OSRRefT22x_0)</f>
        <v>1001</v>
      </c>
      <c r="U18" s="19"/>
      <c r="V18" s="31">
        <f t="shared" ref="V18:V24" si="5">IF(T$12=0,0,T18/T$12)</f>
        <v>0</v>
      </c>
      <c r="W18" s="4"/>
      <c r="X18" s="19">
        <f t="shared" ref="X18:X24" si="6">+P18-T18</f>
        <v>2854.2699999999995</v>
      </c>
      <c r="Y18" s="4"/>
      <c r="Z18" s="31">
        <f t="shared" ref="Z18:Z24" si="7">IF(T18=0,0,X18/T18)</f>
        <v>2.8514185814185811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1419.75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1419.75</v>
      </c>
      <c r="M19" s="1"/>
      <c r="N19" s="5">
        <f t="shared" si="3"/>
        <v>0</v>
      </c>
      <c r="O19" s="14"/>
      <c r="P19" s="1">
        <f>SUM(OSRRefP22_0x_0)</f>
        <v>1419.75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1419.75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170.79</v>
      </c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170.79</v>
      </c>
      <c r="M20" s="3"/>
      <c r="N20" s="8">
        <f t="shared" si="3"/>
        <v>0</v>
      </c>
      <c r="O20" s="12"/>
      <c r="P20" s="7">
        <v>170.79</v>
      </c>
      <c r="Q20" s="3"/>
      <c r="R20" s="8">
        <f t="shared" si="4"/>
        <v>0</v>
      </c>
      <c r="S20" s="3"/>
      <c r="T20" s="7"/>
      <c r="U20" s="3"/>
      <c r="V20" s="8">
        <f t="shared" si="5"/>
        <v>0</v>
      </c>
      <c r="W20" s="3"/>
      <c r="X20" s="7">
        <f t="shared" si="6"/>
        <v>170.79</v>
      </c>
      <c r="Y20" s="3"/>
      <c r="Z20" s="8">
        <f t="shared" si="7"/>
        <v>0</v>
      </c>
    </row>
    <row r="21" spans="1:26" s="24" customFormat="1" hidden="1" outlineLevel="2" x14ac:dyDescent="0.25">
      <c r="A21" s="27"/>
      <c r="B21" s="12" t="str">
        <f>CONCATENATE("          ", "6113", " - ", "GROUP INSURANCE")</f>
        <v xml:space="preserve">          6113 - GROUP INSURANCE</v>
      </c>
      <c r="C21" s="12"/>
      <c r="D21" s="7">
        <v>699.3</v>
      </c>
      <c r="E21" s="3"/>
      <c r="F21" s="8">
        <f t="shared" si="0"/>
        <v>0</v>
      </c>
      <c r="G21" s="3"/>
      <c r="H21" s="7"/>
      <c r="I21" s="3"/>
      <c r="J21" s="8">
        <f t="shared" si="1"/>
        <v>0</v>
      </c>
      <c r="K21" s="3"/>
      <c r="L21" s="7">
        <f t="shared" si="2"/>
        <v>699.3</v>
      </c>
      <c r="M21" s="3"/>
      <c r="N21" s="8">
        <f t="shared" si="3"/>
        <v>0</v>
      </c>
      <c r="O21" s="12"/>
      <c r="P21" s="7">
        <v>699.3</v>
      </c>
      <c r="Q21" s="3"/>
      <c r="R21" s="8">
        <f t="shared" si="4"/>
        <v>0</v>
      </c>
      <c r="S21" s="3"/>
      <c r="T21" s="7"/>
      <c r="U21" s="3"/>
      <c r="V21" s="8">
        <f t="shared" si="5"/>
        <v>0</v>
      </c>
      <c r="W21" s="3"/>
      <c r="X21" s="7">
        <f t="shared" si="6"/>
        <v>699.3</v>
      </c>
      <c r="Y21" s="3"/>
      <c r="Z21" s="8">
        <f t="shared" si="7"/>
        <v>0</v>
      </c>
    </row>
    <row r="22" spans="1:26" s="24" customFormat="1" hidden="1" outlineLevel="2" x14ac:dyDescent="0.25">
      <c r="A22" s="27"/>
      <c r="B22" s="12" t="str">
        <f>CONCATENATE("          ", "6115", " - ", "P.E.R.S.")</f>
        <v xml:space="preserve">          6115 - P.E.R.S.</v>
      </c>
      <c r="C22" s="12"/>
      <c r="D22" s="7">
        <v>355.22</v>
      </c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355.22</v>
      </c>
      <c r="M22" s="3"/>
      <c r="N22" s="8">
        <f t="shared" si="3"/>
        <v>0</v>
      </c>
      <c r="O22" s="12"/>
      <c r="P22" s="7">
        <v>355.22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355.22</v>
      </c>
      <c r="Y22" s="3"/>
      <c r="Z22" s="8">
        <f t="shared" si="7"/>
        <v>0</v>
      </c>
    </row>
    <row r="23" spans="1:26" s="24" customFormat="1" hidden="1" outlineLevel="2" x14ac:dyDescent="0.25">
      <c r="A23" s="27"/>
      <c r="B23" s="12" t="str">
        <f>CONCATENATE("          ", "6118", " - ", "VACATION")</f>
        <v xml:space="preserve">          6118 - VACATION</v>
      </c>
      <c r="C23" s="12"/>
      <c r="D23" s="7">
        <v>88.46</v>
      </c>
      <c r="E23" s="3"/>
      <c r="F23" s="8">
        <f t="shared" si="0"/>
        <v>0</v>
      </c>
      <c r="G23" s="3"/>
      <c r="H23" s="7"/>
      <c r="I23" s="3"/>
      <c r="J23" s="8">
        <f t="shared" si="1"/>
        <v>0</v>
      </c>
      <c r="K23" s="3"/>
      <c r="L23" s="7">
        <f t="shared" si="2"/>
        <v>88.46</v>
      </c>
      <c r="M23" s="3"/>
      <c r="N23" s="8">
        <f t="shared" si="3"/>
        <v>0</v>
      </c>
      <c r="O23" s="12"/>
      <c r="P23" s="7">
        <v>88.46</v>
      </c>
      <c r="Q23" s="3"/>
      <c r="R23" s="8">
        <f t="shared" si="4"/>
        <v>0</v>
      </c>
      <c r="S23" s="3"/>
      <c r="T23" s="7"/>
      <c r="U23" s="3"/>
      <c r="V23" s="8">
        <f t="shared" si="5"/>
        <v>0</v>
      </c>
      <c r="W23" s="3"/>
      <c r="X23" s="7">
        <f t="shared" si="6"/>
        <v>88.46</v>
      </c>
      <c r="Y23" s="3"/>
      <c r="Z23" s="8">
        <f t="shared" si="7"/>
        <v>0</v>
      </c>
    </row>
    <row r="24" spans="1:26" s="24" customFormat="1" hidden="1" outlineLevel="2" x14ac:dyDescent="0.25">
      <c r="A24" s="27"/>
      <c r="B24" s="12" t="str">
        <f>CONCATENATE("          ", "6119", " - ", "SICK LEAVE")</f>
        <v xml:space="preserve">          6119 - SICK LEAVE</v>
      </c>
      <c r="C24" s="12"/>
      <c r="D24" s="7">
        <v>105.98</v>
      </c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105.98</v>
      </c>
      <c r="M24" s="3"/>
      <c r="N24" s="8">
        <f t="shared" si="3"/>
        <v>0</v>
      </c>
      <c r="O24" s="12"/>
      <c r="P24" s="7">
        <v>105.98</v>
      </c>
      <c r="Q24" s="3"/>
      <c r="R24" s="8">
        <f t="shared" si="4"/>
        <v>0</v>
      </c>
      <c r="S24" s="3"/>
      <c r="T24" s="7"/>
      <c r="U24" s="3"/>
      <c r="V24" s="8">
        <f t="shared" si="5"/>
        <v>0</v>
      </c>
      <c r="W24" s="3"/>
      <c r="X24" s="7">
        <f t="shared" si="6"/>
        <v>105.98</v>
      </c>
      <c r="Y24" s="3"/>
      <c r="Z24" s="8">
        <f t="shared" si="7"/>
        <v>0</v>
      </c>
    </row>
    <row r="25" spans="1:26" s="29" customFormat="1" outlineLevel="1" collapsed="1" x14ac:dyDescent="0.25">
      <c r="A25" s="28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1378.61</v>
      </c>
      <c r="E25" s="1"/>
      <c r="F25" s="5">
        <f t="shared" ref="F25:F30" si="8">IF(D$12=0,0,D25/D$12)</f>
        <v>0</v>
      </c>
      <c r="G25" s="1"/>
      <c r="H25" s="1">
        <f>SUM(OSRRefH22_1x_0)</f>
        <v>0</v>
      </c>
      <c r="I25" s="1"/>
      <c r="J25" s="5">
        <f t="shared" ref="J25:J30" si="9">IF(H$12=0,0,H25/H$12)</f>
        <v>0</v>
      </c>
      <c r="K25" s="1"/>
      <c r="L25" s="1">
        <f t="shared" ref="L25:L30" si="10">+D25-H25</f>
        <v>1378.61</v>
      </c>
      <c r="M25" s="1"/>
      <c r="N25" s="5">
        <f t="shared" ref="N25:N30" si="11">IF(H25=0,0,L25/H25)</f>
        <v>0</v>
      </c>
      <c r="O25" s="14"/>
      <c r="P25" s="1">
        <f>SUM(OSRRefP22_1x_0)</f>
        <v>1378.61</v>
      </c>
      <c r="Q25" s="1"/>
      <c r="R25" s="5">
        <f t="shared" ref="R25:R30" si="12">IF(P$12=0,0,P25/P$12)</f>
        <v>0</v>
      </c>
      <c r="S25" s="1"/>
      <c r="T25" s="1">
        <f>SUM(OSRRefT22_1x_0)</f>
        <v>0</v>
      </c>
      <c r="U25" s="1"/>
      <c r="V25" s="5">
        <f t="shared" ref="V25:V30" si="13">IF(T$12=0,0,T25/T$12)</f>
        <v>0</v>
      </c>
      <c r="W25" s="1"/>
      <c r="X25" s="1">
        <f t="shared" ref="X25:X30" si="14">+P25-T25</f>
        <v>1378.61</v>
      </c>
      <c r="Y25" s="1"/>
      <c r="Z25" s="5">
        <f t="shared" ref="Z25:Z30" si="15">IF(T25=0,0,X25/T25)</f>
        <v>0</v>
      </c>
    </row>
    <row r="26" spans="1:26" s="24" customFormat="1" hidden="1" outlineLevel="2" x14ac:dyDescent="0.25">
      <c r="A26" s="27"/>
      <c r="B26" s="12" t="str">
        <f>CONCATENATE("          ", "6002", " - ", "STAFF SALARIES")</f>
        <v xml:space="preserve">          6002 - STAFF SALARIES</v>
      </c>
      <c r="C26" s="12"/>
      <c r="D26" s="7">
        <v>1378.61</v>
      </c>
      <c r="E26" s="3"/>
      <c r="F26" s="8">
        <f t="shared" si="8"/>
        <v>0</v>
      </c>
      <c r="G26" s="3"/>
      <c r="H26" s="7"/>
      <c r="I26" s="3"/>
      <c r="J26" s="8">
        <f t="shared" si="9"/>
        <v>0</v>
      </c>
      <c r="K26" s="3"/>
      <c r="L26" s="7">
        <f t="shared" si="10"/>
        <v>1378.61</v>
      </c>
      <c r="M26" s="3"/>
      <c r="N26" s="8">
        <f t="shared" si="11"/>
        <v>0</v>
      </c>
      <c r="O26" s="12"/>
      <c r="P26" s="7">
        <v>1378.61</v>
      </c>
      <c r="Q26" s="3"/>
      <c r="R26" s="8">
        <f t="shared" si="12"/>
        <v>0</v>
      </c>
      <c r="S26" s="3"/>
      <c r="T26" s="7"/>
      <c r="U26" s="3"/>
      <c r="V26" s="8">
        <f t="shared" si="13"/>
        <v>0</v>
      </c>
      <c r="W26" s="3"/>
      <c r="X26" s="7">
        <f t="shared" si="14"/>
        <v>1378.61</v>
      </c>
      <c r="Y26" s="3"/>
      <c r="Z26" s="8">
        <f t="shared" si="15"/>
        <v>0</v>
      </c>
    </row>
    <row r="27" spans="1:26" s="29" customFormat="1" outlineLevel="1" collapsed="1" x14ac:dyDescent="0.25">
      <c r="A27" s="28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1000.91</v>
      </c>
      <c r="E27" s="1"/>
      <c r="F27" s="5">
        <f t="shared" si="8"/>
        <v>0</v>
      </c>
      <c r="G27" s="1"/>
      <c r="H27" s="1">
        <f>SUM(OSRRefH22_2x_0)</f>
        <v>1001</v>
      </c>
      <c r="I27" s="1"/>
      <c r="J27" s="5">
        <f t="shared" si="9"/>
        <v>0</v>
      </c>
      <c r="K27" s="1"/>
      <c r="L27" s="1">
        <f t="shared" si="10"/>
        <v>-9.0000000000031832E-2</v>
      </c>
      <c r="M27" s="1"/>
      <c r="N27" s="5">
        <f t="shared" si="11"/>
        <v>-8.9910089910121704E-5</v>
      </c>
      <c r="O27" s="14"/>
      <c r="P27" s="1">
        <f>SUM(OSRRefP22_2x_0)</f>
        <v>1000.91</v>
      </c>
      <c r="Q27" s="1"/>
      <c r="R27" s="5">
        <f t="shared" si="12"/>
        <v>0</v>
      </c>
      <c r="S27" s="1"/>
      <c r="T27" s="1">
        <f>SUM(OSRRefT22_2x_0)</f>
        <v>1001</v>
      </c>
      <c r="U27" s="1"/>
      <c r="V27" s="5">
        <f t="shared" si="13"/>
        <v>0</v>
      </c>
      <c r="W27" s="1"/>
      <c r="X27" s="1">
        <f t="shared" si="14"/>
        <v>-9.0000000000031832E-2</v>
      </c>
      <c r="Y27" s="1"/>
      <c r="Z27" s="5">
        <f t="shared" si="15"/>
        <v>-8.9910089910121704E-5</v>
      </c>
    </row>
    <row r="28" spans="1:26" s="24" customFormat="1" hidden="1" outlineLevel="2" x14ac:dyDescent="0.25">
      <c r="A28" s="27"/>
      <c r="B28" s="12" t="str">
        <f>CONCATENATE("          ", "6322", " - ", "EQUIPMENT DEPRECIATION EXPENSE")</f>
        <v xml:space="preserve">          6322 - EQUIPMENT DEPRECIATION EXPENSE</v>
      </c>
      <c r="C28" s="12"/>
      <c r="D28" s="7">
        <v>1000.91</v>
      </c>
      <c r="E28" s="3"/>
      <c r="F28" s="8">
        <f t="shared" si="8"/>
        <v>0</v>
      </c>
      <c r="G28" s="3"/>
      <c r="H28" s="7">
        <v>1001</v>
      </c>
      <c r="I28" s="3"/>
      <c r="J28" s="8">
        <f t="shared" si="9"/>
        <v>0</v>
      </c>
      <c r="K28" s="3"/>
      <c r="L28" s="7">
        <f t="shared" si="10"/>
        <v>-9.0000000000031832E-2</v>
      </c>
      <c r="M28" s="3"/>
      <c r="N28" s="8">
        <f t="shared" si="11"/>
        <v>-8.9910089910121704E-5</v>
      </c>
      <c r="O28" s="12"/>
      <c r="P28" s="7">
        <v>1000.91</v>
      </c>
      <c r="Q28" s="3"/>
      <c r="R28" s="8">
        <f t="shared" si="12"/>
        <v>0</v>
      </c>
      <c r="S28" s="3"/>
      <c r="T28" s="7">
        <v>1001</v>
      </c>
      <c r="U28" s="3"/>
      <c r="V28" s="8">
        <f t="shared" si="13"/>
        <v>0</v>
      </c>
      <c r="W28" s="3"/>
      <c r="X28" s="7">
        <f t="shared" si="14"/>
        <v>-9.0000000000031832E-2</v>
      </c>
      <c r="Y28" s="3"/>
      <c r="Z28" s="8">
        <f t="shared" si="15"/>
        <v>-8.9910089910121704E-5</v>
      </c>
    </row>
    <row r="29" spans="1:26" s="29" customFormat="1" outlineLevel="1" collapsed="1" x14ac:dyDescent="0.25">
      <c r="A29" s="28"/>
      <c r="B29" s="14" t="str">
        <f>CONCATENATE("     ","Telephone/Data Lines                              ")</f>
        <v xml:space="preserve">     Telephone/Data Lines                              </v>
      </c>
      <c r="C29" s="14"/>
      <c r="D29" s="1">
        <f>SUM(OSRRefD22_3x_0)</f>
        <v>56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56</v>
      </c>
      <c r="M29" s="1"/>
      <c r="N29" s="5">
        <f t="shared" si="11"/>
        <v>0</v>
      </c>
      <c r="O29" s="14"/>
      <c r="P29" s="1">
        <f>SUM(OSRRefP22_3x_0)</f>
        <v>56</v>
      </c>
      <c r="Q29" s="1"/>
      <c r="R29" s="5">
        <f t="shared" si="12"/>
        <v>0</v>
      </c>
      <c r="S29" s="1"/>
      <c r="T29" s="1">
        <f>SUM(OSRRefT22_3x_0)</f>
        <v>0</v>
      </c>
      <c r="U29" s="1"/>
      <c r="V29" s="5">
        <f t="shared" si="13"/>
        <v>0</v>
      </c>
      <c r="W29" s="1"/>
      <c r="X29" s="1">
        <f t="shared" si="14"/>
        <v>56</v>
      </c>
      <c r="Y29" s="1"/>
      <c r="Z29" s="5">
        <f t="shared" si="15"/>
        <v>0</v>
      </c>
    </row>
    <row r="30" spans="1:26" s="24" customFormat="1" hidden="1" outlineLevel="2" x14ac:dyDescent="0.25">
      <c r="A30" s="27"/>
      <c r="B30" s="12" t="str">
        <f>CONCATENATE("          ", "6309", " - ", "TELEPHONE")</f>
        <v xml:space="preserve">          6309 - TELEPHONE</v>
      </c>
      <c r="C30" s="12"/>
      <c r="D30" s="7">
        <v>56</v>
      </c>
      <c r="E30" s="3"/>
      <c r="F30" s="8">
        <f t="shared" si="8"/>
        <v>0</v>
      </c>
      <c r="G30" s="3"/>
      <c r="H30" s="7"/>
      <c r="I30" s="3"/>
      <c r="J30" s="8">
        <f t="shared" si="9"/>
        <v>0</v>
      </c>
      <c r="K30" s="3"/>
      <c r="L30" s="7">
        <f t="shared" si="10"/>
        <v>56</v>
      </c>
      <c r="M30" s="3"/>
      <c r="N30" s="8">
        <f t="shared" si="11"/>
        <v>0</v>
      </c>
      <c r="O30" s="12"/>
      <c r="P30" s="7">
        <v>56</v>
      </c>
      <c r="Q30" s="3"/>
      <c r="R30" s="8">
        <f t="shared" si="12"/>
        <v>0</v>
      </c>
      <c r="S30" s="3"/>
      <c r="T30" s="7"/>
      <c r="U30" s="3"/>
      <c r="V30" s="8">
        <f t="shared" si="13"/>
        <v>0</v>
      </c>
      <c r="W30" s="3"/>
      <c r="X30" s="7">
        <f t="shared" si="14"/>
        <v>56</v>
      </c>
      <c r="Y30" s="3"/>
      <c r="Z30" s="8">
        <f t="shared" si="15"/>
        <v>0</v>
      </c>
    </row>
    <row r="31" spans="1:26" s="54" customFormat="1" x14ac:dyDescent="0.25">
      <c r="A31" s="36"/>
      <c r="B31" s="36"/>
      <c r="C31" s="36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2" customFormat="1" x14ac:dyDescent="0.25">
      <c r="A32" s="10"/>
      <c r="B32" s="26" t="s">
        <v>0</v>
      </c>
      <c r="C32" s="10"/>
      <c r="D32" s="4">
        <f>SUM(0)</f>
        <v>0</v>
      </c>
      <c r="E32" s="4"/>
      <c r="F32" s="11">
        <f>IF(D$12=0,0,D32/D$12)</f>
        <v>0</v>
      </c>
      <c r="G32" s="4"/>
      <c r="H32" s="4">
        <f>SUM(0)</f>
        <v>0</v>
      </c>
      <c r="I32" s="4"/>
      <c r="J32" s="11">
        <f>IF(H$12=0,0,H32/H$12)</f>
        <v>0</v>
      </c>
      <c r="K32" s="4"/>
      <c r="L32" s="4">
        <f>+D32-H32</f>
        <v>0</v>
      </c>
      <c r="M32" s="4"/>
      <c r="N32" s="11">
        <f>IF(H32=0,0,L32/H32)</f>
        <v>0</v>
      </c>
      <c r="O32" s="10"/>
      <c r="P32" s="4">
        <f>SUM(0)</f>
        <v>0</v>
      </c>
      <c r="Q32" s="4"/>
      <c r="R32" s="11">
        <f>IF(P$12=0,0,P32/P$12)</f>
        <v>0</v>
      </c>
      <c r="S32" s="4"/>
      <c r="T32" s="4">
        <f>SUM(0)</f>
        <v>0</v>
      </c>
      <c r="U32" s="4"/>
      <c r="V32" s="11">
        <f>IF(T$12=0,0,T32/T$12)</f>
        <v>0</v>
      </c>
      <c r="W32" s="4"/>
      <c r="X32" s="4">
        <f>+P32-T32</f>
        <v>0</v>
      </c>
      <c r="Y32" s="4"/>
      <c r="Z32" s="11">
        <f>IF(T32=0,0,X32/T32)</f>
        <v>0</v>
      </c>
    </row>
    <row r="33" spans="1:26" x14ac:dyDescent="0.25">
      <c r="A33" s="9"/>
      <c r="B33" s="10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10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2" customFormat="1" x14ac:dyDescent="0.25">
      <c r="A34" s="10"/>
      <c r="B34" s="25" t="s">
        <v>3</v>
      </c>
      <c r="C34" s="25"/>
      <c r="D34" s="21">
        <f>+D16-D18+D32</f>
        <v>-3855.2699999999995</v>
      </c>
      <c r="E34" s="13"/>
      <c r="F34" s="20">
        <f>IF(D$12=0,0,D34/D$12)</f>
        <v>0</v>
      </c>
      <c r="G34" s="13"/>
      <c r="H34" s="21">
        <f>+H16-H18+H32</f>
        <v>-1001</v>
      </c>
      <c r="I34" s="13"/>
      <c r="J34" s="20">
        <f>IF(H$12=0,0,H34/H$12)</f>
        <v>0</v>
      </c>
      <c r="K34" s="15"/>
      <c r="L34" s="21">
        <f>+D34-H34</f>
        <v>-2854.2699999999995</v>
      </c>
      <c r="M34" s="15"/>
      <c r="N34" s="20">
        <f>IF(H34=0,0,L34/H34)</f>
        <v>2.8514185814185811</v>
      </c>
      <c r="O34" s="26"/>
      <c r="P34" s="21">
        <f>+P16-P18+P32</f>
        <v>-3855.2699999999995</v>
      </c>
      <c r="Q34" s="13"/>
      <c r="R34" s="20">
        <f>IF(P$12=0,0,P34/P$12)</f>
        <v>0</v>
      </c>
      <c r="S34" s="13"/>
      <c r="T34" s="21">
        <f>+T16-T18+T32</f>
        <v>-1001</v>
      </c>
      <c r="U34" s="13"/>
      <c r="V34" s="20">
        <f>IF(T$12=0,0,T34/T$12)</f>
        <v>0</v>
      </c>
      <c r="W34" s="15"/>
      <c r="X34" s="21">
        <f>+P34-T34</f>
        <v>-2854.2699999999995</v>
      </c>
      <c r="Y34" s="15"/>
      <c r="Z34" s="20">
        <f>IF(T34=0,0,X34/T34)</f>
        <v>2.8514185814185811</v>
      </c>
    </row>
    <row r="35" spans="1:26" x14ac:dyDescent="0.25">
      <c r="A35" s="9"/>
      <c r="B35" s="10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x14ac:dyDescent="0.25">
      <c r="A36" s="52"/>
      <c r="B36" s="10" t="s">
        <v>14</v>
      </c>
      <c r="C36" s="10"/>
      <c r="D36" s="4"/>
      <c r="E36" s="4"/>
      <c r="F36" s="11">
        <f>IF(D$12=0,0,D36/D$12)</f>
        <v>0</v>
      </c>
      <c r="G36" s="4"/>
      <c r="H36" s="4"/>
      <c r="I36" s="4"/>
      <c r="J36" s="11">
        <f>IF(H$12=0,0,H36/H$12)</f>
        <v>0</v>
      </c>
      <c r="K36" s="4"/>
      <c r="L36" s="4">
        <f>+D36-H36</f>
        <v>0</v>
      </c>
      <c r="M36" s="4"/>
      <c r="N36" s="11">
        <f>IF(H36=0,0,L36/H36)</f>
        <v>0</v>
      </c>
      <c r="O36" s="10"/>
      <c r="P36" s="4"/>
      <c r="Q36" s="4"/>
      <c r="R36" s="11">
        <f>IF(P$12=0,0,P36/P$12)</f>
        <v>0</v>
      </c>
      <c r="S36" s="4"/>
      <c r="T36" s="4"/>
      <c r="U36" s="4"/>
      <c r="V36" s="11">
        <f>IF(T$12=0,0,T36/T$12)</f>
        <v>0</v>
      </c>
      <c r="W36" s="4"/>
      <c r="X36" s="4">
        <f>+P36-T36</f>
        <v>0</v>
      </c>
      <c r="Y36" s="4"/>
      <c r="Z36" s="11">
        <f>IF(T36=0,0,X36/T36)</f>
        <v>0</v>
      </c>
    </row>
    <row r="37" spans="1:26" x14ac:dyDescent="0.25">
      <c r="A37" s="9"/>
      <c r="B37" s="10"/>
      <c r="C37" s="10"/>
      <c r="D37" s="2"/>
      <c r="E37" s="2"/>
      <c r="F37" s="6"/>
      <c r="G37" s="2"/>
      <c r="H37" s="2"/>
      <c r="I37" s="2"/>
      <c r="J37" s="6"/>
      <c r="K37" s="2"/>
      <c r="L37" s="2"/>
      <c r="M37" s="2"/>
      <c r="N37" s="6"/>
      <c r="O37" s="10"/>
      <c r="P37" s="2"/>
      <c r="Q37" s="2"/>
      <c r="R37" s="6"/>
      <c r="S37" s="2"/>
      <c r="T37" s="2"/>
      <c r="U37" s="2"/>
      <c r="V37" s="6"/>
      <c r="W37" s="2"/>
      <c r="X37" s="2"/>
      <c r="Y37" s="2"/>
      <c r="Z37" s="6"/>
    </row>
    <row r="38" spans="1:26" s="22" customFormat="1" ht="15.75" thickBot="1" x14ac:dyDescent="0.3">
      <c r="A38" s="10"/>
      <c r="B38" s="25" t="s">
        <v>4</v>
      </c>
      <c r="C38" s="25"/>
      <c r="D38" s="34">
        <f>+D34-D36</f>
        <v>-3855.2699999999995</v>
      </c>
      <c r="E38" s="13"/>
      <c r="F38" s="30">
        <f>IF(D$12=0,0,D38/D$12)</f>
        <v>0</v>
      </c>
      <c r="G38" s="13"/>
      <c r="H38" s="34">
        <f>+H34-H36</f>
        <v>-1001</v>
      </c>
      <c r="I38" s="13"/>
      <c r="J38" s="30">
        <f>IF(H$12=0,0,H38/H$12)</f>
        <v>0</v>
      </c>
      <c r="K38" s="15"/>
      <c r="L38" s="34">
        <f>D38-H38</f>
        <v>-2854.2699999999995</v>
      </c>
      <c r="M38" s="15"/>
      <c r="N38" s="30">
        <f>IF(H38=0,0,L38/H38)</f>
        <v>2.8514185814185811</v>
      </c>
      <c r="O38" s="26"/>
      <c r="P38" s="34">
        <f>+P34-P36</f>
        <v>-3855.2699999999995</v>
      </c>
      <c r="Q38" s="13"/>
      <c r="R38" s="30">
        <f>IF(P$12=0,0,P38/P$12)</f>
        <v>0</v>
      </c>
      <c r="S38" s="13"/>
      <c r="T38" s="34">
        <f>+T34-T36</f>
        <v>-1001</v>
      </c>
      <c r="U38" s="13"/>
      <c r="V38" s="30">
        <f>IF(T$12=0,0,T38/T$12)</f>
        <v>0</v>
      </c>
      <c r="W38" s="15"/>
      <c r="X38" s="34">
        <f>P38-T38</f>
        <v>-2854.2699999999995</v>
      </c>
      <c r="Y38" s="15"/>
      <c r="Z38" s="30">
        <f>IF(T38=0,0,X38/T38)</f>
        <v>2.8514185814185811</v>
      </c>
    </row>
    <row r="39" spans="1:26" ht="15.75" thickTop="1" x14ac:dyDescent="0.25">
      <c r="A39" s="9"/>
      <c r="B39" s="9"/>
      <c r="C39" s="9"/>
      <c r="D39" s="2"/>
      <c r="E39" s="2"/>
      <c r="F39" s="6"/>
      <c r="G39" s="2"/>
      <c r="H39" s="2"/>
      <c r="I39" s="2"/>
      <c r="J39" s="6"/>
      <c r="K39" s="2"/>
      <c r="L39" s="2"/>
      <c r="M39" s="2"/>
      <c r="N39" s="6"/>
      <c r="P39" s="2"/>
      <c r="Q39" s="2"/>
      <c r="R39" s="6"/>
      <c r="S39" s="2"/>
      <c r="T39" s="2"/>
      <c r="U39" s="2"/>
      <c r="V39" s="6"/>
      <c r="W39" s="2"/>
      <c r="X39" s="2"/>
      <c r="Y39" s="2"/>
      <c r="Z39" s="6"/>
    </row>
    <row r="40" spans="1:26" x14ac:dyDescent="0.25">
      <c r="A40" s="9"/>
      <c r="B40" s="9"/>
      <c r="C40" s="9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22" customFormat="1" ht="15.75" thickBot="1" x14ac:dyDescent="0.3">
      <c r="A41" s="10"/>
      <c r="B41" s="25" t="s">
        <v>5</v>
      </c>
      <c r="C41" s="25"/>
      <c r="D41" s="32">
        <f>SUM(D38:D40)</f>
        <v>-3855.2699999999995</v>
      </c>
      <c r="E41" s="13"/>
      <c r="F41" s="33">
        <f>IF(D$12=0,0,D41/D$12)</f>
        <v>0</v>
      </c>
      <c r="G41" s="13"/>
      <c r="H41" s="32">
        <f>SUM(H38:H40)</f>
        <v>-1001</v>
      </c>
      <c r="I41" s="13"/>
      <c r="J41" s="33">
        <f>IF(H$12=0,0,H41/H$12)</f>
        <v>0</v>
      </c>
      <c r="K41" s="15"/>
      <c r="L41" s="32">
        <f>+D41-H41</f>
        <v>-2854.2699999999995</v>
      </c>
      <c r="M41" s="15"/>
      <c r="N41" s="33">
        <f>IF(H41=0,0,L41/H41)</f>
        <v>2.8514185814185811</v>
      </c>
      <c r="O41" s="26"/>
      <c r="P41" s="32">
        <f>SUM(P38:P40)</f>
        <v>-3855.2699999999995</v>
      </c>
      <c r="Q41" s="13"/>
      <c r="R41" s="33">
        <f>IF(P$12=0,0,P41/P$12)</f>
        <v>0</v>
      </c>
      <c r="S41" s="13"/>
      <c r="T41" s="32">
        <f>SUM(T38:T40)</f>
        <v>-1001</v>
      </c>
      <c r="U41" s="13"/>
      <c r="V41" s="33">
        <f>IF(T$12=0,0,T41/T$12)</f>
        <v>0</v>
      </c>
      <c r="W41" s="15"/>
      <c r="X41" s="32">
        <f>+P41-T41</f>
        <v>-2854.2699999999995</v>
      </c>
      <c r="Y41" s="15"/>
      <c r="Z41" s="33">
        <f>IF(T41=0,0,X41/T41)</f>
        <v>2.8514185814185811</v>
      </c>
    </row>
    <row r="42" spans="1:26" ht="15.75" thickTop="1" x14ac:dyDescent="0.25">
      <c r="A42" s="9"/>
      <c r="C42" s="9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58">
        <v>44104.686448379631</v>
      </c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56" t="s">
        <v>314</v>
      </c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A45" s="9"/>
      <c r="B45" s="62"/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25"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","455", " - ", "Vending")</f>
        <v>Department 455 - Vending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SUM(0)</f>
        <v>0</v>
      </c>
      <c r="E18" s="19"/>
      <c r="F18" s="31">
        <f>IF(D$12=0,0,D18/D$12)</f>
        <v>0</v>
      </c>
      <c r="G18" s="19"/>
      <c r="H18" s="19">
        <f>SUM(0)</f>
        <v>0</v>
      </c>
      <c r="I18" s="19"/>
      <c r="J18" s="31">
        <f>IF(H$12=0,0,H18/H$12)</f>
        <v>0</v>
      </c>
      <c r="K18" s="4"/>
      <c r="L18" s="19">
        <f>+D18-H18</f>
        <v>0</v>
      </c>
      <c r="M18" s="4"/>
      <c r="N18" s="31">
        <f>IF(H18=0,0,L18/H18)</f>
        <v>0</v>
      </c>
      <c r="O18" s="10"/>
      <c r="P18" s="19">
        <f>SUM(0)</f>
        <v>0</v>
      </c>
      <c r="Q18" s="19"/>
      <c r="R18" s="31">
        <f>IF(P$12=0,0,P18/P$12)</f>
        <v>0</v>
      </c>
      <c r="S18" s="19"/>
      <c r="T18" s="19">
        <f>SUM(0)</f>
        <v>0</v>
      </c>
      <c r="U18" s="19"/>
      <c r="V18" s="31">
        <f>IF(T$12=0,0,T18/T$12)</f>
        <v>0</v>
      </c>
      <c r="W18" s="4"/>
      <c r="X18" s="19">
        <f>+P18-T18</f>
        <v>0</v>
      </c>
      <c r="Y18" s="4"/>
      <c r="Z18" s="31">
        <f>IF(T18=0,0,X18/T18)</f>
        <v>0</v>
      </c>
    </row>
    <row r="19" spans="1:26" s="54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collapsed="1" x14ac:dyDescent="0.25">
      <c r="A20" s="10"/>
      <c r="B20" s="26" t="s">
        <v>0</v>
      </c>
      <c r="C20" s="10"/>
      <c r="D20" s="4">
        <f>SUM(OSRRefD25x_0)</f>
        <v>1564.13</v>
      </c>
      <c r="E20" s="4"/>
      <c r="F20" s="11">
        <f t="shared" ref="F20:F22" si="0">IF(D$12=0,0,D20/D$12)</f>
        <v>0</v>
      </c>
      <c r="G20" s="4"/>
      <c r="H20" s="4">
        <f>SUM(OSRRefH25x_0)</f>
        <v>0</v>
      </c>
      <c r="I20" s="4"/>
      <c r="J20" s="11">
        <f t="shared" ref="J20:J22" si="1">IF(H$12=0,0,H20/H$12)</f>
        <v>0</v>
      </c>
      <c r="K20" s="4"/>
      <c r="L20" s="4">
        <f t="shared" ref="L20:L22" si="2">+D20-H20</f>
        <v>1564.13</v>
      </c>
      <c r="M20" s="4"/>
      <c r="N20" s="11">
        <f t="shared" ref="N20:N22" si="3">IF(H20=0,0,L20/H20)</f>
        <v>0</v>
      </c>
      <c r="O20" s="10"/>
      <c r="P20" s="4">
        <f>SUM(OSRRefP25x_0)</f>
        <v>1564.13</v>
      </c>
      <c r="Q20" s="4"/>
      <c r="R20" s="11">
        <f t="shared" ref="R20:R22" si="4">IF(P$12=0,0,P20/P$12)</f>
        <v>0</v>
      </c>
      <c r="S20" s="4"/>
      <c r="T20" s="4">
        <f>SUM(OSRRefT25x_0)</f>
        <v>0</v>
      </c>
      <c r="U20" s="4"/>
      <c r="V20" s="11">
        <f t="shared" ref="V20:V22" si="5">IF(T$12=0,0,T20/T$12)</f>
        <v>0</v>
      </c>
      <c r="W20" s="4"/>
      <c r="X20" s="4">
        <f t="shared" ref="X20:X22" si="6">+P20-T20</f>
        <v>1564.13</v>
      </c>
      <c r="Y20" s="4"/>
      <c r="Z20" s="11">
        <f t="shared" ref="Z20:Z22" si="7">IF(T20=0,0,X20/T20)</f>
        <v>0</v>
      </c>
    </row>
    <row r="21" spans="1:26" s="24" customFormat="1" hidden="1" outlineLevel="1" x14ac:dyDescent="0.25">
      <c r="A21" s="51"/>
      <c r="B21" s="12" t="str">
        <f>CONCATENATE("          ", "9160", " - ", "MISC. INCOME")</f>
        <v xml:space="preserve">          9160 - MISC. INCOME</v>
      </c>
      <c r="C21" s="12"/>
      <c r="D21" s="3">
        <f>--1363.63</f>
        <v>1363.63</v>
      </c>
      <c r="E21" s="3"/>
      <c r="F21" s="23">
        <f t="shared" si="0"/>
        <v>0</v>
      </c>
      <c r="G21" s="3"/>
      <c r="H21" s="3"/>
      <c r="I21" s="3"/>
      <c r="J21" s="23">
        <f t="shared" si="1"/>
        <v>0</v>
      </c>
      <c r="K21" s="3"/>
      <c r="L21" s="3">
        <f t="shared" si="2"/>
        <v>1363.63</v>
      </c>
      <c r="M21" s="3"/>
      <c r="N21" s="23">
        <f t="shared" si="3"/>
        <v>0</v>
      </c>
      <c r="O21" s="12"/>
      <c r="P21" s="3">
        <f>--1363.63</f>
        <v>1363.63</v>
      </c>
      <c r="Q21" s="3"/>
      <c r="R21" s="23">
        <f t="shared" si="4"/>
        <v>0</v>
      </c>
      <c r="S21" s="3"/>
      <c r="T21" s="3"/>
      <c r="U21" s="3"/>
      <c r="V21" s="23">
        <f t="shared" si="5"/>
        <v>0</v>
      </c>
      <c r="W21" s="3"/>
      <c r="X21" s="3">
        <f t="shared" si="6"/>
        <v>1363.63</v>
      </c>
      <c r="Y21" s="3"/>
      <c r="Z21" s="23">
        <f t="shared" si="7"/>
        <v>0</v>
      </c>
    </row>
    <row r="22" spans="1:26" s="24" customFormat="1" hidden="1" outlineLevel="1" x14ac:dyDescent="0.25">
      <c r="A22" s="51"/>
      <c r="B22" s="12" t="str">
        <f>CONCATENATE("          ", "9165", " - ", "OTHER INCOME")</f>
        <v xml:space="preserve">          9165 - OTHER INCOME</v>
      </c>
      <c r="C22" s="12"/>
      <c r="D22" s="3">
        <f>--200.5</f>
        <v>200.5</v>
      </c>
      <c r="E22" s="3"/>
      <c r="F22" s="23">
        <f t="shared" si="0"/>
        <v>0</v>
      </c>
      <c r="G22" s="3"/>
      <c r="H22" s="3"/>
      <c r="I22" s="3"/>
      <c r="J22" s="23">
        <f t="shared" si="1"/>
        <v>0</v>
      </c>
      <c r="K22" s="3"/>
      <c r="L22" s="3">
        <f t="shared" si="2"/>
        <v>200.5</v>
      </c>
      <c r="M22" s="3"/>
      <c r="N22" s="23">
        <f t="shared" si="3"/>
        <v>0</v>
      </c>
      <c r="O22" s="12"/>
      <c r="P22" s="3">
        <f>--200.5</f>
        <v>200.5</v>
      </c>
      <c r="Q22" s="3"/>
      <c r="R22" s="23">
        <f t="shared" si="4"/>
        <v>0</v>
      </c>
      <c r="S22" s="3"/>
      <c r="T22" s="3"/>
      <c r="U22" s="3"/>
      <c r="V22" s="23">
        <f t="shared" si="5"/>
        <v>0</v>
      </c>
      <c r="W22" s="3"/>
      <c r="X22" s="3">
        <f t="shared" si="6"/>
        <v>200.5</v>
      </c>
      <c r="Y22" s="3"/>
      <c r="Z22" s="23">
        <f t="shared" si="7"/>
        <v>0</v>
      </c>
    </row>
    <row r="23" spans="1:26" x14ac:dyDescent="0.25">
      <c r="A23" s="9"/>
      <c r="B23" s="10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10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2" customFormat="1" x14ac:dyDescent="0.25">
      <c r="A24" s="10"/>
      <c r="B24" s="25" t="s">
        <v>3</v>
      </c>
      <c r="C24" s="25"/>
      <c r="D24" s="21">
        <f>+D16-D18+D20</f>
        <v>1564.13</v>
      </c>
      <c r="E24" s="13"/>
      <c r="F24" s="20">
        <f>IF(D$12=0,0,D24/D$12)</f>
        <v>0</v>
      </c>
      <c r="G24" s="13"/>
      <c r="H24" s="21">
        <f>+H16-H18+H20</f>
        <v>0</v>
      </c>
      <c r="I24" s="13"/>
      <c r="J24" s="20">
        <f>IF(H$12=0,0,H24/H$12)</f>
        <v>0</v>
      </c>
      <c r="K24" s="15"/>
      <c r="L24" s="21">
        <f>+D24-H24</f>
        <v>1564.13</v>
      </c>
      <c r="M24" s="15"/>
      <c r="N24" s="20">
        <f>IF(H24=0,0,L24/H24)</f>
        <v>0</v>
      </c>
      <c r="O24" s="26"/>
      <c r="P24" s="21">
        <f>+P16-P18+P20</f>
        <v>1564.13</v>
      </c>
      <c r="Q24" s="13"/>
      <c r="R24" s="20">
        <f>IF(P$12=0,0,P24/P$12)</f>
        <v>0</v>
      </c>
      <c r="S24" s="13"/>
      <c r="T24" s="21">
        <f>+T16-T18+T20</f>
        <v>0</v>
      </c>
      <c r="U24" s="13"/>
      <c r="V24" s="20">
        <f>IF(T$12=0,0,T24/T$12)</f>
        <v>0</v>
      </c>
      <c r="W24" s="15"/>
      <c r="X24" s="21">
        <f>+P24-T24</f>
        <v>1564.13</v>
      </c>
      <c r="Y24" s="15"/>
      <c r="Z24" s="20">
        <f>IF(T24=0,0,X24/T24)</f>
        <v>0</v>
      </c>
    </row>
    <row r="25" spans="1:26" x14ac:dyDescent="0.25">
      <c r="A25" s="9"/>
      <c r="B25" s="10"/>
      <c r="C25" s="9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2" customFormat="1" x14ac:dyDescent="0.25">
      <c r="A26" s="52"/>
      <c r="B26" s="10" t="s">
        <v>14</v>
      </c>
      <c r="C26" s="10"/>
      <c r="D26" s="4"/>
      <c r="E26" s="4"/>
      <c r="F26" s="11">
        <f>IF(D$12=0,0,D26/D$12)</f>
        <v>0</v>
      </c>
      <c r="G26" s="4"/>
      <c r="H26" s="4"/>
      <c r="I26" s="4"/>
      <c r="J26" s="11">
        <f>IF(H$12=0,0,H26/H$12)</f>
        <v>0</v>
      </c>
      <c r="K26" s="4"/>
      <c r="L26" s="4">
        <f>+D26-H26</f>
        <v>0</v>
      </c>
      <c r="M26" s="4"/>
      <c r="N26" s="11">
        <f>IF(H26=0,0,L26/H26)</f>
        <v>0</v>
      </c>
      <c r="O26" s="10"/>
      <c r="P26" s="4"/>
      <c r="Q26" s="4"/>
      <c r="R26" s="11">
        <f>IF(P$12=0,0,P26/P$12)</f>
        <v>0</v>
      </c>
      <c r="S26" s="4"/>
      <c r="T26" s="4"/>
      <c r="U26" s="4"/>
      <c r="V26" s="11">
        <f>IF(T$12=0,0,T26/T$12)</f>
        <v>0</v>
      </c>
      <c r="W26" s="4"/>
      <c r="X26" s="4">
        <f>+P26-T26</f>
        <v>0</v>
      </c>
      <c r="Y26" s="4"/>
      <c r="Z26" s="11">
        <f>IF(T26=0,0,X26/T26)</f>
        <v>0</v>
      </c>
    </row>
    <row r="27" spans="1:26" x14ac:dyDescent="0.25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2" customFormat="1" ht="15.75" thickBot="1" x14ac:dyDescent="0.3">
      <c r="A28" s="10"/>
      <c r="B28" s="25" t="s">
        <v>4</v>
      </c>
      <c r="C28" s="25"/>
      <c r="D28" s="34">
        <f>+D24-D26</f>
        <v>1564.13</v>
      </c>
      <c r="E28" s="13"/>
      <c r="F28" s="30">
        <f>IF(D$12=0,0,D28/D$12)</f>
        <v>0</v>
      </c>
      <c r="G28" s="13"/>
      <c r="H28" s="34">
        <f>+H24-H26</f>
        <v>0</v>
      </c>
      <c r="I28" s="13"/>
      <c r="J28" s="30">
        <f>IF(H$12=0,0,H28/H$12)</f>
        <v>0</v>
      </c>
      <c r="K28" s="15"/>
      <c r="L28" s="34">
        <f>D28-H28</f>
        <v>1564.13</v>
      </c>
      <c r="M28" s="15"/>
      <c r="N28" s="30">
        <f>IF(H28=0,0,L28/H28)</f>
        <v>0</v>
      </c>
      <c r="O28" s="26"/>
      <c r="P28" s="34">
        <f>+P24-P26</f>
        <v>1564.13</v>
      </c>
      <c r="Q28" s="13"/>
      <c r="R28" s="30">
        <f>IF(P$12=0,0,P28/P$12)</f>
        <v>0</v>
      </c>
      <c r="S28" s="13"/>
      <c r="T28" s="34">
        <f>+T24-T26</f>
        <v>0</v>
      </c>
      <c r="U28" s="13"/>
      <c r="V28" s="30">
        <f>IF(T$12=0,0,T28/T$12)</f>
        <v>0</v>
      </c>
      <c r="W28" s="15"/>
      <c r="X28" s="34">
        <f>P28-T28</f>
        <v>1564.13</v>
      </c>
      <c r="Y28" s="15"/>
      <c r="Z28" s="30">
        <f>IF(T28=0,0,X28/T28)</f>
        <v>0</v>
      </c>
    </row>
    <row r="29" spans="1:26" ht="15.75" thickTop="1" x14ac:dyDescent="0.25">
      <c r="A29" s="9"/>
      <c r="B29" s="9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x14ac:dyDescent="0.25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5</v>
      </c>
      <c r="C31" s="25"/>
      <c r="D31" s="32">
        <f>SUM(D28:D30)</f>
        <v>1564.13</v>
      </c>
      <c r="E31" s="13"/>
      <c r="F31" s="33">
        <f>IF(D$12=0,0,D31/D$12)</f>
        <v>0</v>
      </c>
      <c r="G31" s="13"/>
      <c r="H31" s="32">
        <f>SUM(H28:H30)</f>
        <v>0</v>
      </c>
      <c r="I31" s="13"/>
      <c r="J31" s="33">
        <f>IF(H$12=0,0,H31/H$12)</f>
        <v>0</v>
      </c>
      <c r="K31" s="15"/>
      <c r="L31" s="32">
        <f>+D31-H31</f>
        <v>1564.13</v>
      </c>
      <c r="M31" s="15"/>
      <c r="N31" s="33">
        <f>IF(H31=0,0,L31/H31)</f>
        <v>0</v>
      </c>
      <c r="O31" s="26"/>
      <c r="P31" s="32">
        <f>SUM(P28:P30)</f>
        <v>1564.13</v>
      </c>
      <c r="Q31" s="13"/>
      <c r="R31" s="33">
        <f>IF(P$12=0,0,P31/P$12)</f>
        <v>0</v>
      </c>
      <c r="S31" s="13"/>
      <c r="T31" s="32">
        <f>SUM(T28:T30)</f>
        <v>0</v>
      </c>
      <c r="U31" s="13"/>
      <c r="V31" s="33">
        <f>IF(T$12=0,0,T31/T$12)</f>
        <v>0</v>
      </c>
      <c r="W31" s="15"/>
      <c r="X31" s="32">
        <f>+P31-T31</f>
        <v>1564.13</v>
      </c>
      <c r="Y31" s="15"/>
      <c r="Z31" s="33">
        <f>IF(T31=0,0,X31/T31)</f>
        <v>0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8">
        <v>44104.686564664349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6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19327.919999999998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5" si="0">+D12-H12</f>
        <v>19327.919999999998</v>
      </c>
      <c r="M12" s="4"/>
      <c r="N12" s="11">
        <f t="shared" ref="N12:N15" si="1">IF(H12=0,0,L12/H12)</f>
        <v>0</v>
      </c>
      <c r="O12" s="10"/>
      <c r="P12" s="4">
        <f>SUM(OSRRefP13x_0)</f>
        <v>19327.919999999998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5" si="2">+P12-T12</f>
        <v>19327.919999999998</v>
      </c>
      <c r="Y12" s="4"/>
      <c r="Z12" s="11">
        <f t="shared" ref="Z12:Z15" si="3">IF(T12=0,0,X12/T12)</f>
        <v>0</v>
      </c>
    </row>
    <row r="13" spans="1:26" s="24" customFormat="1" hidden="1" outlineLevel="1" x14ac:dyDescent="0.25">
      <c r="A13" s="51"/>
      <c r="B13" s="12" t="str">
        <f>CONCATENATE("          ", "4053", " - ", "TAXABLE SALES-FOOD")</f>
        <v xml:space="preserve">          4053 - TAXABLE SALES-FOOD</v>
      </c>
      <c r="C13" s="12"/>
      <c r="D13" s="3">
        <f>--199.89</f>
        <v>199.89</v>
      </c>
      <c r="E13" s="3"/>
      <c r="F13" s="23"/>
      <c r="G13" s="3"/>
      <c r="H13" s="3"/>
      <c r="I13" s="3"/>
      <c r="J13" s="23"/>
      <c r="K13" s="3"/>
      <c r="L13" s="3">
        <f t="shared" si="0"/>
        <v>199.89</v>
      </c>
      <c r="M13" s="3"/>
      <c r="N13" s="23">
        <f t="shared" si="1"/>
        <v>0</v>
      </c>
      <c r="O13" s="12"/>
      <c r="P13" s="3">
        <f>--199.89</f>
        <v>199.89</v>
      </c>
      <c r="Q13" s="3"/>
      <c r="R13" s="23"/>
      <c r="S13" s="3"/>
      <c r="T13" s="3"/>
      <c r="U13" s="3"/>
      <c r="V13" s="23"/>
      <c r="W13" s="3"/>
      <c r="X13" s="3">
        <f t="shared" si="2"/>
        <v>199.89</v>
      </c>
      <c r="Y13" s="3"/>
      <c r="Z13" s="23">
        <f t="shared" si="3"/>
        <v>0</v>
      </c>
    </row>
    <row r="14" spans="1:26" s="24" customFormat="1" hidden="1" outlineLevel="1" x14ac:dyDescent="0.25">
      <c r="A14" s="51"/>
      <c r="B14" s="12" t="str">
        <f>CONCATENATE("          ", "4151", " - ", "NON-TAXABLE SALES-FOOD")</f>
        <v xml:space="preserve">          4151 - NON-TAXABLE SALES-FOOD</v>
      </c>
      <c r="C14" s="12"/>
      <c r="D14" s="3">
        <f>--1300</f>
        <v>1300</v>
      </c>
      <c r="E14" s="3"/>
      <c r="F14" s="23"/>
      <c r="G14" s="3"/>
      <c r="H14" s="3"/>
      <c r="I14" s="3"/>
      <c r="J14" s="23"/>
      <c r="K14" s="3"/>
      <c r="L14" s="3">
        <f t="shared" si="0"/>
        <v>1300</v>
      </c>
      <c r="M14" s="3"/>
      <c r="N14" s="23">
        <f t="shared" si="1"/>
        <v>0</v>
      </c>
      <c r="O14" s="12"/>
      <c r="P14" s="3">
        <f>--1300</f>
        <v>1300</v>
      </c>
      <c r="Q14" s="3"/>
      <c r="R14" s="23"/>
      <c r="S14" s="3"/>
      <c r="T14" s="3"/>
      <c r="U14" s="3"/>
      <c r="V14" s="23"/>
      <c r="W14" s="3"/>
      <c r="X14" s="3">
        <f t="shared" si="2"/>
        <v>1300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"4153", " - ", "NON-TAXABLE SALES-FOOD")</f>
        <v xml:space="preserve">          4153 - NON-TAXABLE SALES-FOOD</v>
      </c>
      <c r="C15" s="12"/>
      <c r="D15" s="3">
        <f>--17828.03</f>
        <v>17828.03</v>
      </c>
      <c r="E15" s="3"/>
      <c r="F15" s="23"/>
      <c r="G15" s="3"/>
      <c r="H15" s="3"/>
      <c r="I15" s="3"/>
      <c r="J15" s="23"/>
      <c r="K15" s="3"/>
      <c r="L15" s="3">
        <f t="shared" si="0"/>
        <v>17828.03</v>
      </c>
      <c r="M15" s="3"/>
      <c r="N15" s="23">
        <f t="shared" si="1"/>
        <v>0</v>
      </c>
      <c r="O15" s="12"/>
      <c r="P15" s="3">
        <f>--17828.03</f>
        <v>17828.03</v>
      </c>
      <c r="Q15" s="3"/>
      <c r="R15" s="23"/>
      <c r="S15" s="3"/>
      <c r="T15" s="3"/>
      <c r="U15" s="3"/>
      <c r="V15" s="23"/>
      <c r="W15" s="3"/>
      <c r="X15" s="3">
        <f t="shared" si="2"/>
        <v>17828.03</v>
      </c>
      <c r="Y15" s="3"/>
      <c r="Z15" s="23">
        <f t="shared" si="3"/>
        <v>0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collapsed="1" x14ac:dyDescent="0.25">
      <c r="A17" s="10"/>
      <c r="B17" s="26" t="s">
        <v>8</v>
      </c>
      <c r="C17" s="10"/>
      <c r="D17" s="4">
        <f>SUM(OSRRefD16x_0)</f>
        <v>11689.62</v>
      </c>
      <c r="E17" s="4"/>
      <c r="F17" s="11">
        <f t="shared" ref="F17:F19" si="4">IF(D$12=0,0,D17/D$12)</f>
        <v>0.60480486260290822</v>
      </c>
      <c r="G17" s="4"/>
      <c r="H17" s="4">
        <f>SUM(OSRRefH16x_0)</f>
        <v>0</v>
      </c>
      <c r="I17" s="4"/>
      <c r="J17" s="11">
        <f t="shared" ref="J17:J19" si="5">IF(H$12=0,0,H17/H$12)</f>
        <v>0</v>
      </c>
      <c r="K17" s="4"/>
      <c r="L17" s="4">
        <f t="shared" ref="L17:L19" si="6">+D17-H17</f>
        <v>11689.62</v>
      </c>
      <c r="M17" s="4"/>
      <c r="N17" s="11">
        <f t="shared" ref="N17:N19" si="7">IF(H17=0,0,L17/H17)</f>
        <v>0</v>
      </c>
      <c r="O17" s="10"/>
      <c r="P17" s="4">
        <f>SUM(OSRRefP16x_0)</f>
        <v>11689.62</v>
      </c>
      <c r="Q17" s="4"/>
      <c r="R17" s="11">
        <f t="shared" ref="R17:R19" si="8">IF(P$12=0,0,P17/P$12)</f>
        <v>0.60480486260290822</v>
      </c>
      <c r="S17" s="4"/>
      <c r="T17" s="4">
        <f>SUM(OSRRefT16x_0)</f>
        <v>0</v>
      </c>
      <c r="U17" s="4"/>
      <c r="V17" s="11">
        <f t="shared" ref="V17:V19" si="9">IF(T$12=0,0,T17/T$12)</f>
        <v>0</v>
      </c>
      <c r="W17" s="4"/>
      <c r="X17" s="4">
        <f t="shared" ref="X17:X19" si="10">+P17-T17</f>
        <v>11689.62</v>
      </c>
      <c r="Y17" s="4"/>
      <c r="Z17" s="11">
        <f t="shared" ref="Z17:Z19" si="11">IF(T17=0,0,X17/T17)</f>
        <v>0</v>
      </c>
    </row>
    <row r="18" spans="1:26" s="24" customFormat="1" hidden="1" outlineLevel="1" x14ac:dyDescent="0.25">
      <c r="A18" s="51"/>
      <c r="B18" s="12" t="str">
        <f>CONCATENATE("          ", "5053", " - ", "PURCHASES @ COST-FOOD")</f>
        <v xml:space="preserve">          5053 - PURCHASES @ COST-FOOD</v>
      </c>
      <c r="C18" s="12"/>
      <c r="D18" s="3">
        <v>8280.6200000000008</v>
      </c>
      <c r="E18" s="3"/>
      <c r="F18" s="23">
        <f t="shared" si="4"/>
        <v>0.42842789084391913</v>
      </c>
      <c r="G18" s="3"/>
      <c r="H18" s="3"/>
      <c r="I18" s="3"/>
      <c r="J18" s="23">
        <f t="shared" si="5"/>
        <v>0</v>
      </c>
      <c r="K18" s="3"/>
      <c r="L18" s="3">
        <f t="shared" si="6"/>
        <v>8280.6200000000008</v>
      </c>
      <c r="M18" s="3"/>
      <c r="N18" s="23">
        <f t="shared" si="7"/>
        <v>0</v>
      </c>
      <c r="O18" s="12"/>
      <c r="P18" s="3">
        <v>8280.6200000000008</v>
      </c>
      <c r="Q18" s="3"/>
      <c r="R18" s="23">
        <f t="shared" si="8"/>
        <v>0.42842789084391913</v>
      </c>
      <c r="S18" s="3"/>
      <c r="T18" s="3"/>
      <c r="U18" s="3"/>
      <c r="V18" s="23">
        <f t="shared" si="9"/>
        <v>0</v>
      </c>
      <c r="W18" s="3"/>
      <c r="X18" s="3">
        <f t="shared" si="10"/>
        <v>8280.6200000000008</v>
      </c>
      <c r="Y18" s="3"/>
      <c r="Z18" s="23">
        <f t="shared" si="11"/>
        <v>0</v>
      </c>
    </row>
    <row r="19" spans="1:26" s="24" customFormat="1" hidden="1" outlineLevel="1" x14ac:dyDescent="0.25">
      <c r="A19" s="51"/>
      <c r="B19" s="12" t="str">
        <f>CONCATENATE("          ", "5059", " - ", "PURCHASES @ COST-FOOD")</f>
        <v xml:space="preserve">          5059 - PURCHASES @ COST-FOOD</v>
      </c>
      <c r="C19" s="12"/>
      <c r="D19" s="3">
        <v>3409</v>
      </c>
      <c r="E19" s="3"/>
      <c r="F19" s="23">
        <f t="shared" si="4"/>
        <v>0.17637697175898909</v>
      </c>
      <c r="G19" s="3"/>
      <c r="H19" s="3"/>
      <c r="I19" s="3"/>
      <c r="J19" s="23">
        <f t="shared" si="5"/>
        <v>0</v>
      </c>
      <c r="K19" s="3"/>
      <c r="L19" s="3">
        <f t="shared" si="6"/>
        <v>3409</v>
      </c>
      <c r="M19" s="3"/>
      <c r="N19" s="23">
        <f t="shared" si="7"/>
        <v>0</v>
      </c>
      <c r="O19" s="12"/>
      <c r="P19" s="3">
        <v>3409</v>
      </c>
      <c r="Q19" s="3"/>
      <c r="R19" s="23">
        <f t="shared" si="8"/>
        <v>0.17637697175898909</v>
      </c>
      <c r="S19" s="3"/>
      <c r="T19" s="3"/>
      <c r="U19" s="3"/>
      <c r="V19" s="23">
        <f t="shared" si="9"/>
        <v>0</v>
      </c>
      <c r="W19" s="3"/>
      <c r="X19" s="3">
        <f t="shared" si="10"/>
        <v>3409</v>
      </c>
      <c r="Y19" s="3"/>
      <c r="Z19" s="23">
        <f t="shared" si="11"/>
        <v>0</v>
      </c>
    </row>
    <row r="20" spans="1:26" x14ac:dyDescent="0.25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2" customFormat="1" x14ac:dyDescent="0.25">
      <c r="A21" s="10"/>
      <c r="B21" s="25" t="s">
        <v>6</v>
      </c>
      <c r="C21" s="25"/>
      <c r="D21" s="21">
        <f>D12-D17</f>
        <v>7638.2999999999975</v>
      </c>
      <c r="E21" s="13"/>
      <c r="F21" s="20">
        <f>IF(D$12=0,0,D21/D$12)</f>
        <v>0.39519513739709178</v>
      </c>
      <c r="G21" s="13"/>
      <c r="H21" s="21">
        <f>H12-H17</f>
        <v>0</v>
      </c>
      <c r="I21" s="13"/>
      <c r="J21" s="20">
        <f>IF(H$12=0,0,H21/H$12)</f>
        <v>0</v>
      </c>
      <c r="K21" s="15"/>
      <c r="L21" s="21">
        <f>+D21-H21</f>
        <v>7638.2999999999975</v>
      </c>
      <c r="M21" s="15"/>
      <c r="N21" s="20">
        <f>IF(H21=0,0,L21/H21)</f>
        <v>0</v>
      </c>
      <c r="O21" s="26"/>
      <c r="P21" s="21">
        <f>P12-P17</f>
        <v>7638.2999999999975</v>
      </c>
      <c r="Q21" s="13"/>
      <c r="R21" s="20">
        <f>IF(P$12=0,0,P21/P$12)</f>
        <v>0.39519513739709178</v>
      </c>
      <c r="S21" s="13"/>
      <c r="T21" s="21">
        <f>T12-T17</f>
        <v>0</v>
      </c>
      <c r="U21" s="13"/>
      <c r="V21" s="20">
        <f>IF(T$12=0,0,T21/T$12)</f>
        <v>0</v>
      </c>
      <c r="W21" s="15"/>
      <c r="X21" s="21">
        <f>+P21-T21</f>
        <v>7638.2999999999975</v>
      </c>
      <c r="Y21" s="15"/>
      <c r="Z21" s="20">
        <f>IF(T21=0,0,X21/T21)</f>
        <v>0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2" customFormat="1" x14ac:dyDescent="0.25">
      <c r="A23" s="10"/>
      <c r="B23" s="26" t="s">
        <v>9</v>
      </c>
      <c r="C23" s="10"/>
      <c r="D23" s="19">
        <f>SUM(OSRRefD22x_0)</f>
        <v>185970</v>
      </c>
      <c r="E23" s="19"/>
      <c r="F23" s="31">
        <f t="shared" ref="F23:F34" si="12">IF(D$12=0,0,D23/D$12)</f>
        <v>9.6218320440068048</v>
      </c>
      <c r="G23" s="19"/>
      <c r="H23" s="19">
        <f>SUM(OSRRefH22x_0)</f>
        <v>294669.70411390759</v>
      </c>
      <c r="I23" s="19"/>
      <c r="J23" s="31">
        <f t="shared" ref="J23:J34" si="13">IF(H$12=0,0,H23/H$12)</f>
        <v>0</v>
      </c>
      <c r="K23" s="4"/>
      <c r="L23" s="19">
        <f t="shared" ref="L23:L34" si="14">+D23-H23</f>
        <v>-108699.70411390759</v>
      </c>
      <c r="M23" s="4"/>
      <c r="N23" s="31">
        <f t="shared" ref="N23:N34" si="15">IF(H23=0,0,L23/H23)</f>
        <v>-0.36888659606448243</v>
      </c>
      <c r="O23" s="10"/>
      <c r="P23" s="19">
        <f>SUM(OSRRefP22x_0)</f>
        <v>185970</v>
      </c>
      <c r="Q23" s="19"/>
      <c r="R23" s="31">
        <f t="shared" ref="R23:R34" si="16">IF(P$12=0,0,P23/P$12)</f>
        <v>9.6218320440068048</v>
      </c>
      <c r="S23" s="19"/>
      <c r="T23" s="19">
        <f>SUM(OSRRefT22x_0)</f>
        <v>294669.70411390759</v>
      </c>
      <c r="U23" s="19"/>
      <c r="V23" s="31">
        <f t="shared" ref="V23:V34" si="17">IF(T$12=0,0,T23/T$12)</f>
        <v>0</v>
      </c>
      <c r="W23" s="4"/>
      <c r="X23" s="19">
        <f t="shared" ref="X23:X34" si="18">+P23-T23</f>
        <v>-108699.70411390759</v>
      </c>
      <c r="Y23" s="4"/>
      <c r="Z23" s="31">
        <f t="shared" ref="Z23:Z34" si="19">IF(T23=0,0,X23/T23)</f>
        <v>-0.36888659606448243</v>
      </c>
    </row>
    <row r="24" spans="1:26" s="29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71541.810000000012</v>
      </c>
      <c r="E24" s="1"/>
      <c r="F24" s="5">
        <f t="shared" si="12"/>
        <v>3.7014748612370094</v>
      </c>
      <c r="G24" s="1"/>
      <c r="H24" s="1">
        <f>SUM(OSRRefH22_0x_0)</f>
        <v>111145.98979083069</v>
      </c>
      <c r="I24" s="1"/>
      <c r="J24" s="5">
        <f t="shared" si="13"/>
        <v>0</v>
      </c>
      <c r="K24" s="1"/>
      <c r="L24" s="1">
        <f t="shared" si="14"/>
        <v>-39604.179790830676</v>
      </c>
      <c r="M24" s="1"/>
      <c r="N24" s="5">
        <f t="shared" si="15"/>
        <v>-0.35632576456751242</v>
      </c>
      <c r="O24" s="14"/>
      <c r="P24" s="1">
        <f>SUM(OSRRefP22_0x_0)</f>
        <v>71541.810000000012</v>
      </c>
      <c r="Q24" s="1"/>
      <c r="R24" s="5">
        <f t="shared" si="16"/>
        <v>3.7014748612370094</v>
      </c>
      <c r="S24" s="1"/>
      <c r="T24" s="1">
        <f>SUM(OSRRefT22_0x_0)</f>
        <v>111145.98979083069</v>
      </c>
      <c r="U24" s="1"/>
      <c r="V24" s="5">
        <f t="shared" si="17"/>
        <v>0</v>
      </c>
      <c r="W24" s="1"/>
      <c r="X24" s="1">
        <f t="shared" si="18"/>
        <v>-39604.179790830676</v>
      </c>
      <c r="Y24" s="1"/>
      <c r="Z24" s="5">
        <f t="shared" si="19"/>
        <v>-0.35632576456751242</v>
      </c>
    </row>
    <row r="25" spans="1:26" s="24" customFormat="1" hidden="1" outlineLevel="2" x14ac:dyDescent="0.25">
      <c r="A25" s="27"/>
      <c r="B25" s="12" t="str">
        <f>CONCATENATE("          ", "6111", " - ", "F.I.C.A.")</f>
        <v xml:space="preserve">          6111 - F.I.C.A.</v>
      </c>
      <c r="C25" s="12"/>
      <c r="D25" s="7">
        <v>6400.51</v>
      </c>
      <c r="E25" s="3"/>
      <c r="F25" s="8">
        <f t="shared" si="12"/>
        <v>0.33115358507278592</v>
      </c>
      <c r="G25" s="3"/>
      <c r="H25" s="7">
        <v>11479.413815446149</v>
      </c>
      <c r="I25" s="3"/>
      <c r="J25" s="8">
        <f t="shared" si="13"/>
        <v>0</v>
      </c>
      <c r="K25" s="3"/>
      <c r="L25" s="7">
        <f t="shared" si="14"/>
        <v>-5078.9038154461487</v>
      </c>
      <c r="M25" s="3"/>
      <c r="N25" s="8">
        <f t="shared" si="15"/>
        <v>-0.44243581572189855</v>
      </c>
      <c r="O25" s="12"/>
      <c r="P25" s="7">
        <v>6400.51</v>
      </c>
      <c r="Q25" s="3"/>
      <c r="R25" s="8">
        <f t="shared" si="16"/>
        <v>0.33115358507278592</v>
      </c>
      <c r="S25" s="3"/>
      <c r="T25" s="7">
        <v>11479.413815446149</v>
      </c>
      <c r="U25" s="3"/>
      <c r="V25" s="8">
        <f t="shared" si="17"/>
        <v>0</v>
      </c>
      <c r="W25" s="3"/>
      <c r="X25" s="7">
        <f t="shared" si="18"/>
        <v>-5078.9038154461487</v>
      </c>
      <c r="Y25" s="3"/>
      <c r="Z25" s="8">
        <f t="shared" si="19"/>
        <v>-0.44243581572189855</v>
      </c>
    </row>
    <row r="26" spans="1:26" s="24" customFormat="1" hidden="1" outlineLevel="2" x14ac:dyDescent="0.25">
      <c r="A26" s="27"/>
      <c r="B26" s="12" t="str">
        <f>CONCATENATE("          ", "6112", " - ", "COMPENSATION INSURANCE")</f>
        <v xml:space="preserve">          6112 - COMPENSATION INSURANCE</v>
      </c>
      <c r="C26" s="12"/>
      <c r="D26" s="7">
        <v>3571.21</v>
      </c>
      <c r="E26" s="3"/>
      <c r="F26" s="8">
        <f t="shared" si="12"/>
        <v>0.18476949407903182</v>
      </c>
      <c r="G26" s="3"/>
      <c r="H26" s="7">
        <v>6434.9516880000001</v>
      </c>
      <c r="I26" s="3"/>
      <c r="J26" s="8">
        <f t="shared" si="13"/>
        <v>0</v>
      </c>
      <c r="K26" s="3"/>
      <c r="L26" s="7">
        <f t="shared" si="14"/>
        <v>-2863.7416880000001</v>
      </c>
      <c r="M26" s="3"/>
      <c r="N26" s="8">
        <f t="shared" si="15"/>
        <v>-0.44502924448373887</v>
      </c>
      <c r="O26" s="12"/>
      <c r="P26" s="7">
        <v>3571.21</v>
      </c>
      <c r="Q26" s="3"/>
      <c r="R26" s="8">
        <f t="shared" si="16"/>
        <v>0.18476949407903182</v>
      </c>
      <c r="S26" s="3"/>
      <c r="T26" s="7">
        <v>6434.9516880000001</v>
      </c>
      <c r="U26" s="3"/>
      <c r="V26" s="8">
        <f t="shared" si="17"/>
        <v>0</v>
      </c>
      <c r="W26" s="3"/>
      <c r="X26" s="7">
        <f t="shared" si="18"/>
        <v>-2863.7416880000001</v>
      </c>
      <c r="Y26" s="3"/>
      <c r="Z26" s="8">
        <f t="shared" si="19"/>
        <v>-0.44502924448373887</v>
      </c>
    </row>
    <row r="27" spans="1:26" s="24" customFormat="1" hidden="1" outlineLevel="2" x14ac:dyDescent="0.25">
      <c r="A27" s="27"/>
      <c r="B27" s="12" t="str">
        <f>CONCATENATE("          ", "6113", " - ", "GROUP INSURANCE")</f>
        <v xml:space="preserve">          6113 - GROUP INSURANCE</v>
      </c>
      <c r="C27" s="12"/>
      <c r="D27" s="7">
        <v>41691.089999999997</v>
      </c>
      <c r="E27" s="3"/>
      <c r="F27" s="8">
        <f t="shared" si="12"/>
        <v>2.1570396607601854</v>
      </c>
      <c r="G27" s="3"/>
      <c r="H27" s="7">
        <v>69691.538461538395</v>
      </c>
      <c r="I27" s="3"/>
      <c r="J27" s="8">
        <f t="shared" si="13"/>
        <v>0</v>
      </c>
      <c r="K27" s="3"/>
      <c r="L27" s="7">
        <f t="shared" si="14"/>
        <v>-28000.448461538399</v>
      </c>
      <c r="M27" s="3"/>
      <c r="N27" s="8">
        <f t="shared" si="15"/>
        <v>-0.40177687391693012</v>
      </c>
      <c r="O27" s="12"/>
      <c r="P27" s="7">
        <v>41691.089999999997</v>
      </c>
      <c r="Q27" s="3"/>
      <c r="R27" s="8">
        <f t="shared" si="16"/>
        <v>2.1570396607601854</v>
      </c>
      <c r="S27" s="3"/>
      <c r="T27" s="7">
        <v>69691.538461538395</v>
      </c>
      <c r="U27" s="3"/>
      <c r="V27" s="8">
        <f t="shared" si="17"/>
        <v>0</v>
      </c>
      <c r="W27" s="3"/>
      <c r="X27" s="7">
        <f t="shared" si="18"/>
        <v>-28000.448461538399</v>
      </c>
      <c r="Y27" s="3"/>
      <c r="Z27" s="8">
        <f t="shared" si="19"/>
        <v>-0.40177687391693012</v>
      </c>
    </row>
    <row r="28" spans="1:26" s="24" customFormat="1" hidden="1" outlineLevel="2" x14ac:dyDescent="0.25">
      <c r="A28" s="27"/>
      <c r="B28" s="12" t="str">
        <f>CONCATENATE("          ", "6114", " - ", "STATE UNEMPLOYMENT INSURANCE")</f>
        <v xml:space="preserve">          6114 - STATE UNEMPLOYMENT INSURANCE</v>
      </c>
      <c r="C28" s="12"/>
      <c r="D28" s="7">
        <v>292.62</v>
      </c>
      <c r="E28" s="3"/>
      <c r="F28" s="8">
        <f t="shared" si="12"/>
        <v>1.5139756373163797E-2</v>
      </c>
      <c r="G28" s="3"/>
      <c r="H28" s="7">
        <v>389.997072</v>
      </c>
      <c r="I28" s="3"/>
      <c r="J28" s="8">
        <f t="shared" si="13"/>
        <v>0</v>
      </c>
      <c r="K28" s="3"/>
      <c r="L28" s="7">
        <f t="shared" si="14"/>
        <v>-97.377071999999998</v>
      </c>
      <c r="M28" s="3"/>
      <c r="N28" s="8">
        <f t="shared" si="15"/>
        <v>-0.24968667457072599</v>
      </c>
      <c r="O28" s="12"/>
      <c r="P28" s="7">
        <v>292.62</v>
      </c>
      <c r="Q28" s="3"/>
      <c r="R28" s="8">
        <f t="shared" si="16"/>
        <v>1.5139756373163797E-2</v>
      </c>
      <c r="S28" s="3"/>
      <c r="T28" s="7">
        <v>389.997072</v>
      </c>
      <c r="U28" s="3"/>
      <c r="V28" s="8">
        <f t="shared" si="17"/>
        <v>0</v>
      </c>
      <c r="W28" s="3"/>
      <c r="X28" s="7">
        <f t="shared" si="18"/>
        <v>-97.377071999999998</v>
      </c>
      <c r="Y28" s="3"/>
      <c r="Z28" s="8">
        <f t="shared" si="19"/>
        <v>-0.24968667457072599</v>
      </c>
    </row>
    <row r="29" spans="1:26" s="24" customFormat="1" hidden="1" outlineLevel="2" x14ac:dyDescent="0.25">
      <c r="A29" s="27"/>
      <c r="B29" s="12" t="str">
        <f>CONCATENATE("          ", "6115", " - ", "P.E.R.S.")</f>
        <v xml:space="preserve">          6115 - P.E.R.S.</v>
      </c>
      <c r="C29" s="12"/>
      <c r="D29" s="7">
        <v>5377.76</v>
      </c>
      <c r="E29" s="3"/>
      <c r="F29" s="8">
        <f t="shared" si="12"/>
        <v>0.27823790661385189</v>
      </c>
      <c r="G29" s="3"/>
      <c r="H29" s="7">
        <v>5753.9292307692394</v>
      </c>
      <c r="I29" s="3"/>
      <c r="J29" s="8">
        <f t="shared" si="13"/>
        <v>0</v>
      </c>
      <c r="K29" s="3"/>
      <c r="L29" s="7">
        <f t="shared" si="14"/>
        <v>-376.16923076923922</v>
      </c>
      <c r="M29" s="3"/>
      <c r="N29" s="8">
        <f t="shared" si="15"/>
        <v>-6.5376061415157408E-2</v>
      </c>
      <c r="O29" s="12"/>
      <c r="P29" s="7">
        <v>5377.76</v>
      </c>
      <c r="Q29" s="3"/>
      <c r="R29" s="8">
        <f t="shared" si="16"/>
        <v>0.27823790661385189</v>
      </c>
      <c r="S29" s="3"/>
      <c r="T29" s="7">
        <v>5753.9292307692394</v>
      </c>
      <c r="U29" s="3"/>
      <c r="V29" s="8">
        <f t="shared" si="17"/>
        <v>0</v>
      </c>
      <c r="W29" s="3"/>
      <c r="X29" s="7">
        <f t="shared" si="18"/>
        <v>-376.16923076923922</v>
      </c>
      <c r="Y29" s="3"/>
      <c r="Z29" s="8">
        <f t="shared" si="19"/>
        <v>-6.5376061415157408E-2</v>
      </c>
    </row>
    <row r="30" spans="1:26" s="24" customFormat="1" hidden="1" outlineLevel="2" x14ac:dyDescent="0.25">
      <c r="A30" s="27"/>
      <c r="B30" s="12" t="str">
        <f>CONCATENATE("          ", "6116", " - ", "EDUCATIONAL BENEFITS")</f>
        <v xml:space="preserve">          6116 - EDUCATIONAL BENEFITS</v>
      </c>
      <c r="C30" s="12"/>
      <c r="D30" s="7"/>
      <c r="E30" s="3"/>
      <c r="F30" s="8">
        <f t="shared" si="12"/>
        <v>0</v>
      </c>
      <c r="G30" s="3"/>
      <c r="H30" s="7">
        <v>0</v>
      </c>
      <c r="I30" s="3"/>
      <c r="J30" s="8">
        <f t="shared" si="13"/>
        <v>0</v>
      </c>
      <c r="K30" s="3"/>
      <c r="L30" s="7">
        <f t="shared" si="14"/>
        <v>0</v>
      </c>
      <c r="M30" s="3"/>
      <c r="N30" s="8">
        <f t="shared" si="15"/>
        <v>0</v>
      </c>
      <c r="O30" s="12"/>
      <c r="P30" s="7"/>
      <c r="Q30" s="3"/>
      <c r="R30" s="8">
        <f t="shared" si="16"/>
        <v>0</v>
      </c>
      <c r="S30" s="3"/>
      <c r="T30" s="7">
        <v>0</v>
      </c>
      <c r="U30" s="3"/>
      <c r="V30" s="8">
        <f t="shared" si="17"/>
        <v>0</v>
      </c>
      <c r="W30" s="3"/>
      <c r="X30" s="7">
        <f t="shared" si="18"/>
        <v>0</v>
      </c>
      <c r="Y30" s="3"/>
      <c r="Z30" s="8">
        <f t="shared" si="19"/>
        <v>0</v>
      </c>
    </row>
    <row r="31" spans="1:26" s="24" customFormat="1" hidden="1" outlineLevel="2" x14ac:dyDescent="0.25">
      <c r="A31" s="27"/>
      <c r="B31" s="12" t="str">
        <f>CONCATENATE("          ", "6117", " - ", "RETIREMENT STAFF HOURLY")</f>
        <v xml:space="preserve">          6117 - RETIREMENT STAFF HOURLY</v>
      </c>
      <c r="C31" s="12"/>
      <c r="D31" s="7">
        <v>1969.14</v>
      </c>
      <c r="E31" s="3"/>
      <c r="F31" s="8">
        <f t="shared" si="12"/>
        <v>0.10188059553226629</v>
      </c>
      <c r="G31" s="3"/>
      <c r="H31" s="7"/>
      <c r="I31" s="3"/>
      <c r="J31" s="8">
        <f t="shared" si="13"/>
        <v>0</v>
      </c>
      <c r="K31" s="3"/>
      <c r="L31" s="7">
        <f t="shared" si="14"/>
        <v>1969.14</v>
      </c>
      <c r="M31" s="3"/>
      <c r="N31" s="8">
        <f t="shared" si="15"/>
        <v>0</v>
      </c>
      <c r="O31" s="12"/>
      <c r="P31" s="7">
        <v>1969.14</v>
      </c>
      <c r="Q31" s="3"/>
      <c r="R31" s="8">
        <f t="shared" si="16"/>
        <v>0.10188059553226629</v>
      </c>
      <c r="S31" s="3"/>
      <c r="T31" s="7"/>
      <c r="U31" s="3"/>
      <c r="V31" s="8">
        <f t="shared" si="17"/>
        <v>0</v>
      </c>
      <c r="W31" s="3"/>
      <c r="X31" s="7">
        <f t="shared" si="18"/>
        <v>1969.14</v>
      </c>
      <c r="Y31" s="3"/>
      <c r="Z31" s="8">
        <f t="shared" si="19"/>
        <v>0</v>
      </c>
    </row>
    <row r="32" spans="1:26" s="24" customFormat="1" hidden="1" outlineLevel="2" x14ac:dyDescent="0.25">
      <c r="A32" s="27"/>
      <c r="B32" s="12" t="str">
        <f>CONCATENATE("          ", "6118", " - ", "VACATION")</f>
        <v xml:space="preserve">          6118 - VACATION</v>
      </c>
      <c r="C32" s="12"/>
      <c r="D32" s="7">
        <v>5452.12</v>
      </c>
      <c r="E32" s="3"/>
      <c r="F32" s="8">
        <f t="shared" si="12"/>
        <v>0.28208519074996175</v>
      </c>
      <c r="G32" s="3"/>
      <c r="H32" s="7">
        <v>8445.1098461538404</v>
      </c>
      <c r="I32" s="3"/>
      <c r="J32" s="8">
        <f t="shared" si="13"/>
        <v>0</v>
      </c>
      <c r="K32" s="3"/>
      <c r="L32" s="7">
        <f t="shared" si="14"/>
        <v>-2992.9898461538405</v>
      </c>
      <c r="M32" s="3"/>
      <c r="N32" s="8">
        <f t="shared" si="15"/>
        <v>-0.35440508183761982</v>
      </c>
      <c r="O32" s="12"/>
      <c r="P32" s="7">
        <v>5452.12</v>
      </c>
      <c r="Q32" s="3"/>
      <c r="R32" s="8">
        <f t="shared" si="16"/>
        <v>0.28208519074996175</v>
      </c>
      <c r="S32" s="3"/>
      <c r="T32" s="7">
        <v>8445.1098461538404</v>
      </c>
      <c r="U32" s="3"/>
      <c r="V32" s="8">
        <f t="shared" si="17"/>
        <v>0</v>
      </c>
      <c r="W32" s="3"/>
      <c r="X32" s="7">
        <f t="shared" si="18"/>
        <v>-2992.9898461538405</v>
      </c>
      <c r="Y32" s="3"/>
      <c r="Z32" s="8">
        <f t="shared" si="19"/>
        <v>-0.35440508183761982</v>
      </c>
    </row>
    <row r="33" spans="1:26" s="24" customFormat="1" hidden="1" outlineLevel="2" x14ac:dyDescent="0.25">
      <c r="A33" s="27"/>
      <c r="B33" s="12" t="str">
        <f>CONCATENATE("          ", "6119", " - ", "SICK LEAVE")</f>
        <v xml:space="preserve">          6119 - SICK LEAVE</v>
      </c>
      <c r="C33" s="12"/>
      <c r="D33" s="7">
        <v>4078.56</v>
      </c>
      <c r="E33" s="3"/>
      <c r="F33" s="8">
        <f t="shared" si="12"/>
        <v>0.2110190853438963</v>
      </c>
      <c r="G33" s="3"/>
      <c r="H33" s="7">
        <v>5276.0496769230704</v>
      </c>
      <c r="I33" s="3"/>
      <c r="J33" s="8">
        <f t="shared" si="13"/>
        <v>0</v>
      </c>
      <c r="K33" s="3"/>
      <c r="L33" s="7">
        <f t="shared" si="14"/>
        <v>-1197.4896769230704</v>
      </c>
      <c r="M33" s="3"/>
      <c r="N33" s="8">
        <f t="shared" si="15"/>
        <v>-0.22696709664444104</v>
      </c>
      <c r="O33" s="12"/>
      <c r="P33" s="7">
        <v>4078.56</v>
      </c>
      <c r="Q33" s="3"/>
      <c r="R33" s="8">
        <f t="shared" si="16"/>
        <v>0.2110190853438963</v>
      </c>
      <c r="S33" s="3"/>
      <c r="T33" s="7">
        <v>5276.0496769230704</v>
      </c>
      <c r="U33" s="3"/>
      <c r="V33" s="8">
        <f t="shared" si="17"/>
        <v>0</v>
      </c>
      <c r="W33" s="3"/>
      <c r="X33" s="7">
        <f t="shared" si="18"/>
        <v>-1197.4896769230704</v>
      </c>
      <c r="Y33" s="3"/>
      <c r="Z33" s="8">
        <f t="shared" si="19"/>
        <v>-0.22696709664444104</v>
      </c>
    </row>
    <row r="34" spans="1:26" s="24" customFormat="1" hidden="1" outlineLevel="2" x14ac:dyDescent="0.25">
      <c r="A34" s="27"/>
      <c r="B34" s="12" t="str">
        <f>CONCATENATE("          ", "6156", " - ", "EMPLOYEE MEALS")</f>
        <v xml:space="preserve">          6156 - EMPLOYEE MEALS</v>
      </c>
      <c r="C34" s="12"/>
      <c r="D34" s="7">
        <v>2708.8</v>
      </c>
      <c r="E34" s="3"/>
      <c r="F34" s="8">
        <f t="shared" si="12"/>
        <v>0.14014958671186556</v>
      </c>
      <c r="G34" s="3"/>
      <c r="H34" s="7">
        <v>3675</v>
      </c>
      <c r="I34" s="3"/>
      <c r="J34" s="8">
        <f t="shared" si="13"/>
        <v>0</v>
      </c>
      <c r="K34" s="3"/>
      <c r="L34" s="7">
        <f t="shared" si="14"/>
        <v>-966.19999999999982</v>
      </c>
      <c r="M34" s="3"/>
      <c r="N34" s="8">
        <f t="shared" si="15"/>
        <v>-0.2629115646258503</v>
      </c>
      <c r="O34" s="12"/>
      <c r="P34" s="7">
        <v>2708.8</v>
      </c>
      <c r="Q34" s="3"/>
      <c r="R34" s="8">
        <f t="shared" si="16"/>
        <v>0.14014958671186556</v>
      </c>
      <c r="S34" s="3"/>
      <c r="T34" s="7">
        <v>3675</v>
      </c>
      <c r="U34" s="3"/>
      <c r="V34" s="8">
        <f t="shared" si="17"/>
        <v>0</v>
      </c>
      <c r="W34" s="3"/>
      <c r="X34" s="7">
        <f t="shared" si="18"/>
        <v>-966.19999999999982</v>
      </c>
      <c r="Y34" s="3"/>
      <c r="Z34" s="8">
        <f t="shared" si="19"/>
        <v>-0.2629115646258503</v>
      </c>
    </row>
    <row r="35" spans="1:26" s="29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86997.56</v>
      </c>
      <c r="E35" s="1"/>
      <c r="F35" s="5">
        <f t="shared" ref="F35:F45" si="20">IF(D$12=0,0,D35/D$12)</f>
        <v>4.5011341106544318</v>
      </c>
      <c r="G35" s="1"/>
      <c r="H35" s="1">
        <f>SUM(OSRRefH22_1x_0)</f>
        <v>136277.71432307689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-49280.154323076888</v>
      </c>
      <c r="M35" s="1"/>
      <c r="N35" s="5">
        <f t="shared" ref="N35:N45" si="23">IF(H35=0,0,L35/H35)</f>
        <v>-0.36161565056959516</v>
      </c>
      <c r="O35" s="14"/>
      <c r="P35" s="1">
        <f>SUM(OSRRefP22_1x_0)</f>
        <v>86997.56</v>
      </c>
      <c r="Q35" s="1"/>
      <c r="R35" s="5">
        <f t="shared" ref="R35:R45" si="24">IF(P$12=0,0,P35/P$12)</f>
        <v>4.5011341106544318</v>
      </c>
      <c r="S35" s="1"/>
      <c r="T35" s="1">
        <f>SUM(OSRRefT22_1x_0)</f>
        <v>136277.71432307689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-49280.154323076888</v>
      </c>
      <c r="Y35" s="1"/>
      <c r="Z35" s="5">
        <f t="shared" ref="Z35:Z45" si="27">IF(T35=0,0,X35/T35)</f>
        <v>-0.36161565056959516</v>
      </c>
    </row>
    <row r="36" spans="1:26" s="24" customFormat="1" hidden="1" outlineLevel="2" x14ac:dyDescent="0.25">
      <c r="A36" s="27"/>
      <c r="B36" s="12" t="str">
        <f>CONCATENATE("          ", "6001", " - ", "ADMINISTRATIVE SALARIES")</f>
        <v xml:space="preserve">          6001 - ADMINISTRATIVE SALARIES</v>
      </c>
      <c r="C36" s="12"/>
      <c r="D36" s="7">
        <v>11199.54</v>
      </c>
      <c r="E36" s="3"/>
      <c r="F36" s="8">
        <f t="shared" si="20"/>
        <v>0.57944879738740651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11199.54</v>
      </c>
      <c r="M36" s="3"/>
      <c r="N36" s="8">
        <f t="shared" si="23"/>
        <v>0</v>
      </c>
      <c r="O36" s="12"/>
      <c r="P36" s="7">
        <v>11199.54</v>
      </c>
      <c r="Q36" s="3"/>
      <c r="R36" s="8">
        <f t="shared" si="24"/>
        <v>0.57944879738740651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11199.54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"6002", " - ", "STAFF SALARIES")</f>
        <v xml:space="preserve">          6002 - STAFF SALARIES</v>
      </c>
      <c r="C37" s="12"/>
      <c r="D37" s="7">
        <v>34236.54</v>
      </c>
      <c r="E37" s="3"/>
      <c r="F37" s="8">
        <f t="shared" si="20"/>
        <v>1.7713514956601644</v>
      </c>
      <c r="G37" s="3"/>
      <c r="H37" s="7">
        <v>60354.651923076897</v>
      </c>
      <c r="I37" s="3"/>
      <c r="J37" s="8">
        <f t="shared" si="21"/>
        <v>0</v>
      </c>
      <c r="K37" s="3"/>
      <c r="L37" s="7">
        <f t="shared" si="22"/>
        <v>-26118.111923076896</v>
      </c>
      <c r="M37" s="3"/>
      <c r="N37" s="8">
        <f t="shared" si="23"/>
        <v>-0.43274397400824888</v>
      </c>
      <c r="O37" s="12"/>
      <c r="P37" s="7">
        <v>34236.54</v>
      </c>
      <c r="Q37" s="3"/>
      <c r="R37" s="8">
        <f t="shared" si="24"/>
        <v>1.7713514956601644</v>
      </c>
      <c r="S37" s="3"/>
      <c r="T37" s="7">
        <v>60354.651923076897</v>
      </c>
      <c r="U37" s="3"/>
      <c r="V37" s="8">
        <f t="shared" si="25"/>
        <v>0</v>
      </c>
      <c r="W37" s="3"/>
      <c r="X37" s="7">
        <f t="shared" si="26"/>
        <v>-26118.111923076896</v>
      </c>
      <c r="Y37" s="3"/>
      <c r="Z37" s="8">
        <f t="shared" si="27"/>
        <v>-0.43274397400824888</v>
      </c>
    </row>
    <row r="38" spans="1:26" s="24" customFormat="1" hidden="1" outlineLevel="2" x14ac:dyDescent="0.25">
      <c r="A38" s="27"/>
      <c r="B38" s="12" t="str">
        <f>CONCATENATE("          ", "6003", " - ", "STAFF HOURLY-9 MONTH")</f>
        <v xml:space="preserve">          6003 - STAFF HOURLY-9 MONTH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"6004", " - ", "STAFF HOURLY")</f>
        <v xml:space="preserve">          6004 - STAFF HOURLY</v>
      </c>
      <c r="C39" s="12"/>
      <c r="D39" s="7">
        <v>33160.480000000003</v>
      </c>
      <c r="E39" s="3"/>
      <c r="F39" s="8">
        <f t="shared" si="20"/>
        <v>1.7156776311160231</v>
      </c>
      <c r="G39" s="3"/>
      <c r="H39" s="7">
        <v>75923.062399999995</v>
      </c>
      <c r="I39" s="3"/>
      <c r="J39" s="8">
        <f t="shared" si="21"/>
        <v>0</v>
      </c>
      <c r="K39" s="3"/>
      <c r="L39" s="7">
        <f t="shared" si="22"/>
        <v>-42762.582399999992</v>
      </c>
      <c r="M39" s="3"/>
      <c r="N39" s="8">
        <f t="shared" si="23"/>
        <v>-0.56323574218734351</v>
      </c>
      <c r="O39" s="12"/>
      <c r="P39" s="7">
        <v>33160.480000000003</v>
      </c>
      <c r="Q39" s="3"/>
      <c r="R39" s="8">
        <f t="shared" si="24"/>
        <v>1.7156776311160231</v>
      </c>
      <c r="S39" s="3"/>
      <c r="T39" s="7">
        <v>75923.062399999995</v>
      </c>
      <c r="U39" s="3"/>
      <c r="V39" s="8">
        <f t="shared" si="25"/>
        <v>0</v>
      </c>
      <c r="W39" s="3"/>
      <c r="X39" s="7">
        <f t="shared" si="26"/>
        <v>-42762.582399999992</v>
      </c>
      <c r="Y39" s="3"/>
      <c r="Z39" s="8">
        <f t="shared" si="27"/>
        <v>-0.56323574218734351</v>
      </c>
    </row>
    <row r="40" spans="1:26" s="24" customFormat="1" hidden="1" outlineLevel="2" x14ac:dyDescent="0.25">
      <c r="A40" s="27"/>
      <c r="B40" s="12" t="str">
        <f>CONCATENATE("          ", "6005", " - ", "TEMPORARY WAGES-HOURLY")</f>
        <v xml:space="preserve">          6005 - TEMPORARY WAGES-HOURLY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4" customFormat="1" hidden="1" outlineLevel="2" x14ac:dyDescent="0.25">
      <c r="A41" s="27"/>
      <c r="B41" s="12" t="str">
        <f>CONCATENATE("          ", "6006", " - ", "TEMPORARY PART TIME")</f>
        <v xml:space="preserve">          6006 - TEMPORARY PART TIME</v>
      </c>
      <c r="C41" s="12"/>
      <c r="D41" s="7"/>
      <c r="E41" s="3"/>
      <c r="F41" s="8">
        <f t="shared" si="20"/>
        <v>0</v>
      </c>
      <c r="G41" s="3"/>
      <c r="H41" s="7">
        <v>0</v>
      </c>
      <c r="I41" s="3"/>
      <c r="J41" s="8">
        <f t="shared" si="21"/>
        <v>0</v>
      </c>
      <c r="K41" s="3"/>
      <c r="L41" s="7">
        <f t="shared" si="22"/>
        <v>0</v>
      </c>
      <c r="M41" s="3"/>
      <c r="N41" s="8">
        <f t="shared" si="23"/>
        <v>0</v>
      </c>
      <c r="O41" s="12"/>
      <c r="P41" s="7"/>
      <c r="Q41" s="3"/>
      <c r="R41" s="8">
        <f t="shared" si="24"/>
        <v>0</v>
      </c>
      <c r="S41" s="3"/>
      <c r="T41" s="7">
        <v>0</v>
      </c>
      <c r="U41" s="3"/>
      <c r="V41" s="8">
        <f t="shared" si="25"/>
        <v>0</v>
      </c>
      <c r="W41" s="3"/>
      <c r="X41" s="7">
        <f t="shared" si="26"/>
        <v>0</v>
      </c>
      <c r="Y41" s="3"/>
      <c r="Z41" s="8">
        <f t="shared" si="27"/>
        <v>0</v>
      </c>
    </row>
    <row r="42" spans="1:26" s="24" customFormat="1" hidden="1" outlineLevel="2" x14ac:dyDescent="0.25">
      <c r="A42" s="27"/>
      <c r="B42" s="12" t="str">
        <f>CONCATENATE("          ", "6007", " - ", "STUDENT HOURLY")</f>
        <v xml:space="preserve">          6007 - STUDENT HOURLY</v>
      </c>
      <c r="C42" s="12"/>
      <c r="D42" s="7">
        <v>8401</v>
      </c>
      <c r="E42" s="3"/>
      <c r="F42" s="8">
        <f t="shared" si="20"/>
        <v>0.43465618649083815</v>
      </c>
      <c r="G42" s="3"/>
      <c r="H42" s="7">
        <v>0</v>
      </c>
      <c r="I42" s="3"/>
      <c r="J42" s="8">
        <f t="shared" si="21"/>
        <v>0</v>
      </c>
      <c r="K42" s="3"/>
      <c r="L42" s="7">
        <f t="shared" si="22"/>
        <v>8401</v>
      </c>
      <c r="M42" s="3"/>
      <c r="N42" s="8">
        <f t="shared" si="23"/>
        <v>0</v>
      </c>
      <c r="O42" s="12"/>
      <c r="P42" s="7">
        <v>8401</v>
      </c>
      <c r="Q42" s="3"/>
      <c r="R42" s="8">
        <f t="shared" si="24"/>
        <v>0.43465618649083815</v>
      </c>
      <c r="S42" s="3"/>
      <c r="T42" s="7">
        <v>0</v>
      </c>
      <c r="U42" s="3"/>
      <c r="V42" s="8">
        <f t="shared" si="25"/>
        <v>0</v>
      </c>
      <c r="W42" s="3"/>
      <c r="X42" s="7">
        <f t="shared" si="26"/>
        <v>8401</v>
      </c>
      <c r="Y42" s="3"/>
      <c r="Z42" s="8">
        <f t="shared" si="27"/>
        <v>0</v>
      </c>
    </row>
    <row r="43" spans="1:26" s="24" customFormat="1" hidden="1" outlineLevel="2" x14ac:dyDescent="0.25">
      <c r="A43" s="27"/>
      <c r="B43" s="12" t="str">
        <f>CONCATENATE("          ", "6008", " - ", "STUDENT HOURLY-FICA EXEMPT")</f>
        <v xml:space="preserve">          6008 - STUDENT HOURLY-FICA EXEMPT</v>
      </c>
      <c r="C43" s="12"/>
      <c r="D43" s="7"/>
      <c r="E43" s="3"/>
      <c r="F43" s="8">
        <f t="shared" si="20"/>
        <v>0</v>
      </c>
      <c r="G43" s="3"/>
      <c r="H43" s="7">
        <v>0</v>
      </c>
      <c r="I43" s="3"/>
      <c r="J43" s="8">
        <f t="shared" si="21"/>
        <v>0</v>
      </c>
      <c r="K43" s="3"/>
      <c r="L43" s="7">
        <f t="shared" si="22"/>
        <v>0</v>
      </c>
      <c r="M43" s="3"/>
      <c r="N43" s="8">
        <f t="shared" si="23"/>
        <v>0</v>
      </c>
      <c r="O43" s="12"/>
      <c r="P43" s="7"/>
      <c r="Q43" s="3"/>
      <c r="R43" s="8">
        <f t="shared" si="24"/>
        <v>0</v>
      </c>
      <c r="S43" s="3"/>
      <c r="T43" s="7">
        <v>0</v>
      </c>
      <c r="U43" s="3"/>
      <c r="V43" s="8">
        <f t="shared" si="25"/>
        <v>0</v>
      </c>
      <c r="W43" s="3"/>
      <c r="X43" s="7">
        <f t="shared" si="26"/>
        <v>0</v>
      </c>
      <c r="Y43" s="3"/>
      <c r="Z43" s="8">
        <f t="shared" si="27"/>
        <v>0</v>
      </c>
    </row>
    <row r="44" spans="1:26" s="24" customFormat="1" hidden="1" outlineLevel="2" x14ac:dyDescent="0.25">
      <c r="A44" s="27"/>
      <c r="B44" s="12" t="str">
        <f>CONCATENATE("          ", "6009", " - ", "TEMPORARY-SEASONAL")</f>
        <v xml:space="preserve">          6009 - TEMPORARY-SEASONAL</v>
      </c>
      <c r="C44" s="12"/>
      <c r="D44" s="7"/>
      <c r="E44" s="3"/>
      <c r="F44" s="8">
        <f t="shared" si="20"/>
        <v>0</v>
      </c>
      <c r="G44" s="3"/>
      <c r="H44" s="7">
        <v>0</v>
      </c>
      <c r="I44" s="3"/>
      <c r="J44" s="8">
        <f t="shared" si="21"/>
        <v>0</v>
      </c>
      <c r="K44" s="3"/>
      <c r="L44" s="7">
        <f t="shared" si="22"/>
        <v>0</v>
      </c>
      <c r="M44" s="3"/>
      <c r="N44" s="8">
        <f t="shared" si="23"/>
        <v>0</v>
      </c>
      <c r="O44" s="12"/>
      <c r="P44" s="7"/>
      <c r="Q44" s="3"/>
      <c r="R44" s="8">
        <f t="shared" si="24"/>
        <v>0</v>
      </c>
      <c r="S44" s="3"/>
      <c r="T44" s="7">
        <v>0</v>
      </c>
      <c r="U44" s="3"/>
      <c r="V44" s="8">
        <f t="shared" si="25"/>
        <v>0</v>
      </c>
      <c r="W44" s="3"/>
      <c r="X44" s="7">
        <f t="shared" si="26"/>
        <v>0</v>
      </c>
      <c r="Y44" s="3"/>
      <c r="Z44" s="8">
        <f t="shared" si="27"/>
        <v>0</v>
      </c>
    </row>
    <row r="45" spans="1:26" s="24" customFormat="1" hidden="1" outlineLevel="2" x14ac:dyDescent="0.25">
      <c r="A45" s="27"/>
      <c r="B45" s="12" t="str">
        <f>CONCATENATE("          ", "6010", " - ", "GRATUITY")</f>
        <v xml:space="preserve">          6010 - GRATUITY</v>
      </c>
      <c r="C45" s="12"/>
      <c r="D45" s="7"/>
      <c r="E45" s="3"/>
      <c r="F45" s="8">
        <f t="shared" si="20"/>
        <v>0</v>
      </c>
      <c r="G45" s="3"/>
      <c r="H45" s="7">
        <v>0</v>
      </c>
      <c r="I45" s="3"/>
      <c r="J45" s="8">
        <f t="shared" si="21"/>
        <v>0</v>
      </c>
      <c r="K45" s="3"/>
      <c r="L45" s="7">
        <f t="shared" si="22"/>
        <v>0</v>
      </c>
      <c r="M45" s="3"/>
      <c r="N45" s="8">
        <f t="shared" si="23"/>
        <v>0</v>
      </c>
      <c r="O45" s="12"/>
      <c r="P45" s="7"/>
      <c r="Q45" s="3"/>
      <c r="R45" s="8">
        <f t="shared" si="24"/>
        <v>0</v>
      </c>
      <c r="S45" s="3"/>
      <c r="T45" s="7">
        <v>0</v>
      </c>
      <c r="U45" s="3"/>
      <c r="V45" s="8">
        <f t="shared" si="25"/>
        <v>0</v>
      </c>
      <c r="W45" s="3"/>
      <c r="X45" s="7">
        <f t="shared" si="26"/>
        <v>0</v>
      </c>
      <c r="Y45" s="3"/>
      <c r="Z45" s="8">
        <f t="shared" si="27"/>
        <v>0</v>
      </c>
    </row>
    <row r="46" spans="1:26" s="29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724.49</v>
      </c>
      <c r="E46" s="1"/>
      <c r="F46" s="5">
        <f t="shared" ref="F46:F67" si="28">IF(D$12=0,0,D46/D$12)</f>
        <v>3.7484116242202992E-2</v>
      </c>
      <c r="G46" s="1"/>
      <c r="H46" s="1">
        <f>SUM(OSRRefH22_2x_0)</f>
        <v>800</v>
      </c>
      <c r="I46" s="1"/>
      <c r="J46" s="5">
        <f t="shared" ref="J46:J67" si="29">IF(H$12=0,0,H46/H$12)</f>
        <v>0</v>
      </c>
      <c r="K46" s="1"/>
      <c r="L46" s="1">
        <f t="shared" ref="L46:L67" si="30">+D46-H46</f>
        <v>-75.509999999999991</v>
      </c>
      <c r="M46" s="1"/>
      <c r="N46" s="5">
        <f t="shared" ref="N46:N67" si="31">IF(H46=0,0,L46/H46)</f>
        <v>-9.4387499999999985E-2</v>
      </c>
      <c r="O46" s="14"/>
      <c r="P46" s="1">
        <f>SUM(OSRRefP22_2x_0)</f>
        <v>724.49</v>
      </c>
      <c r="Q46" s="1"/>
      <c r="R46" s="5">
        <f t="shared" ref="R46:R67" si="32">IF(P$12=0,0,P46/P$12)</f>
        <v>3.7484116242202992E-2</v>
      </c>
      <c r="S46" s="1"/>
      <c r="T46" s="1">
        <f>SUM(OSRRefT22_2x_0)</f>
        <v>800</v>
      </c>
      <c r="U46" s="1"/>
      <c r="V46" s="5">
        <f t="shared" ref="V46:V67" si="33">IF(T$12=0,0,T46/T$12)</f>
        <v>0</v>
      </c>
      <c r="W46" s="1"/>
      <c r="X46" s="1">
        <f t="shared" ref="X46:X67" si="34">+P46-T46</f>
        <v>-75.509999999999991</v>
      </c>
      <c r="Y46" s="1"/>
      <c r="Z46" s="5">
        <f t="shared" ref="Z46:Z67" si="35">IF(T46=0,0,X46/T46)</f>
        <v>-9.4387499999999985E-2</v>
      </c>
    </row>
    <row r="47" spans="1:26" s="24" customFormat="1" hidden="1" outlineLevel="2" x14ac:dyDescent="0.25">
      <c r="A47" s="27"/>
      <c r="B47" s="12" t="str">
        <f>CONCATENATE("          ", "6362", " - ", "ADVERTISING EXPENSE")</f>
        <v xml:space="preserve">          6362 - ADVERTISING EXPENSE</v>
      </c>
      <c r="C47" s="12"/>
      <c r="D47" s="7">
        <v>724.49</v>
      </c>
      <c r="E47" s="3"/>
      <c r="F47" s="8">
        <f t="shared" si="28"/>
        <v>3.7484116242202992E-2</v>
      </c>
      <c r="G47" s="3"/>
      <c r="H47" s="7">
        <v>800</v>
      </c>
      <c r="I47" s="3"/>
      <c r="J47" s="8">
        <f t="shared" si="29"/>
        <v>0</v>
      </c>
      <c r="K47" s="3"/>
      <c r="L47" s="7">
        <f t="shared" si="30"/>
        <v>-75.509999999999991</v>
      </c>
      <c r="M47" s="3"/>
      <c r="N47" s="8">
        <f t="shared" si="31"/>
        <v>-9.4387499999999985E-2</v>
      </c>
      <c r="O47" s="12"/>
      <c r="P47" s="7">
        <v>724.49</v>
      </c>
      <c r="Q47" s="3"/>
      <c r="R47" s="8">
        <f t="shared" si="32"/>
        <v>3.7484116242202992E-2</v>
      </c>
      <c r="S47" s="3"/>
      <c r="T47" s="7">
        <v>800</v>
      </c>
      <c r="U47" s="3"/>
      <c r="V47" s="8">
        <f t="shared" si="33"/>
        <v>0</v>
      </c>
      <c r="W47" s="3"/>
      <c r="X47" s="7">
        <f t="shared" si="34"/>
        <v>-75.509999999999991</v>
      </c>
      <c r="Y47" s="3"/>
      <c r="Z47" s="8">
        <f t="shared" si="35"/>
        <v>-9.4387499999999985E-2</v>
      </c>
    </row>
    <row r="48" spans="1:26" s="29" customFormat="1" outlineLevel="1" collapsed="1" x14ac:dyDescent="0.25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0</v>
      </c>
      <c r="E48" s="1"/>
      <c r="F48" s="5">
        <f t="shared" si="28"/>
        <v>0</v>
      </c>
      <c r="G48" s="1"/>
      <c r="H48" s="1">
        <f>SUM(OSRRefH22_3x_0)</f>
        <v>15</v>
      </c>
      <c r="I48" s="1"/>
      <c r="J48" s="5">
        <f t="shared" si="29"/>
        <v>0</v>
      </c>
      <c r="K48" s="1"/>
      <c r="L48" s="1">
        <f t="shared" si="30"/>
        <v>-15</v>
      </c>
      <c r="M48" s="1"/>
      <c r="N48" s="5">
        <f t="shared" si="31"/>
        <v>-1</v>
      </c>
      <c r="O48" s="14"/>
      <c r="P48" s="1">
        <f>SUM(OSRRefP22_3x_0)</f>
        <v>0</v>
      </c>
      <c r="Q48" s="1"/>
      <c r="R48" s="5">
        <f t="shared" si="32"/>
        <v>0</v>
      </c>
      <c r="S48" s="1"/>
      <c r="T48" s="1">
        <f>SUM(OSRRefT22_3x_0)</f>
        <v>15</v>
      </c>
      <c r="U48" s="1"/>
      <c r="V48" s="5">
        <f t="shared" si="33"/>
        <v>0</v>
      </c>
      <c r="W48" s="1"/>
      <c r="X48" s="1">
        <f t="shared" si="34"/>
        <v>-15</v>
      </c>
      <c r="Y48" s="1"/>
      <c r="Z48" s="5">
        <f t="shared" si="35"/>
        <v>-1</v>
      </c>
    </row>
    <row r="49" spans="1:26" s="24" customFormat="1" hidden="1" outlineLevel="2" x14ac:dyDescent="0.25">
      <c r="A49" s="27"/>
      <c r="B49" s="12" t="str">
        <f>CONCATENATE("          ", "6272", " - ", "CASH (OVER/SHORT)")</f>
        <v xml:space="preserve">          6272 - CASH (OVER/SHORT)</v>
      </c>
      <c r="C49" s="12"/>
      <c r="D49" s="7"/>
      <c r="E49" s="3"/>
      <c r="F49" s="8">
        <f t="shared" si="28"/>
        <v>0</v>
      </c>
      <c r="G49" s="3"/>
      <c r="H49" s="7">
        <v>15</v>
      </c>
      <c r="I49" s="3"/>
      <c r="J49" s="8">
        <f t="shared" si="29"/>
        <v>0</v>
      </c>
      <c r="K49" s="3"/>
      <c r="L49" s="7">
        <f t="shared" si="30"/>
        <v>-15</v>
      </c>
      <c r="M49" s="3"/>
      <c r="N49" s="8">
        <f t="shared" si="31"/>
        <v>-1</v>
      </c>
      <c r="O49" s="12"/>
      <c r="P49" s="7"/>
      <c r="Q49" s="3"/>
      <c r="R49" s="8">
        <f t="shared" si="32"/>
        <v>0</v>
      </c>
      <c r="S49" s="3"/>
      <c r="T49" s="7">
        <v>15</v>
      </c>
      <c r="U49" s="3"/>
      <c r="V49" s="8">
        <f t="shared" si="33"/>
        <v>0</v>
      </c>
      <c r="W49" s="3"/>
      <c r="X49" s="7">
        <f t="shared" si="34"/>
        <v>-15</v>
      </c>
      <c r="Y49" s="3"/>
      <c r="Z49" s="8">
        <f t="shared" si="35"/>
        <v>-1</v>
      </c>
    </row>
    <row r="50" spans="1:26" s="29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0</v>
      </c>
      <c r="E50" s="1"/>
      <c r="F50" s="5">
        <f t="shared" si="28"/>
        <v>0</v>
      </c>
      <c r="G50" s="1"/>
      <c r="H50" s="1">
        <f>SUM(OSRRefH22_4x_0)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4"/>
      <c r="P50" s="1">
        <f>SUM(OSRRefP22_4x_0)</f>
        <v>0</v>
      </c>
      <c r="Q50" s="1"/>
      <c r="R50" s="5">
        <f t="shared" si="32"/>
        <v>0</v>
      </c>
      <c r="S50" s="1"/>
      <c r="T50" s="1">
        <f>SUM(OSRRefT22_4x_0)</f>
        <v>250</v>
      </c>
      <c r="U50" s="1"/>
      <c r="V50" s="5">
        <f t="shared" si="33"/>
        <v>0</v>
      </c>
      <c r="W50" s="1"/>
      <c r="X50" s="1">
        <f t="shared" si="34"/>
        <v>-250</v>
      </c>
      <c r="Y50" s="1"/>
      <c r="Z50" s="5">
        <f t="shared" si="35"/>
        <v>-1</v>
      </c>
    </row>
    <row r="51" spans="1:26" s="24" customFormat="1" hidden="1" outlineLevel="2" x14ac:dyDescent="0.25">
      <c r="A51" s="27"/>
      <c r="B51" s="12" t="str">
        <f>CONCATENATE("          ", "6381", " - ", "BANK/CREDIT CARD FEES")</f>
        <v xml:space="preserve">          6381 - BANK/CREDIT CARD FEES</v>
      </c>
      <c r="C51" s="12"/>
      <c r="D51" s="7"/>
      <c r="E51" s="3"/>
      <c r="F51" s="8">
        <f t="shared" si="28"/>
        <v>0</v>
      </c>
      <c r="G51" s="3"/>
      <c r="H51" s="7">
        <v>250</v>
      </c>
      <c r="I51" s="3"/>
      <c r="J51" s="8">
        <f t="shared" si="29"/>
        <v>0</v>
      </c>
      <c r="K51" s="3"/>
      <c r="L51" s="7">
        <f t="shared" si="30"/>
        <v>-250</v>
      </c>
      <c r="M51" s="3"/>
      <c r="N51" s="8">
        <f t="shared" si="31"/>
        <v>-1</v>
      </c>
      <c r="O51" s="12"/>
      <c r="P51" s="7"/>
      <c r="Q51" s="3"/>
      <c r="R51" s="8">
        <f t="shared" si="32"/>
        <v>0</v>
      </c>
      <c r="S51" s="3"/>
      <c r="T51" s="7">
        <v>250</v>
      </c>
      <c r="U51" s="3"/>
      <c r="V51" s="8">
        <f t="shared" si="33"/>
        <v>0</v>
      </c>
      <c r="W51" s="3"/>
      <c r="X51" s="7">
        <f t="shared" si="34"/>
        <v>-250</v>
      </c>
      <c r="Y51" s="3"/>
      <c r="Z51" s="8">
        <f t="shared" si="35"/>
        <v>-1</v>
      </c>
    </row>
    <row r="52" spans="1:26" s="29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213.02</v>
      </c>
      <c r="E52" s="1"/>
      <c r="F52" s="5">
        <f t="shared" si="28"/>
        <v>1.1021361843385116E-2</v>
      </c>
      <c r="G52" s="1"/>
      <c r="H52" s="1">
        <f>SUM(OSRRefH22_5x_0)</f>
        <v>213</v>
      </c>
      <c r="I52" s="1"/>
      <c r="J52" s="5">
        <f t="shared" si="29"/>
        <v>0</v>
      </c>
      <c r="K52" s="1"/>
      <c r="L52" s="1">
        <f t="shared" si="30"/>
        <v>2.0000000000010232E-2</v>
      </c>
      <c r="M52" s="1"/>
      <c r="N52" s="5">
        <f t="shared" si="31"/>
        <v>9.3896713615071505E-5</v>
      </c>
      <c r="O52" s="14"/>
      <c r="P52" s="1">
        <f>SUM(OSRRefP22_5x_0)</f>
        <v>213.02</v>
      </c>
      <c r="Q52" s="1"/>
      <c r="R52" s="5">
        <f t="shared" si="32"/>
        <v>1.1021361843385116E-2</v>
      </c>
      <c r="S52" s="1"/>
      <c r="T52" s="1">
        <f>SUM(OSRRefT22_5x_0)</f>
        <v>213</v>
      </c>
      <c r="U52" s="1"/>
      <c r="V52" s="5">
        <f t="shared" si="33"/>
        <v>0</v>
      </c>
      <c r="W52" s="1"/>
      <c r="X52" s="1">
        <f t="shared" si="34"/>
        <v>2.0000000000010232E-2</v>
      </c>
      <c r="Y52" s="1"/>
      <c r="Z52" s="5">
        <f t="shared" si="35"/>
        <v>9.3896713615071505E-5</v>
      </c>
    </row>
    <row r="53" spans="1:26" s="24" customFormat="1" hidden="1" outlineLevel="2" x14ac:dyDescent="0.25">
      <c r="A53" s="27"/>
      <c r="B53" s="12" t="str">
        <f>CONCATENATE("          ", "6322", " - ", "EQUIPMENT DEPRECIATION EXPENSE")</f>
        <v xml:space="preserve">          6322 - EQUIPMENT DEPRECIATION EXPENSE</v>
      </c>
      <c r="C53" s="12"/>
      <c r="D53" s="7">
        <v>213.02</v>
      </c>
      <c r="E53" s="3"/>
      <c r="F53" s="8">
        <f t="shared" si="28"/>
        <v>1.1021361843385116E-2</v>
      </c>
      <c r="G53" s="3"/>
      <c r="H53" s="7">
        <v>213</v>
      </c>
      <c r="I53" s="3"/>
      <c r="J53" s="8">
        <f t="shared" si="29"/>
        <v>0</v>
      </c>
      <c r="K53" s="3"/>
      <c r="L53" s="7">
        <f t="shared" si="30"/>
        <v>2.0000000000010232E-2</v>
      </c>
      <c r="M53" s="3"/>
      <c r="N53" s="8">
        <f t="shared" si="31"/>
        <v>9.3896713615071505E-5</v>
      </c>
      <c r="O53" s="12"/>
      <c r="P53" s="7">
        <v>213.02</v>
      </c>
      <c r="Q53" s="3"/>
      <c r="R53" s="8">
        <f t="shared" si="32"/>
        <v>1.1021361843385116E-2</v>
      </c>
      <c r="S53" s="3"/>
      <c r="T53" s="7">
        <v>213</v>
      </c>
      <c r="U53" s="3"/>
      <c r="V53" s="8">
        <f t="shared" si="33"/>
        <v>0</v>
      </c>
      <c r="W53" s="3"/>
      <c r="X53" s="7">
        <f t="shared" si="34"/>
        <v>2.0000000000010232E-2</v>
      </c>
      <c r="Y53" s="3"/>
      <c r="Z53" s="8">
        <f t="shared" si="35"/>
        <v>9.3896713615071505E-5</v>
      </c>
    </row>
    <row r="54" spans="1:26" s="29" customFormat="1" outlineLevel="1" collapsed="1" x14ac:dyDescent="0.25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100</v>
      </c>
      <c r="I54" s="1"/>
      <c r="J54" s="5">
        <f t="shared" si="29"/>
        <v>0</v>
      </c>
      <c r="K54" s="1"/>
      <c r="L54" s="1">
        <f t="shared" si="30"/>
        <v>-100</v>
      </c>
      <c r="M54" s="1"/>
      <c r="N54" s="5">
        <f t="shared" si="31"/>
        <v>-1</v>
      </c>
      <c r="O54" s="14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100</v>
      </c>
      <c r="U54" s="1"/>
      <c r="V54" s="5">
        <f t="shared" si="33"/>
        <v>0</v>
      </c>
      <c r="W54" s="1"/>
      <c r="X54" s="1">
        <f t="shared" si="34"/>
        <v>-100</v>
      </c>
      <c r="Y54" s="1"/>
      <c r="Z54" s="5">
        <f t="shared" si="35"/>
        <v>-1</v>
      </c>
    </row>
    <row r="55" spans="1:26" s="24" customFormat="1" hidden="1" outlineLevel="2" x14ac:dyDescent="0.25">
      <c r="A55" s="27"/>
      <c r="B55" s="12" t="str">
        <f>CONCATENATE("          ", "6277", " - ", "EMPLOYEE APPRECIATION")</f>
        <v xml:space="preserve">          6277 - EMPLOYEE APPRECIATION</v>
      </c>
      <c r="C55" s="12"/>
      <c r="D55" s="7"/>
      <c r="E55" s="3"/>
      <c r="F55" s="8">
        <f t="shared" si="28"/>
        <v>0</v>
      </c>
      <c r="G55" s="3"/>
      <c r="H55" s="7">
        <v>100</v>
      </c>
      <c r="I55" s="3"/>
      <c r="J55" s="8">
        <f t="shared" si="29"/>
        <v>0</v>
      </c>
      <c r="K55" s="3"/>
      <c r="L55" s="7">
        <f t="shared" si="30"/>
        <v>-100</v>
      </c>
      <c r="M55" s="3"/>
      <c r="N55" s="8">
        <f t="shared" si="31"/>
        <v>-1</v>
      </c>
      <c r="O55" s="12"/>
      <c r="P55" s="7"/>
      <c r="Q55" s="3"/>
      <c r="R55" s="8">
        <f t="shared" si="32"/>
        <v>0</v>
      </c>
      <c r="S55" s="3"/>
      <c r="T55" s="7">
        <v>100</v>
      </c>
      <c r="U55" s="3"/>
      <c r="V55" s="8">
        <f t="shared" si="33"/>
        <v>0</v>
      </c>
      <c r="W55" s="3"/>
      <c r="X55" s="7">
        <f t="shared" si="34"/>
        <v>-100</v>
      </c>
      <c r="Y55" s="3"/>
      <c r="Z55" s="8">
        <f t="shared" si="35"/>
        <v>-1</v>
      </c>
    </row>
    <row r="56" spans="1:26" s="29" customFormat="1" outlineLevel="1" collapsed="1" x14ac:dyDescent="0.25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SUM(OSRRefD22_7x_0)</f>
        <v>381.55</v>
      </c>
      <c r="E56" s="1"/>
      <c r="F56" s="5">
        <f t="shared" si="28"/>
        <v>1.9740872271822321E-2</v>
      </c>
      <c r="G56" s="1"/>
      <c r="H56" s="1">
        <f>SUM(OSRRefH22_7x_0)</f>
        <v>690</v>
      </c>
      <c r="I56" s="1"/>
      <c r="J56" s="5">
        <f t="shared" si="29"/>
        <v>0</v>
      </c>
      <c r="K56" s="1"/>
      <c r="L56" s="1">
        <f t="shared" si="30"/>
        <v>-308.45</v>
      </c>
      <c r="M56" s="1"/>
      <c r="N56" s="5">
        <f t="shared" si="31"/>
        <v>-0.44702898550724635</v>
      </c>
      <c r="O56" s="14"/>
      <c r="P56" s="1">
        <f>SUM(OSRRefP22_7x_0)</f>
        <v>381.55</v>
      </c>
      <c r="Q56" s="1"/>
      <c r="R56" s="5">
        <f t="shared" si="32"/>
        <v>1.9740872271822321E-2</v>
      </c>
      <c r="S56" s="1"/>
      <c r="T56" s="1">
        <f>SUM(OSRRefT22_7x_0)</f>
        <v>690</v>
      </c>
      <c r="U56" s="1"/>
      <c r="V56" s="5">
        <f t="shared" si="33"/>
        <v>0</v>
      </c>
      <c r="W56" s="1"/>
      <c r="X56" s="1">
        <f t="shared" si="34"/>
        <v>-308.45</v>
      </c>
      <c r="Y56" s="1"/>
      <c r="Z56" s="5">
        <f t="shared" si="35"/>
        <v>-0.44702898550724635</v>
      </c>
    </row>
    <row r="57" spans="1:26" s="24" customFormat="1" hidden="1" outlineLevel="2" x14ac:dyDescent="0.25">
      <c r="A57" s="27"/>
      <c r="B57" s="12" t="str">
        <f>CONCATENATE("          ", "6351", " - ", "EQUIPMENT RENTAL")</f>
        <v xml:space="preserve">          6351 - EQUIPMENT RENTAL</v>
      </c>
      <c r="C57" s="12"/>
      <c r="D57" s="7">
        <v>381.55</v>
      </c>
      <c r="E57" s="3"/>
      <c r="F57" s="8">
        <f t="shared" si="28"/>
        <v>1.9740872271822321E-2</v>
      </c>
      <c r="G57" s="3"/>
      <c r="H57" s="7">
        <v>690</v>
      </c>
      <c r="I57" s="3"/>
      <c r="J57" s="8">
        <f t="shared" si="29"/>
        <v>0</v>
      </c>
      <c r="K57" s="3"/>
      <c r="L57" s="7">
        <f t="shared" si="30"/>
        <v>-308.45</v>
      </c>
      <c r="M57" s="3"/>
      <c r="N57" s="8">
        <f t="shared" si="31"/>
        <v>-0.44702898550724635</v>
      </c>
      <c r="O57" s="12"/>
      <c r="P57" s="7">
        <v>381.55</v>
      </c>
      <c r="Q57" s="3"/>
      <c r="R57" s="8">
        <f t="shared" si="32"/>
        <v>1.9740872271822321E-2</v>
      </c>
      <c r="S57" s="3"/>
      <c r="T57" s="7">
        <v>690</v>
      </c>
      <c r="U57" s="3"/>
      <c r="V57" s="8">
        <f t="shared" si="33"/>
        <v>0</v>
      </c>
      <c r="W57" s="3"/>
      <c r="X57" s="7">
        <f t="shared" si="34"/>
        <v>-308.45</v>
      </c>
      <c r="Y57" s="3"/>
      <c r="Z57" s="8">
        <f t="shared" si="35"/>
        <v>-0.44702898550724635</v>
      </c>
    </row>
    <row r="58" spans="1:26" s="29" customFormat="1" outlineLevel="1" collapsed="1" x14ac:dyDescent="0.25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SUM(OSRRefD22_8x_0)</f>
        <v>6298.65</v>
      </c>
      <c r="E58" s="1"/>
      <c r="F58" s="5">
        <f t="shared" si="28"/>
        <v>0.32588348875616208</v>
      </c>
      <c r="G58" s="1"/>
      <c r="H58" s="1">
        <f>SUM(OSRRefH22_8x_0)</f>
        <v>4850</v>
      </c>
      <c r="I58" s="1"/>
      <c r="J58" s="5">
        <f t="shared" si="29"/>
        <v>0</v>
      </c>
      <c r="K58" s="1"/>
      <c r="L58" s="1">
        <f t="shared" si="30"/>
        <v>1448.6499999999996</v>
      </c>
      <c r="M58" s="1"/>
      <c r="N58" s="5">
        <f t="shared" si="31"/>
        <v>0.29869072164948446</v>
      </c>
      <c r="O58" s="14"/>
      <c r="P58" s="1">
        <f>SUM(OSRRefP22_8x_0)</f>
        <v>6298.65</v>
      </c>
      <c r="Q58" s="1"/>
      <c r="R58" s="5">
        <f t="shared" si="32"/>
        <v>0.32588348875616208</v>
      </c>
      <c r="S58" s="1"/>
      <c r="T58" s="1">
        <f>SUM(OSRRefT22_8x_0)</f>
        <v>4850</v>
      </c>
      <c r="U58" s="1"/>
      <c r="V58" s="5">
        <f t="shared" si="33"/>
        <v>0</v>
      </c>
      <c r="W58" s="1"/>
      <c r="X58" s="1">
        <f t="shared" si="34"/>
        <v>1448.6499999999996</v>
      </c>
      <c r="Y58" s="1"/>
      <c r="Z58" s="5">
        <f t="shared" si="35"/>
        <v>0.29869072164948446</v>
      </c>
    </row>
    <row r="59" spans="1:26" s="24" customFormat="1" hidden="1" outlineLevel="2" x14ac:dyDescent="0.25">
      <c r="A59" s="27"/>
      <c r="B59" s="12" t="str">
        <f>CONCATENATE("          ", "6279", " - ", "GENERAL EXPENSE")</f>
        <v xml:space="preserve">          6279 - GENERAL EXPENSE</v>
      </c>
      <c r="C59" s="12"/>
      <c r="D59" s="7">
        <v>6298.65</v>
      </c>
      <c r="E59" s="3"/>
      <c r="F59" s="8">
        <f t="shared" si="28"/>
        <v>0.32588348875616208</v>
      </c>
      <c r="G59" s="3"/>
      <c r="H59" s="7">
        <v>4850</v>
      </c>
      <c r="I59" s="3"/>
      <c r="J59" s="8">
        <f t="shared" si="29"/>
        <v>0</v>
      </c>
      <c r="K59" s="3"/>
      <c r="L59" s="7">
        <f t="shared" si="30"/>
        <v>1448.6499999999996</v>
      </c>
      <c r="M59" s="3"/>
      <c r="N59" s="8">
        <f t="shared" si="31"/>
        <v>0.29869072164948446</v>
      </c>
      <c r="O59" s="12"/>
      <c r="P59" s="7">
        <v>6298.65</v>
      </c>
      <c r="Q59" s="3"/>
      <c r="R59" s="8">
        <f t="shared" si="32"/>
        <v>0.32588348875616208</v>
      </c>
      <c r="S59" s="3"/>
      <c r="T59" s="7">
        <v>4850</v>
      </c>
      <c r="U59" s="3"/>
      <c r="V59" s="8">
        <f t="shared" si="33"/>
        <v>0</v>
      </c>
      <c r="W59" s="3"/>
      <c r="X59" s="7">
        <f t="shared" si="34"/>
        <v>1448.6499999999996</v>
      </c>
      <c r="Y59" s="3"/>
      <c r="Z59" s="8">
        <f t="shared" si="35"/>
        <v>0.29869072164948446</v>
      </c>
    </row>
    <row r="60" spans="1:26" s="29" customFormat="1" outlineLevel="1" collapsed="1" x14ac:dyDescent="0.25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SUM(OSRRefD22_9x_0)</f>
        <v>5.9</v>
      </c>
      <c r="E60" s="1"/>
      <c r="F60" s="5">
        <f t="shared" si="28"/>
        <v>3.0525788600118385E-4</v>
      </c>
      <c r="G60" s="1"/>
      <c r="H60" s="1">
        <f>SUM(OSRRefH22_9x_0)</f>
        <v>7</v>
      </c>
      <c r="I60" s="1"/>
      <c r="J60" s="5">
        <f t="shared" si="29"/>
        <v>0</v>
      </c>
      <c r="K60" s="1"/>
      <c r="L60" s="1">
        <f t="shared" si="30"/>
        <v>-1.0999999999999996</v>
      </c>
      <c r="M60" s="1"/>
      <c r="N60" s="5">
        <f t="shared" si="31"/>
        <v>-0.15714285714285708</v>
      </c>
      <c r="O60" s="14"/>
      <c r="P60" s="1">
        <f>SUM(OSRRefP22_9x_0)</f>
        <v>5.9</v>
      </c>
      <c r="Q60" s="1"/>
      <c r="R60" s="5">
        <f t="shared" si="32"/>
        <v>3.0525788600118385E-4</v>
      </c>
      <c r="S60" s="1"/>
      <c r="T60" s="1">
        <f>SUM(OSRRefT22_9x_0)</f>
        <v>7</v>
      </c>
      <c r="U60" s="1"/>
      <c r="V60" s="5">
        <f t="shared" si="33"/>
        <v>0</v>
      </c>
      <c r="W60" s="1"/>
      <c r="X60" s="1">
        <f t="shared" si="34"/>
        <v>-1.0999999999999996</v>
      </c>
      <c r="Y60" s="1"/>
      <c r="Z60" s="5">
        <f t="shared" si="35"/>
        <v>-0.15714285714285708</v>
      </c>
    </row>
    <row r="61" spans="1:26" s="24" customFormat="1" hidden="1" outlineLevel="2" x14ac:dyDescent="0.25">
      <c r="A61" s="27"/>
      <c r="B61" s="12" t="str">
        <f>CONCATENATE("          ", "6314", " - ", "LIABILITY INSURANCE")</f>
        <v xml:space="preserve">          6314 - LIABILITY INSURANCE</v>
      </c>
      <c r="C61" s="12"/>
      <c r="D61" s="7">
        <v>5.9</v>
      </c>
      <c r="E61" s="3"/>
      <c r="F61" s="8">
        <f t="shared" si="28"/>
        <v>3.0525788600118385E-4</v>
      </c>
      <c r="G61" s="3"/>
      <c r="H61" s="7">
        <v>7</v>
      </c>
      <c r="I61" s="3"/>
      <c r="J61" s="8">
        <f t="shared" si="29"/>
        <v>0</v>
      </c>
      <c r="K61" s="3"/>
      <c r="L61" s="7">
        <f t="shared" si="30"/>
        <v>-1.0999999999999996</v>
      </c>
      <c r="M61" s="3"/>
      <c r="N61" s="8">
        <f t="shared" si="31"/>
        <v>-0.15714285714285708</v>
      </c>
      <c r="O61" s="12"/>
      <c r="P61" s="7">
        <v>5.9</v>
      </c>
      <c r="Q61" s="3"/>
      <c r="R61" s="8">
        <f t="shared" si="32"/>
        <v>3.0525788600118385E-4</v>
      </c>
      <c r="S61" s="3"/>
      <c r="T61" s="7">
        <v>7</v>
      </c>
      <c r="U61" s="3"/>
      <c r="V61" s="8">
        <f t="shared" si="33"/>
        <v>0</v>
      </c>
      <c r="W61" s="3"/>
      <c r="X61" s="7">
        <f t="shared" si="34"/>
        <v>-1.0999999999999996</v>
      </c>
      <c r="Y61" s="3"/>
      <c r="Z61" s="8">
        <f t="shared" si="35"/>
        <v>-0.15714285714285708</v>
      </c>
    </row>
    <row r="62" spans="1:26" s="29" customFormat="1" outlineLevel="1" collapsed="1" x14ac:dyDescent="0.25">
      <c r="A62" s="28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SUM(OSRRefD22_10x_0)</f>
        <v>1151.68</v>
      </c>
      <c r="E62" s="1"/>
      <c r="F62" s="5">
        <f t="shared" si="28"/>
        <v>5.9586339347431079E-2</v>
      </c>
      <c r="G62" s="1"/>
      <c r="H62" s="1">
        <f>SUM(OSRRefH22_10x_0)</f>
        <v>0</v>
      </c>
      <c r="I62" s="1"/>
      <c r="J62" s="5">
        <f t="shared" si="29"/>
        <v>0</v>
      </c>
      <c r="K62" s="1"/>
      <c r="L62" s="1">
        <f t="shared" si="30"/>
        <v>1151.68</v>
      </c>
      <c r="M62" s="1"/>
      <c r="N62" s="5">
        <f t="shared" si="31"/>
        <v>0</v>
      </c>
      <c r="O62" s="14"/>
      <c r="P62" s="1">
        <f>SUM(OSRRefP22_10x_0)</f>
        <v>1151.68</v>
      </c>
      <c r="Q62" s="1"/>
      <c r="R62" s="5">
        <f t="shared" si="32"/>
        <v>5.9586339347431079E-2</v>
      </c>
      <c r="S62" s="1"/>
      <c r="T62" s="1">
        <f>SUM(OSRRefT22_10x_0)</f>
        <v>0</v>
      </c>
      <c r="U62" s="1"/>
      <c r="V62" s="5">
        <f t="shared" si="33"/>
        <v>0</v>
      </c>
      <c r="W62" s="1"/>
      <c r="X62" s="1">
        <f t="shared" si="34"/>
        <v>1151.68</v>
      </c>
      <c r="Y62" s="1"/>
      <c r="Z62" s="5">
        <f t="shared" si="35"/>
        <v>0</v>
      </c>
    </row>
    <row r="63" spans="1:26" s="24" customFormat="1" hidden="1" outlineLevel="2" x14ac:dyDescent="0.25">
      <c r="A63" s="27"/>
      <c r="B63" s="12" t="str">
        <f>CONCATENATE("          ", "6387", " - ", "COMMISSION DUE HOUSING")</f>
        <v xml:space="preserve">          6387 - COMMISSION DUE HOUSING</v>
      </c>
      <c r="C63" s="12"/>
      <c r="D63" s="7">
        <v>1151.68</v>
      </c>
      <c r="E63" s="3"/>
      <c r="F63" s="8">
        <f t="shared" si="28"/>
        <v>5.9586339347431079E-2</v>
      </c>
      <c r="G63" s="3"/>
      <c r="H63" s="7"/>
      <c r="I63" s="3"/>
      <c r="J63" s="8">
        <f t="shared" si="29"/>
        <v>0</v>
      </c>
      <c r="K63" s="3"/>
      <c r="L63" s="7">
        <f t="shared" si="30"/>
        <v>1151.68</v>
      </c>
      <c r="M63" s="3"/>
      <c r="N63" s="8">
        <f t="shared" si="31"/>
        <v>0</v>
      </c>
      <c r="O63" s="12"/>
      <c r="P63" s="7">
        <v>1151.68</v>
      </c>
      <c r="Q63" s="3"/>
      <c r="R63" s="8">
        <f t="shared" si="32"/>
        <v>5.9586339347431079E-2</v>
      </c>
      <c r="S63" s="3"/>
      <c r="T63" s="7"/>
      <c r="U63" s="3"/>
      <c r="V63" s="8">
        <f t="shared" si="33"/>
        <v>0</v>
      </c>
      <c r="W63" s="3"/>
      <c r="X63" s="7">
        <f t="shared" si="34"/>
        <v>1151.68</v>
      </c>
      <c r="Y63" s="3"/>
      <c r="Z63" s="8">
        <f t="shared" si="35"/>
        <v>0</v>
      </c>
    </row>
    <row r="64" spans="1:26" s="29" customFormat="1" outlineLevel="1" collapsed="1" x14ac:dyDescent="0.25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SUM(OSRRefD22_11x_0)</f>
        <v>1.65</v>
      </c>
      <c r="E64" s="1"/>
      <c r="F64" s="5">
        <f t="shared" si="28"/>
        <v>8.5368730830839531E-5</v>
      </c>
      <c r="G64" s="1"/>
      <c r="H64" s="1">
        <f>SUM(OSRRefH22_11x_0)</f>
        <v>3591</v>
      </c>
      <c r="I64" s="1"/>
      <c r="J64" s="5">
        <f t="shared" si="29"/>
        <v>0</v>
      </c>
      <c r="K64" s="1"/>
      <c r="L64" s="1">
        <f t="shared" si="30"/>
        <v>-3589.35</v>
      </c>
      <c r="M64" s="1"/>
      <c r="N64" s="5">
        <f t="shared" si="31"/>
        <v>-0.99954051796157062</v>
      </c>
      <c r="O64" s="14"/>
      <c r="P64" s="1">
        <f>SUM(OSRRefP22_11x_0)</f>
        <v>1.65</v>
      </c>
      <c r="Q64" s="1"/>
      <c r="R64" s="5">
        <f t="shared" si="32"/>
        <v>8.5368730830839531E-5</v>
      </c>
      <c r="S64" s="1"/>
      <c r="T64" s="1">
        <f>SUM(OSRRefT22_11x_0)</f>
        <v>3591</v>
      </c>
      <c r="U64" s="1"/>
      <c r="V64" s="5">
        <f t="shared" si="33"/>
        <v>0</v>
      </c>
      <c r="W64" s="1"/>
      <c r="X64" s="1">
        <f t="shared" si="34"/>
        <v>-3589.35</v>
      </c>
      <c r="Y64" s="1"/>
      <c r="Z64" s="5">
        <f t="shared" si="35"/>
        <v>-0.99954051796157062</v>
      </c>
    </row>
    <row r="65" spans="1:26" s="24" customFormat="1" hidden="1" outlineLevel="2" x14ac:dyDescent="0.25">
      <c r="A65" s="27"/>
      <c r="B65" s="12" t="str">
        <f>CONCATENATE("          ", "6372", " - ", "COMPUTER HARDWARE MAINTENANCE")</f>
        <v xml:space="preserve">          6372 - COMPUTER HARDWARE MAINTENANCE</v>
      </c>
      <c r="C65" s="12"/>
      <c r="D65" s="7"/>
      <c r="E65" s="3"/>
      <c r="F65" s="8">
        <f t="shared" si="28"/>
        <v>0</v>
      </c>
      <c r="G65" s="3"/>
      <c r="H65" s="7">
        <v>3083</v>
      </c>
      <c r="I65" s="3"/>
      <c r="J65" s="8">
        <f t="shared" si="29"/>
        <v>0</v>
      </c>
      <c r="K65" s="3"/>
      <c r="L65" s="7">
        <f t="shared" si="30"/>
        <v>-3083</v>
      </c>
      <c r="M65" s="3"/>
      <c r="N65" s="8">
        <f t="shared" si="31"/>
        <v>-1</v>
      </c>
      <c r="O65" s="12"/>
      <c r="P65" s="7"/>
      <c r="Q65" s="3"/>
      <c r="R65" s="8">
        <f t="shared" si="32"/>
        <v>0</v>
      </c>
      <c r="S65" s="3"/>
      <c r="T65" s="7">
        <v>3083</v>
      </c>
      <c r="U65" s="3"/>
      <c r="V65" s="8">
        <f t="shared" si="33"/>
        <v>0</v>
      </c>
      <c r="W65" s="3"/>
      <c r="X65" s="7">
        <f t="shared" si="34"/>
        <v>-3083</v>
      </c>
      <c r="Y65" s="3"/>
      <c r="Z65" s="8">
        <f t="shared" si="35"/>
        <v>-1</v>
      </c>
    </row>
    <row r="66" spans="1:26" s="24" customFormat="1" hidden="1" outlineLevel="2" x14ac:dyDescent="0.25">
      <c r="A66" s="27"/>
      <c r="B66" s="12" t="str">
        <f>CONCATENATE("          ", "6373", " - ", "MAINTENANCE CONTRACTS")</f>
        <v xml:space="preserve">          6373 - MAINTENANCE CONTRACTS</v>
      </c>
      <c r="C66" s="12"/>
      <c r="D66" s="7">
        <v>1.65</v>
      </c>
      <c r="E66" s="3"/>
      <c r="F66" s="8">
        <f t="shared" si="28"/>
        <v>8.5368730830839531E-5</v>
      </c>
      <c r="G66" s="3"/>
      <c r="H66" s="7">
        <v>58</v>
      </c>
      <c r="I66" s="3"/>
      <c r="J66" s="8">
        <f t="shared" si="29"/>
        <v>0</v>
      </c>
      <c r="K66" s="3"/>
      <c r="L66" s="7">
        <f t="shared" si="30"/>
        <v>-56.35</v>
      </c>
      <c r="M66" s="3"/>
      <c r="N66" s="8">
        <f t="shared" si="31"/>
        <v>-0.97155172413793101</v>
      </c>
      <c r="O66" s="12"/>
      <c r="P66" s="7">
        <v>1.65</v>
      </c>
      <c r="Q66" s="3"/>
      <c r="R66" s="8">
        <f t="shared" si="32"/>
        <v>8.5368730830839531E-5</v>
      </c>
      <c r="S66" s="3"/>
      <c r="T66" s="7">
        <v>58</v>
      </c>
      <c r="U66" s="3"/>
      <c r="V66" s="8">
        <f t="shared" si="33"/>
        <v>0</v>
      </c>
      <c r="W66" s="3"/>
      <c r="X66" s="7">
        <f t="shared" si="34"/>
        <v>-56.35</v>
      </c>
      <c r="Y66" s="3"/>
      <c r="Z66" s="8">
        <f t="shared" si="35"/>
        <v>-0.97155172413793101</v>
      </c>
    </row>
    <row r="67" spans="1:26" s="24" customFormat="1" hidden="1" outlineLevel="2" x14ac:dyDescent="0.25">
      <c r="A67" s="27"/>
      <c r="B67" s="12" t="str">
        <f>CONCATENATE("          ", "6375", " - ", "OUTSIDE REPAIRS &amp; MAINTENANCE")</f>
        <v xml:space="preserve">          6375 - OUTSIDE REPAIRS &amp; MAINTENANCE</v>
      </c>
      <c r="C67" s="12"/>
      <c r="D67" s="7"/>
      <c r="E67" s="3"/>
      <c r="F67" s="8">
        <f t="shared" si="28"/>
        <v>0</v>
      </c>
      <c r="G67" s="3"/>
      <c r="H67" s="7">
        <v>450</v>
      </c>
      <c r="I67" s="3"/>
      <c r="J67" s="8">
        <f t="shared" si="29"/>
        <v>0</v>
      </c>
      <c r="K67" s="3"/>
      <c r="L67" s="7">
        <f t="shared" si="30"/>
        <v>-450</v>
      </c>
      <c r="M67" s="3"/>
      <c r="N67" s="8">
        <f t="shared" si="31"/>
        <v>-1</v>
      </c>
      <c r="O67" s="12"/>
      <c r="P67" s="7"/>
      <c r="Q67" s="3"/>
      <c r="R67" s="8">
        <f t="shared" si="32"/>
        <v>0</v>
      </c>
      <c r="S67" s="3"/>
      <c r="T67" s="7">
        <v>450</v>
      </c>
      <c r="U67" s="3"/>
      <c r="V67" s="8">
        <f t="shared" si="33"/>
        <v>0</v>
      </c>
      <c r="W67" s="3"/>
      <c r="X67" s="7">
        <f t="shared" si="34"/>
        <v>-450</v>
      </c>
      <c r="Y67" s="3"/>
      <c r="Z67" s="8">
        <f t="shared" si="35"/>
        <v>-1</v>
      </c>
    </row>
    <row r="68" spans="1:26" s="29" customFormat="1" outlineLevel="1" collapsed="1" x14ac:dyDescent="0.25">
      <c r="A68" s="28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SUM(OSRRefD22_12x_0)</f>
        <v>11152.67</v>
      </c>
      <c r="E68" s="1"/>
      <c r="F68" s="5">
        <f t="shared" ref="F68:F72" si="36">IF(D$12=0,0,D68/D$12)</f>
        <v>0.57702380804556319</v>
      </c>
      <c r="G68" s="1"/>
      <c r="H68" s="1">
        <f>SUM(OSRRefH22_12x_0)</f>
        <v>19075</v>
      </c>
      <c r="I68" s="1"/>
      <c r="J68" s="5">
        <f t="shared" ref="J68:J72" si="37">IF(H$12=0,0,H68/H$12)</f>
        <v>0</v>
      </c>
      <c r="K68" s="1"/>
      <c r="L68" s="1">
        <f t="shared" ref="L68:L72" si="38">+D68-H68</f>
        <v>-7922.33</v>
      </c>
      <c r="M68" s="1"/>
      <c r="N68" s="5">
        <f t="shared" ref="N68:N72" si="39">IF(H68=0,0,L68/H68)</f>
        <v>-0.41532529488859765</v>
      </c>
      <c r="O68" s="14"/>
      <c r="P68" s="1">
        <f>SUM(OSRRefP22_12x_0)</f>
        <v>11152.67</v>
      </c>
      <c r="Q68" s="1"/>
      <c r="R68" s="5">
        <f t="shared" ref="R68:R72" si="40">IF(P$12=0,0,P68/P$12)</f>
        <v>0.57702380804556319</v>
      </c>
      <c r="S68" s="1"/>
      <c r="T68" s="1">
        <f>SUM(OSRRefT22_12x_0)</f>
        <v>19075</v>
      </c>
      <c r="U68" s="1"/>
      <c r="V68" s="5">
        <f t="shared" ref="V68:V72" si="41">IF(T$12=0,0,T68/T$12)</f>
        <v>0</v>
      </c>
      <c r="W68" s="1"/>
      <c r="X68" s="1">
        <f t="shared" ref="X68:X72" si="42">+P68-T68</f>
        <v>-7922.33</v>
      </c>
      <c r="Y68" s="1"/>
      <c r="Z68" s="5">
        <f t="shared" ref="Z68:Z72" si="43">IF(T68=0,0,X68/T68)</f>
        <v>-0.41532529488859765</v>
      </c>
    </row>
    <row r="69" spans="1:26" s="24" customFormat="1" hidden="1" outlineLevel="2" x14ac:dyDescent="0.25">
      <c r="A69" s="27"/>
      <c r="B69" s="12" t="str">
        <f>CONCATENATE("          ", "6282", " - ", "JANITORIAL/EXTERMINATOR EXPENS")</f>
        <v xml:space="preserve">          6282 - JANITORIAL/EXTERMINATOR EXPENS</v>
      </c>
      <c r="C69" s="12"/>
      <c r="D69" s="7">
        <v>1221.68</v>
      </c>
      <c r="E69" s="3"/>
      <c r="F69" s="8">
        <f t="shared" si="36"/>
        <v>6.3208043079648515E-2</v>
      </c>
      <c r="G69" s="3"/>
      <c r="H69" s="7">
        <v>1750</v>
      </c>
      <c r="I69" s="3"/>
      <c r="J69" s="8">
        <f t="shared" si="37"/>
        <v>0</v>
      </c>
      <c r="K69" s="3"/>
      <c r="L69" s="7">
        <f t="shared" si="38"/>
        <v>-528.31999999999994</v>
      </c>
      <c r="M69" s="3"/>
      <c r="N69" s="8">
        <f t="shared" si="39"/>
        <v>-0.30189714285714281</v>
      </c>
      <c r="O69" s="12"/>
      <c r="P69" s="7">
        <v>1221.68</v>
      </c>
      <c r="Q69" s="3"/>
      <c r="R69" s="8">
        <f t="shared" si="40"/>
        <v>6.3208043079648515E-2</v>
      </c>
      <c r="S69" s="3"/>
      <c r="T69" s="7">
        <v>1750</v>
      </c>
      <c r="U69" s="3"/>
      <c r="V69" s="8">
        <f t="shared" si="41"/>
        <v>0</v>
      </c>
      <c r="W69" s="3"/>
      <c r="X69" s="7">
        <f t="shared" si="42"/>
        <v>-528.31999999999994</v>
      </c>
      <c r="Y69" s="3"/>
      <c r="Z69" s="8">
        <f t="shared" si="43"/>
        <v>-0.30189714285714281</v>
      </c>
    </row>
    <row r="70" spans="1:26" s="24" customFormat="1" hidden="1" outlineLevel="2" x14ac:dyDescent="0.25">
      <c r="A70" s="27"/>
      <c r="B70" s="12" t="str">
        <f>CONCATENATE("          ", "6284", " - ", "TRASH REMOVAL EXPENSE")</f>
        <v xml:space="preserve">          6284 - TRASH REMOVAL EXPENSE</v>
      </c>
      <c r="C70" s="12"/>
      <c r="D70" s="7"/>
      <c r="E70" s="3"/>
      <c r="F70" s="8">
        <f t="shared" si="36"/>
        <v>0</v>
      </c>
      <c r="G70" s="3"/>
      <c r="H70" s="7">
        <v>500</v>
      </c>
      <c r="I70" s="3"/>
      <c r="J70" s="8">
        <f t="shared" si="37"/>
        <v>0</v>
      </c>
      <c r="K70" s="3"/>
      <c r="L70" s="7">
        <f t="shared" si="38"/>
        <v>-500</v>
      </c>
      <c r="M70" s="3"/>
      <c r="N70" s="8">
        <f t="shared" si="39"/>
        <v>-1</v>
      </c>
      <c r="O70" s="12"/>
      <c r="P70" s="7"/>
      <c r="Q70" s="3"/>
      <c r="R70" s="8">
        <f t="shared" si="40"/>
        <v>0</v>
      </c>
      <c r="S70" s="3"/>
      <c r="T70" s="7">
        <v>500</v>
      </c>
      <c r="U70" s="3"/>
      <c r="V70" s="8">
        <f t="shared" si="41"/>
        <v>0</v>
      </c>
      <c r="W70" s="3"/>
      <c r="X70" s="7">
        <f t="shared" si="42"/>
        <v>-500</v>
      </c>
      <c r="Y70" s="3"/>
      <c r="Z70" s="8">
        <f t="shared" si="43"/>
        <v>-1</v>
      </c>
    </row>
    <row r="71" spans="1:26" s="24" customFormat="1" hidden="1" outlineLevel="2" x14ac:dyDescent="0.25">
      <c r="A71" s="27"/>
      <c r="B71" s="12" t="str">
        <f>CONCATENATE("          ", "6285", " - ", "JANITORIAL SERVICES")</f>
        <v xml:space="preserve">          6285 - JANITORIAL SERVICES</v>
      </c>
      <c r="C71" s="12"/>
      <c r="D71" s="7">
        <v>8314.1</v>
      </c>
      <c r="E71" s="3"/>
      <c r="F71" s="8">
        <f t="shared" si="36"/>
        <v>0.43016010000041399</v>
      </c>
      <c r="G71" s="3"/>
      <c r="H71" s="7">
        <v>12325</v>
      </c>
      <c r="I71" s="3"/>
      <c r="J71" s="8">
        <f t="shared" si="37"/>
        <v>0</v>
      </c>
      <c r="K71" s="3"/>
      <c r="L71" s="7">
        <f t="shared" si="38"/>
        <v>-4010.8999999999996</v>
      </c>
      <c r="M71" s="3"/>
      <c r="N71" s="8">
        <f t="shared" si="39"/>
        <v>-0.3254279918864097</v>
      </c>
      <c r="O71" s="12"/>
      <c r="P71" s="7">
        <v>8314.1</v>
      </c>
      <c r="Q71" s="3"/>
      <c r="R71" s="8">
        <f t="shared" si="40"/>
        <v>0.43016010000041399</v>
      </c>
      <c r="S71" s="3"/>
      <c r="T71" s="7">
        <v>12325</v>
      </c>
      <c r="U71" s="3"/>
      <c r="V71" s="8">
        <f t="shared" si="41"/>
        <v>0</v>
      </c>
      <c r="W71" s="3"/>
      <c r="X71" s="7">
        <f t="shared" si="42"/>
        <v>-4010.8999999999996</v>
      </c>
      <c r="Y71" s="3"/>
      <c r="Z71" s="8">
        <f t="shared" si="43"/>
        <v>-0.3254279918864097</v>
      </c>
    </row>
    <row r="72" spans="1:26" s="24" customFormat="1" hidden="1" outlineLevel="2" x14ac:dyDescent="0.25">
      <c r="A72" s="27"/>
      <c r="B72" s="12" t="str">
        <f>CONCATENATE("          ", "6286", " - ", "LAUNDRY EXPENSE")</f>
        <v xml:space="preserve">          6286 - LAUNDRY EXPENSE</v>
      </c>
      <c r="C72" s="12"/>
      <c r="D72" s="7">
        <v>1616.89</v>
      </c>
      <c r="E72" s="3"/>
      <c r="F72" s="8">
        <f t="shared" si="36"/>
        <v>8.3655664965500698E-2</v>
      </c>
      <c r="G72" s="3"/>
      <c r="H72" s="7">
        <v>4500</v>
      </c>
      <c r="I72" s="3"/>
      <c r="J72" s="8">
        <f t="shared" si="37"/>
        <v>0</v>
      </c>
      <c r="K72" s="3"/>
      <c r="L72" s="7">
        <f t="shared" si="38"/>
        <v>-2883.1099999999997</v>
      </c>
      <c r="M72" s="3"/>
      <c r="N72" s="8">
        <f t="shared" si="39"/>
        <v>-0.64069111111111099</v>
      </c>
      <c r="O72" s="12"/>
      <c r="P72" s="7">
        <v>1616.89</v>
      </c>
      <c r="Q72" s="3"/>
      <c r="R72" s="8">
        <f t="shared" si="40"/>
        <v>8.3655664965500698E-2</v>
      </c>
      <c r="S72" s="3"/>
      <c r="T72" s="7">
        <v>4500</v>
      </c>
      <c r="U72" s="3"/>
      <c r="V72" s="8">
        <f t="shared" si="41"/>
        <v>0</v>
      </c>
      <c r="W72" s="3"/>
      <c r="X72" s="7">
        <f t="shared" si="42"/>
        <v>-2883.1099999999997</v>
      </c>
      <c r="Y72" s="3"/>
      <c r="Z72" s="8">
        <f t="shared" si="43"/>
        <v>-0.64069111111111099</v>
      </c>
    </row>
    <row r="73" spans="1:26" s="29" customFormat="1" outlineLevel="1" collapsed="1" x14ac:dyDescent="0.25">
      <c r="A73" s="28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SUM(OSRRefD22_13x_0)</f>
        <v>6868.5199999999995</v>
      </c>
      <c r="E73" s="1"/>
      <c r="F73" s="5">
        <f t="shared" ref="F73:F82" si="44">IF(D$12=0,0,D73/D$12)</f>
        <v>0.3553677788401442</v>
      </c>
      <c r="G73" s="1"/>
      <c r="H73" s="1">
        <f>SUM(OSRRefH22_13x_0)</f>
        <v>16230</v>
      </c>
      <c r="I73" s="1"/>
      <c r="J73" s="5">
        <f t="shared" ref="J73:J82" si="45">IF(H$12=0,0,H73/H$12)</f>
        <v>0</v>
      </c>
      <c r="K73" s="1"/>
      <c r="L73" s="1">
        <f t="shared" ref="L73:L82" si="46">+D73-H73</f>
        <v>-9361.48</v>
      </c>
      <c r="M73" s="1"/>
      <c r="N73" s="5">
        <f t="shared" ref="N73:N82" si="47">IF(H73=0,0,L73/H73)</f>
        <v>-0.5768009858287122</v>
      </c>
      <c r="O73" s="14"/>
      <c r="P73" s="1">
        <f>SUM(OSRRefP22_13x_0)</f>
        <v>6868.5199999999995</v>
      </c>
      <c r="Q73" s="1"/>
      <c r="R73" s="5">
        <f t="shared" ref="R73:R82" si="48">IF(P$12=0,0,P73/P$12)</f>
        <v>0.3553677788401442</v>
      </c>
      <c r="S73" s="1"/>
      <c r="T73" s="1">
        <f>SUM(OSRRefT22_13x_0)</f>
        <v>16230</v>
      </c>
      <c r="U73" s="1"/>
      <c r="V73" s="5">
        <f t="shared" ref="V73:V82" si="49">IF(T$12=0,0,T73/T$12)</f>
        <v>0</v>
      </c>
      <c r="W73" s="1"/>
      <c r="X73" s="1">
        <f t="shared" ref="X73:X82" si="50">+P73-T73</f>
        <v>-9361.48</v>
      </c>
      <c r="Y73" s="1"/>
      <c r="Z73" s="5">
        <f t="shared" ref="Z73:Z82" si="51">IF(T73=0,0,X73/T73)</f>
        <v>-0.5768009858287122</v>
      </c>
    </row>
    <row r="74" spans="1:26" s="24" customFormat="1" hidden="1" outlineLevel="2" x14ac:dyDescent="0.25">
      <c r="A74" s="27"/>
      <c r="B74" s="12" t="str">
        <f>CONCATENATE("          ", "6234", " - ", "EXPENDABLE SUPPLIES &amp; EQUIPMEN")</f>
        <v xml:space="preserve">          6234 - EXPENDABLE SUPPLIES &amp; EQUIPMEN</v>
      </c>
      <c r="C74" s="12"/>
      <c r="D74" s="7"/>
      <c r="E74" s="3"/>
      <c r="F74" s="8">
        <f t="shared" si="44"/>
        <v>0</v>
      </c>
      <c r="G74" s="3"/>
      <c r="H74" s="7">
        <v>100</v>
      </c>
      <c r="I74" s="3"/>
      <c r="J74" s="8">
        <f t="shared" si="45"/>
        <v>0</v>
      </c>
      <c r="K74" s="3"/>
      <c r="L74" s="7">
        <f t="shared" si="46"/>
        <v>-100</v>
      </c>
      <c r="M74" s="3"/>
      <c r="N74" s="8">
        <f t="shared" si="47"/>
        <v>-1</v>
      </c>
      <c r="O74" s="12"/>
      <c r="P74" s="7"/>
      <c r="Q74" s="3"/>
      <c r="R74" s="8">
        <f t="shared" si="48"/>
        <v>0</v>
      </c>
      <c r="S74" s="3"/>
      <c r="T74" s="7">
        <v>100</v>
      </c>
      <c r="U74" s="3"/>
      <c r="V74" s="8">
        <f t="shared" si="49"/>
        <v>0</v>
      </c>
      <c r="W74" s="3"/>
      <c r="X74" s="7">
        <f t="shared" si="50"/>
        <v>-100</v>
      </c>
      <c r="Y74" s="3"/>
      <c r="Z74" s="8">
        <f t="shared" si="51"/>
        <v>-1</v>
      </c>
    </row>
    <row r="75" spans="1:26" s="24" customFormat="1" hidden="1" outlineLevel="2" x14ac:dyDescent="0.25">
      <c r="A75" s="27"/>
      <c r="B75" s="12" t="str">
        <f>CONCATENATE("          ", "6235", " - ", "COVID-19 EXPENSES")</f>
        <v xml:space="preserve">          6235 - COVID-19 EXPENSES</v>
      </c>
      <c r="C75" s="12"/>
      <c r="D75" s="7">
        <v>4966.12</v>
      </c>
      <c r="E75" s="3"/>
      <c r="F75" s="8">
        <f t="shared" si="44"/>
        <v>0.25694021912342352</v>
      </c>
      <c r="G75" s="3"/>
      <c r="H75" s="7">
        <v>5200</v>
      </c>
      <c r="I75" s="3"/>
      <c r="J75" s="8">
        <f t="shared" si="45"/>
        <v>0</v>
      </c>
      <c r="K75" s="3"/>
      <c r="L75" s="7">
        <f t="shared" si="46"/>
        <v>-233.88000000000011</v>
      </c>
      <c r="M75" s="3"/>
      <c r="N75" s="8">
        <f t="shared" si="47"/>
        <v>-4.4976923076923095E-2</v>
      </c>
      <c r="O75" s="12"/>
      <c r="P75" s="7">
        <v>4966.12</v>
      </c>
      <c r="Q75" s="3"/>
      <c r="R75" s="8">
        <f t="shared" si="48"/>
        <v>0.25694021912342352</v>
      </c>
      <c r="S75" s="3"/>
      <c r="T75" s="7">
        <v>5200</v>
      </c>
      <c r="U75" s="3"/>
      <c r="V75" s="8">
        <f t="shared" si="49"/>
        <v>0</v>
      </c>
      <c r="W75" s="3"/>
      <c r="X75" s="7">
        <f t="shared" si="50"/>
        <v>-233.88000000000011</v>
      </c>
      <c r="Y75" s="3"/>
      <c r="Z75" s="8">
        <f t="shared" si="51"/>
        <v>-4.4976923076923095E-2</v>
      </c>
    </row>
    <row r="76" spans="1:26" s="24" customFormat="1" hidden="1" outlineLevel="2" x14ac:dyDescent="0.25">
      <c r="A76" s="27"/>
      <c r="B76" s="12" t="str">
        <f>CONCATENATE("          ", "6237", " - ", "JANITORIAL SUPPLIES")</f>
        <v xml:space="preserve">          6237 - JANITORIAL SUPPLIES</v>
      </c>
      <c r="C76" s="12"/>
      <c r="D76" s="7">
        <v>1188.04</v>
      </c>
      <c r="E76" s="3"/>
      <c r="F76" s="8">
        <f t="shared" si="44"/>
        <v>6.1467555743194305E-2</v>
      </c>
      <c r="G76" s="3"/>
      <c r="H76" s="7">
        <v>4000</v>
      </c>
      <c r="I76" s="3"/>
      <c r="J76" s="8">
        <f t="shared" si="45"/>
        <v>0</v>
      </c>
      <c r="K76" s="3"/>
      <c r="L76" s="7">
        <f t="shared" si="46"/>
        <v>-2811.96</v>
      </c>
      <c r="M76" s="3"/>
      <c r="N76" s="8">
        <f t="shared" si="47"/>
        <v>-0.70299</v>
      </c>
      <c r="O76" s="12"/>
      <c r="P76" s="7">
        <v>1188.04</v>
      </c>
      <c r="Q76" s="3"/>
      <c r="R76" s="8">
        <f t="shared" si="48"/>
        <v>6.1467555743194305E-2</v>
      </c>
      <c r="S76" s="3"/>
      <c r="T76" s="7">
        <v>4000</v>
      </c>
      <c r="U76" s="3"/>
      <c r="V76" s="8">
        <f t="shared" si="49"/>
        <v>0</v>
      </c>
      <c r="W76" s="3"/>
      <c r="X76" s="7">
        <f t="shared" si="50"/>
        <v>-2811.96</v>
      </c>
      <c r="Y76" s="3"/>
      <c r="Z76" s="8">
        <f t="shared" si="51"/>
        <v>-0.70299</v>
      </c>
    </row>
    <row r="77" spans="1:26" s="24" customFormat="1" hidden="1" outlineLevel="2" x14ac:dyDescent="0.25">
      <c r="A77" s="27"/>
      <c r="B77" s="12" t="str">
        <f>CONCATENATE("          ", "6239", " - ", "KITCHEN SUPPLIES")</f>
        <v xml:space="preserve">          6239 - KITCHEN SUPPLIES</v>
      </c>
      <c r="C77" s="12"/>
      <c r="D77" s="7">
        <v>50</v>
      </c>
      <c r="E77" s="3"/>
      <c r="F77" s="8">
        <f t="shared" si="44"/>
        <v>2.5869312372981679E-3</v>
      </c>
      <c r="G77" s="3"/>
      <c r="H77" s="7">
        <v>1500</v>
      </c>
      <c r="I77" s="3"/>
      <c r="J77" s="8">
        <f t="shared" si="45"/>
        <v>0</v>
      </c>
      <c r="K77" s="3"/>
      <c r="L77" s="7">
        <f t="shared" si="46"/>
        <v>-1450</v>
      </c>
      <c r="M77" s="3"/>
      <c r="N77" s="8">
        <f t="shared" si="47"/>
        <v>-0.96666666666666667</v>
      </c>
      <c r="O77" s="12"/>
      <c r="P77" s="7">
        <v>50</v>
      </c>
      <c r="Q77" s="3"/>
      <c r="R77" s="8">
        <f t="shared" si="48"/>
        <v>2.5869312372981679E-3</v>
      </c>
      <c r="S77" s="3"/>
      <c r="T77" s="7">
        <v>1500</v>
      </c>
      <c r="U77" s="3"/>
      <c r="V77" s="8">
        <f t="shared" si="49"/>
        <v>0</v>
      </c>
      <c r="W77" s="3"/>
      <c r="X77" s="7">
        <f t="shared" si="50"/>
        <v>-1450</v>
      </c>
      <c r="Y77" s="3"/>
      <c r="Z77" s="8">
        <f t="shared" si="51"/>
        <v>-0.96666666666666667</v>
      </c>
    </row>
    <row r="78" spans="1:26" s="24" customFormat="1" hidden="1" outlineLevel="2" x14ac:dyDescent="0.25">
      <c r="A78" s="27"/>
      <c r="B78" s="12" t="str">
        <f>CONCATENATE("          ", "6241", " - ", "OFFICE EXPENSE")</f>
        <v xml:space="preserve">          6241 - OFFICE EXPENSE</v>
      </c>
      <c r="C78" s="12"/>
      <c r="D78" s="7">
        <v>16.48</v>
      </c>
      <c r="E78" s="3"/>
      <c r="F78" s="8">
        <f t="shared" si="44"/>
        <v>8.5265253581347613E-4</v>
      </c>
      <c r="G78" s="3"/>
      <c r="H78" s="7">
        <v>750</v>
      </c>
      <c r="I78" s="3"/>
      <c r="J78" s="8">
        <f t="shared" si="45"/>
        <v>0</v>
      </c>
      <c r="K78" s="3"/>
      <c r="L78" s="7">
        <f t="shared" si="46"/>
        <v>-733.52</v>
      </c>
      <c r="M78" s="3"/>
      <c r="N78" s="8">
        <f t="shared" si="47"/>
        <v>-0.9780266666666666</v>
      </c>
      <c r="O78" s="12"/>
      <c r="P78" s="7">
        <v>16.48</v>
      </c>
      <c r="Q78" s="3"/>
      <c r="R78" s="8">
        <f t="shared" si="48"/>
        <v>8.5265253581347613E-4</v>
      </c>
      <c r="S78" s="3"/>
      <c r="T78" s="7">
        <v>750</v>
      </c>
      <c r="U78" s="3"/>
      <c r="V78" s="8">
        <f t="shared" si="49"/>
        <v>0</v>
      </c>
      <c r="W78" s="3"/>
      <c r="X78" s="7">
        <f t="shared" si="50"/>
        <v>-733.52</v>
      </c>
      <c r="Y78" s="3"/>
      <c r="Z78" s="8">
        <f t="shared" si="51"/>
        <v>-0.9780266666666666</v>
      </c>
    </row>
    <row r="79" spans="1:26" s="24" customFormat="1" hidden="1" outlineLevel="2" x14ac:dyDescent="0.25">
      <c r="A79" s="27"/>
      <c r="B79" s="12" t="str">
        <f>CONCATENATE("          ", "6243", " - ", "PAPER SUPPLIES")</f>
        <v xml:space="preserve">          6243 - PAPER SUPPLIES</v>
      </c>
      <c r="C79" s="12"/>
      <c r="D79" s="7">
        <v>647.88</v>
      </c>
      <c r="E79" s="3"/>
      <c r="F79" s="8">
        <f t="shared" si="44"/>
        <v>3.3520420200414743E-2</v>
      </c>
      <c r="G79" s="3"/>
      <c r="H79" s="7">
        <v>500</v>
      </c>
      <c r="I79" s="3"/>
      <c r="J79" s="8">
        <f t="shared" si="45"/>
        <v>0</v>
      </c>
      <c r="K79" s="3"/>
      <c r="L79" s="7">
        <f t="shared" si="46"/>
        <v>147.88</v>
      </c>
      <c r="M79" s="3"/>
      <c r="N79" s="8">
        <f t="shared" si="47"/>
        <v>0.29575999999999997</v>
      </c>
      <c r="O79" s="12"/>
      <c r="P79" s="7">
        <v>647.88</v>
      </c>
      <c r="Q79" s="3"/>
      <c r="R79" s="8">
        <f t="shared" si="48"/>
        <v>3.3520420200414743E-2</v>
      </c>
      <c r="S79" s="3"/>
      <c r="T79" s="7">
        <v>500</v>
      </c>
      <c r="U79" s="3"/>
      <c r="V79" s="8">
        <f t="shared" si="49"/>
        <v>0</v>
      </c>
      <c r="W79" s="3"/>
      <c r="X79" s="7">
        <f t="shared" si="50"/>
        <v>147.88</v>
      </c>
      <c r="Y79" s="3"/>
      <c r="Z79" s="8">
        <f t="shared" si="51"/>
        <v>0.29575999999999997</v>
      </c>
    </row>
    <row r="80" spans="1:26" s="24" customFormat="1" hidden="1" outlineLevel="2" x14ac:dyDescent="0.25">
      <c r="A80" s="27"/>
      <c r="B80" s="12" t="str">
        <f>CONCATENATE("          ", "6244", " - ", "SAFETY SUPPLY EXPENSE")</f>
        <v xml:space="preserve">          6244 - SAFETY SUPPLY EXPENSE</v>
      </c>
      <c r="C80" s="12"/>
      <c r="D80" s="7"/>
      <c r="E80" s="3"/>
      <c r="F80" s="8">
        <f t="shared" si="44"/>
        <v>0</v>
      </c>
      <c r="G80" s="3"/>
      <c r="H80" s="7">
        <v>180</v>
      </c>
      <c r="I80" s="3"/>
      <c r="J80" s="8">
        <f t="shared" si="45"/>
        <v>0</v>
      </c>
      <c r="K80" s="3"/>
      <c r="L80" s="7">
        <f t="shared" si="46"/>
        <v>-180</v>
      </c>
      <c r="M80" s="3"/>
      <c r="N80" s="8">
        <f t="shared" si="47"/>
        <v>-1</v>
      </c>
      <c r="O80" s="12"/>
      <c r="P80" s="7"/>
      <c r="Q80" s="3"/>
      <c r="R80" s="8">
        <f t="shared" si="48"/>
        <v>0</v>
      </c>
      <c r="S80" s="3"/>
      <c r="T80" s="7">
        <v>180</v>
      </c>
      <c r="U80" s="3"/>
      <c r="V80" s="8">
        <f t="shared" si="49"/>
        <v>0</v>
      </c>
      <c r="W80" s="3"/>
      <c r="X80" s="7">
        <f t="shared" si="50"/>
        <v>-180</v>
      </c>
      <c r="Y80" s="3"/>
      <c r="Z80" s="8">
        <f t="shared" si="51"/>
        <v>-1</v>
      </c>
    </row>
    <row r="81" spans="1:26" s="24" customFormat="1" hidden="1" outlineLevel="2" x14ac:dyDescent="0.25">
      <c r="A81" s="27"/>
      <c r="B81" s="12" t="str">
        <f>CONCATENATE("          ", "6245", " - ", "PRINTING")</f>
        <v xml:space="preserve">          6245 - PRINTING</v>
      </c>
      <c r="C81" s="12"/>
      <c r="D81" s="7"/>
      <c r="E81" s="3"/>
      <c r="F81" s="8">
        <f t="shared" si="44"/>
        <v>0</v>
      </c>
      <c r="G81" s="3"/>
      <c r="H81" s="7">
        <v>650</v>
      </c>
      <c r="I81" s="3"/>
      <c r="J81" s="8">
        <f t="shared" si="45"/>
        <v>0</v>
      </c>
      <c r="K81" s="3"/>
      <c r="L81" s="7">
        <f t="shared" si="46"/>
        <v>-650</v>
      </c>
      <c r="M81" s="3"/>
      <c r="N81" s="8">
        <f t="shared" si="47"/>
        <v>-1</v>
      </c>
      <c r="O81" s="12"/>
      <c r="P81" s="7"/>
      <c r="Q81" s="3"/>
      <c r="R81" s="8">
        <f t="shared" si="48"/>
        <v>0</v>
      </c>
      <c r="S81" s="3"/>
      <c r="T81" s="7">
        <v>650</v>
      </c>
      <c r="U81" s="3"/>
      <c r="V81" s="8">
        <f t="shared" si="49"/>
        <v>0</v>
      </c>
      <c r="W81" s="3"/>
      <c r="X81" s="7">
        <f t="shared" si="50"/>
        <v>-650</v>
      </c>
      <c r="Y81" s="3"/>
      <c r="Z81" s="8">
        <f t="shared" si="51"/>
        <v>-1</v>
      </c>
    </row>
    <row r="82" spans="1:26" s="24" customFormat="1" hidden="1" outlineLevel="2" x14ac:dyDescent="0.25">
      <c r="A82" s="27"/>
      <c r="B82" s="12" t="str">
        <f>CONCATENATE("          ", "6248", " - ", "UNIFORMS")</f>
        <v xml:space="preserve">          6248 - UNIFORMS</v>
      </c>
      <c r="C82" s="12"/>
      <c r="D82" s="7"/>
      <c r="E82" s="3"/>
      <c r="F82" s="8">
        <f t="shared" si="44"/>
        <v>0</v>
      </c>
      <c r="G82" s="3"/>
      <c r="H82" s="7">
        <v>3350</v>
      </c>
      <c r="I82" s="3"/>
      <c r="J82" s="8">
        <f t="shared" si="45"/>
        <v>0</v>
      </c>
      <c r="K82" s="3"/>
      <c r="L82" s="7">
        <f t="shared" si="46"/>
        <v>-3350</v>
      </c>
      <c r="M82" s="3"/>
      <c r="N82" s="8">
        <f t="shared" si="47"/>
        <v>-1</v>
      </c>
      <c r="O82" s="12"/>
      <c r="P82" s="7"/>
      <c r="Q82" s="3"/>
      <c r="R82" s="8">
        <f t="shared" si="48"/>
        <v>0</v>
      </c>
      <c r="S82" s="3"/>
      <c r="T82" s="7">
        <v>3350</v>
      </c>
      <c r="U82" s="3"/>
      <c r="V82" s="8">
        <f t="shared" si="49"/>
        <v>0</v>
      </c>
      <c r="W82" s="3"/>
      <c r="X82" s="7">
        <f t="shared" si="50"/>
        <v>-3350</v>
      </c>
      <c r="Y82" s="3"/>
      <c r="Z82" s="8">
        <f t="shared" si="51"/>
        <v>-1</v>
      </c>
    </row>
    <row r="83" spans="1:26" s="29" customFormat="1" outlineLevel="1" collapsed="1" x14ac:dyDescent="0.25">
      <c r="A83" s="28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632.5</v>
      </c>
      <c r="E83" s="1"/>
      <c r="F83" s="5">
        <f t="shared" ref="F83:F85" si="52">IF(D$12=0,0,D83/D$12)</f>
        <v>3.2724680151821825E-2</v>
      </c>
      <c r="G83" s="1"/>
      <c r="H83" s="1">
        <f>SUM(OSRRefH22_14x_0)</f>
        <v>725</v>
      </c>
      <c r="I83" s="1"/>
      <c r="J83" s="5">
        <f t="shared" ref="J83:J85" si="53">IF(H$12=0,0,H83/H$12)</f>
        <v>0</v>
      </c>
      <c r="K83" s="1"/>
      <c r="L83" s="1">
        <f t="shared" ref="L83:L85" si="54">+D83-H83</f>
        <v>-92.5</v>
      </c>
      <c r="M83" s="1"/>
      <c r="N83" s="5">
        <f t="shared" ref="N83:N85" si="55">IF(H83=0,0,L83/H83)</f>
        <v>-0.12758620689655173</v>
      </c>
      <c r="O83" s="14"/>
      <c r="P83" s="1">
        <f>SUM(OSRRefP22_14x_0)</f>
        <v>632.5</v>
      </c>
      <c r="Q83" s="1"/>
      <c r="R83" s="5">
        <f t="shared" ref="R83:R85" si="56">IF(P$12=0,0,P83/P$12)</f>
        <v>3.2724680151821825E-2</v>
      </c>
      <c r="S83" s="1"/>
      <c r="T83" s="1">
        <f>SUM(OSRRefT22_14x_0)</f>
        <v>725</v>
      </c>
      <c r="U83" s="1"/>
      <c r="V83" s="5">
        <f t="shared" ref="V83:V85" si="57">IF(T$12=0,0,T83/T$12)</f>
        <v>0</v>
      </c>
      <c r="W83" s="1"/>
      <c r="X83" s="1">
        <f t="shared" ref="X83:X85" si="58">+P83-T83</f>
        <v>-92.5</v>
      </c>
      <c r="Y83" s="1"/>
      <c r="Z83" s="5">
        <f t="shared" ref="Z83:Z85" si="59">IF(T83=0,0,X83/T83)</f>
        <v>-0.12758620689655173</v>
      </c>
    </row>
    <row r="84" spans="1:26" s="24" customFormat="1" hidden="1" outlineLevel="2" x14ac:dyDescent="0.25">
      <c r="A84" s="27"/>
      <c r="B84" s="12" t="str">
        <f>CONCATENATE("          ", "6303", " - ", "DATA PHONE LINES")</f>
        <v xml:space="preserve">          6303 - DATA PHONE LINES</v>
      </c>
      <c r="C84" s="12"/>
      <c r="D84" s="7"/>
      <c r="E84" s="3"/>
      <c r="F84" s="8">
        <f t="shared" si="52"/>
        <v>0</v>
      </c>
      <c r="G84" s="3"/>
      <c r="H84" s="7">
        <v>500</v>
      </c>
      <c r="I84" s="3"/>
      <c r="J84" s="8">
        <f t="shared" si="53"/>
        <v>0</v>
      </c>
      <c r="K84" s="3"/>
      <c r="L84" s="7">
        <f t="shared" si="54"/>
        <v>-500</v>
      </c>
      <c r="M84" s="3"/>
      <c r="N84" s="8">
        <f t="shared" si="55"/>
        <v>-1</v>
      </c>
      <c r="O84" s="12"/>
      <c r="P84" s="7"/>
      <c r="Q84" s="3"/>
      <c r="R84" s="8">
        <f t="shared" si="56"/>
        <v>0</v>
      </c>
      <c r="S84" s="3"/>
      <c r="T84" s="7">
        <v>500</v>
      </c>
      <c r="U84" s="3"/>
      <c r="V84" s="8">
        <f t="shared" si="57"/>
        <v>0</v>
      </c>
      <c r="W84" s="3"/>
      <c r="X84" s="7">
        <f t="shared" si="58"/>
        <v>-500</v>
      </c>
      <c r="Y84" s="3"/>
      <c r="Z84" s="8">
        <f t="shared" si="59"/>
        <v>-1</v>
      </c>
    </row>
    <row r="85" spans="1:26" s="24" customFormat="1" hidden="1" outlineLevel="2" x14ac:dyDescent="0.25">
      <c r="A85" s="27"/>
      <c r="B85" s="12" t="str">
        <f>CONCATENATE("          ", "6309", " - ", "TELEPHONE")</f>
        <v xml:space="preserve">          6309 - TELEPHONE</v>
      </c>
      <c r="C85" s="12"/>
      <c r="D85" s="7">
        <v>632.5</v>
      </c>
      <c r="E85" s="3"/>
      <c r="F85" s="8">
        <f t="shared" si="52"/>
        <v>3.2724680151821825E-2</v>
      </c>
      <c r="G85" s="3"/>
      <c r="H85" s="7">
        <v>225</v>
      </c>
      <c r="I85" s="3"/>
      <c r="J85" s="8">
        <f t="shared" si="53"/>
        <v>0</v>
      </c>
      <c r="K85" s="3"/>
      <c r="L85" s="7">
        <f t="shared" si="54"/>
        <v>407.5</v>
      </c>
      <c r="M85" s="3"/>
      <c r="N85" s="8">
        <f t="shared" si="55"/>
        <v>1.8111111111111111</v>
      </c>
      <c r="O85" s="12"/>
      <c r="P85" s="7">
        <v>632.5</v>
      </c>
      <c r="Q85" s="3"/>
      <c r="R85" s="8">
        <f t="shared" si="56"/>
        <v>3.2724680151821825E-2</v>
      </c>
      <c r="S85" s="3"/>
      <c r="T85" s="7">
        <v>225</v>
      </c>
      <c r="U85" s="3"/>
      <c r="V85" s="8">
        <f t="shared" si="57"/>
        <v>0</v>
      </c>
      <c r="W85" s="3"/>
      <c r="X85" s="7">
        <f t="shared" si="58"/>
        <v>407.5</v>
      </c>
      <c r="Y85" s="3"/>
      <c r="Z85" s="8">
        <f t="shared" si="59"/>
        <v>1.8111111111111111</v>
      </c>
    </row>
    <row r="86" spans="1:26" s="29" customFormat="1" outlineLevel="1" collapsed="1" x14ac:dyDescent="0.25">
      <c r="A86" s="28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SUM(OSRRefD22_15x_0)</f>
        <v>0</v>
      </c>
      <c r="E86" s="1"/>
      <c r="F86" s="5">
        <f t="shared" ref="F86:F89" si="60">IF(D$12=0,0,D86/D$12)</f>
        <v>0</v>
      </c>
      <c r="G86" s="1"/>
      <c r="H86" s="1">
        <f>SUM(OSRRefH22_15x_0)</f>
        <v>400</v>
      </c>
      <c r="I86" s="1"/>
      <c r="J86" s="5">
        <f t="shared" ref="J86:J89" si="61">IF(H$12=0,0,H86/H$12)</f>
        <v>0</v>
      </c>
      <c r="K86" s="1"/>
      <c r="L86" s="1">
        <f t="shared" ref="L86:L89" si="62">+D86-H86</f>
        <v>-400</v>
      </c>
      <c r="M86" s="1"/>
      <c r="N86" s="5">
        <f t="shared" ref="N86:N89" si="63">IF(H86=0,0,L86/H86)</f>
        <v>-1</v>
      </c>
      <c r="O86" s="14"/>
      <c r="P86" s="1">
        <f>SUM(OSRRefP22_15x_0)</f>
        <v>0</v>
      </c>
      <c r="Q86" s="1"/>
      <c r="R86" s="5">
        <f t="shared" ref="R86:R89" si="64">IF(P$12=0,0,P86/P$12)</f>
        <v>0</v>
      </c>
      <c r="S86" s="1"/>
      <c r="T86" s="1">
        <f>SUM(OSRRefT22_15x_0)</f>
        <v>400</v>
      </c>
      <c r="U86" s="1"/>
      <c r="V86" s="5">
        <f t="shared" ref="V86:V89" si="65">IF(T$12=0,0,T86/T$12)</f>
        <v>0</v>
      </c>
      <c r="W86" s="1"/>
      <c r="X86" s="1">
        <f t="shared" ref="X86:X89" si="66">+P86-T86</f>
        <v>-400</v>
      </c>
      <c r="Y86" s="1"/>
      <c r="Z86" s="5">
        <f t="shared" ref="Z86:Z89" si="67">IF(T86=0,0,X86/T86)</f>
        <v>-1</v>
      </c>
    </row>
    <row r="87" spans="1:26" s="24" customFormat="1" hidden="1" outlineLevel="2" x14ac:dyDescent="0.25">
      <c r="A87" s="27"/>
      <c r="B87" s="12" t="str">
        <f>CONCATENATE("          ", "6376", " - ", "TRAINING")</f>
        <v xml:space="preserve">          6376 - TRAINING</v>
      </c>
      <c r="C87" s="12"/>
      <c r="D87" s="7"/>
      <c r="E87" s="3"/>
      <c r="F87" s="8">
        <f t="shared" si="60"/>
        <v>0</v>
      </c>
      <c r="G87" s="3"/>
      <c r="H87" s="7">
        <v>400</v>
      </c>
      <c r="I87" s="3"/>
      <c r="J87" s="8">
        <f t="shared" si="61"/>
        <v>0</v>
      </c>
      <c r="K87" s="3"/>
      <c r="L87" s="7">
        <f t="shared" si="62"/>
        <v>-400</v>
      </c>
      <c r="M87" s="3"/>
      <c r="N87" s="8">
        <f t="shared" si="63"/>
        <v>-1</v>
      </c>
      <c r="O87" s="12"/>
      <c r="P87" s="7"/>
      <c r="Q87" s="3"/>
      <c r="R87" s="8">
        <f t="shared" si="64"/>
        <v>0</v>
      </c>
      <c r="S87" s="3"/>
      <c r="T87" s="7">
        <v>400</v>
      </c>
      <c r="U87" s="3"/>
      <c r="V87" s="8">
        <f t="shared" si="65"/>
        <v>0</v>
      </c>
      <c r="W87" s="3"/>
      <c r="X87" s="7">
        <f t="shared" si="66"/>
        <v>-400</v>
      </c>
      <c r="Y87" s="3"/>
      <c r="Z87" s="8">
        <f t="shared" si="67"/>
        <v>-1</v>
      </c>
    </row>
    <row r="88" spans="1:26" s="29" customFormat="1" outlineLevel="1" collapsed="1" x14ac:dyDescent="0.25">
      <c r="A88" s="28"/>
      <c r="B88" s="14" t="str">
        <f>CONCATENATE("     ","Travel                                            ")</f>
        <v xml:space="preserve">     Travel                                            </v>
      </c>
      <c r="C88" s="14"/>
      <c r="D88" s="1">
        <f>SUM(OSRRefD22_16x_0)</f>
        <v>0</v>
      </c>
      <c r="E88" s="1"/>
      <c r="F88" s="5">
        <f t="shared" si="60"/>
        <v>0</v>
      </c>
      <c r="G88" s="1"/>
      <c r="H88" s="1">
        <f>SUM(OSRRefH22_16x_0)</f>
        <v>300</v>
      </c>
      <c r="I88" s="1"/>
      <c r="J88" s="5">
        <f t="shared" si="61"/>
        <v>0</v>
      </c>
      <c r="K88" s="1"/>
      <c r="L88" s="1">
        <f t="shared" si="62"/>
        <v>-300</v>
      </c>
      <c r="M88" s="1"/>
      <c r="N88" s="5">
        <f t="shared" si="63"/>
        <v>-1</v>
      </c>
      <c r="O88" s="14"/>
      <c r="P88" s="1">
        <f>SUM(OSRRefP22_16x_0)</f>
        <v>0</v>
      </c>
      <c r="Q88" s="1"/>
      <c r="R88" s="5">
        <f t="shared" si="64"/>
        <v>0</v>
      </c>
      <c r="S88" s="1"/>
      <c r="T88" s="1">
        <f>SUM(OSRRefT22_16x_0)</f>
        <v>300</v>
      </c>
      <c r="U88" s="1"/>
      <c r="V88" s="5">
        <f t="shared" si="65"/>
        <v>0</v>
      </c>
      <c r="W88" s="1"/>
      <c r="X88" s="1">
        <f t="shared" si="66"/>
        <v>-300</v>
      </c>
      <c r="Y88" s="1"/>
      <c r="Z88" s="5">
        <f t="shared" si="67"/>
        <v>-1</v>
      </c>
    </row>
    <row r="89" spans="1:26" s="24" customFormat="1" hidden="1" outlineLevel="2" x14ac:dyDescent="0.25">
      <c r="A89" s="27"/>
      <c r="B89" s="12" t="str">
        <f>CONCATENATE("          ", "6292", " - ", "TRAVEL/CONFERENCE")</f>
        <v xml:space="preserve">          6292 - TRAVEL/CONFERENCE</v>
      </c>
      <c r="C89" s="12"/>
      <c r="D89" s="7"/>
      <c r="E89" s="3"/>
      <c r="F89" s="8">
        <f t="shared" si="60"/>
        <v>0</v>
      </c>
      <c r="G89" s="3"/>
      <c r="H89" s="7">
        <v>300</v>
      </c>
      <c r="I89" s="3"/>
      <c r="J89" s="8">
        <f t="shared" si="61"/>
        <v>0</v>
      </c>
      <c r="K89" s="3"/>
      <c r="L89" s="7">
        <f t="shared" si="62"/>
        <v>-300</v>
      </c>
      <c r="M89" s="3"/>
      <c r="N89" s="8">
        <f t="shared" si="63"/>
        <v>-1</v>
      </c>
      <c r="O89" s="12"/>
      <c r="P89" s="7"/>
      <c r="Q89" s="3"/>
      <c r="R89" s="8">
        <f t="shared" si="64"/>
        <v>0</v>
      </c>
      <c r="S89" s="3"/>
      <c r="T89" s="7">
        <v>300</v>
      </c>
      <c r="U89" s="3"/>
      <c r="V89" s="8">
        <f t="shared" si="65"/>
        <v>0</v>
      </c>
      <c r="W89" s="3"/>
      <c r="X89" s="7">
        <f t="shared" si="66"/>
        <v>-300</v>
      </c>
      <c r="Y89" s="3"/>
      <c r="Z89" s="8">
        <f t="shared" si="67"/>
        <v>-1</v>
      </c>
    </row>
    <row r="90" spans="1:26" s="54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2" customFormat="1" x14ac:dyDescent="0.25">
      <c r="A91" s="10"/>
      <c r="B91" s="26" t="s">
        <v>0</v>
      </c>
      <c r="C91" s="10"/>
      <c r="D91" s="4">
        <f>SUM(0)</f>
        <v>0</v>
      </c>
      <c r="E91" s="4"/>
      <c r="F91" s="11">
        <f>IF(D$12=0,0,D91/D$12)</f>
        <v>0</v>
      </c>
      <c r="G91" s="4"/>
      <c r="H91" s="4">
        <f>SUM(0)</f>
        <v>0</v>
      </c>
      <c r="I91" s="4"/>
      <c r="J91" s="11">
        <f>IF(H$12=0,0,H91/H$12)</f>
        <v>0</v>
      </c>
      <c r="K91" s="4"/>
      <c r="L91" s="4">
        <f>+D91-H91</f>
        <v>0</v>
      </c>
      <c r="M91" s="4"/>
      <c r="N91" s="11">
        <f>IF(H91=0,0,L91/H91)</f>
        <v>0</v>
      </c>
      <c r="O91" s="10"/>
      <c r="P91" s="4">
        <f>SUM(0)</f>
        <v>0</v>
      </c>
      <c r="Q91" s="4"/>
      <c r="R91" s="11">
        <f>IF(P$12=0,0,P91/P$12)</f>
        <v>0</v>
      </c>
      <c r="S91" s="4"/>
      <c r="T91" s="4">
        <f>SUM(0)</f>
        <v>0</v>
      </c>
      <c r="U91" s="4"/>
      <c r="V91" s="11">
        <f>IF(T$12=0,0,T91/T$12)</f>
        <v>0</v>
      </c>
      <c r="W91" s="4"/>
      <c r="X91" s="4">
        <f>+P91-T91</f>
        <v>0</v>
      </c>
      <c r="Y91" s="4"/>
      <c r="Z91" s="11">
        <f>IF(T91=0,0,X91/T91)</f>
        <v>0</v>
      </c>
    </row>
    <row r="92" spans="1:26" x14ac:dyDescent="0.25">
      <c r="A92" s="9"/>
      <c r="B92" s="10"/>
      <c r="C92" s="10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10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22" customFormat="1" x14ac:dyDescent="0.25">
      <c r="A93" s="10"/>
      <c r="B93" s="25" t="s">
        <v>3</v>
      </c>
      <c r="C93" s="25"/>
      <c r="D93" s="21">
        <f>+D21-D23+D91</f>
        <v>-178331.7</v>
      </c>
      <c r="E93" s="13"/>
      <c r="F93" s="20">
        <f>IF(D$12=0,0,D93/D$12)</f>
        <v>-9.2266369066097145</v>
      </c>
      <c r="G93" s="13"/>
      <c r="H93" s="21">
        <f>+H21-H23+H91</f>
        <v>-294669.70411390759</v>
      </c>
      <c r="I93" s="13"/>
      <c r="J93" s="20">
        <f>IF(H$12=0,0,H93/H$12)</f>
        <v>0</v>
      </c>
      <c r="K93" s="15"/>
      <c r="L93" s="21">
        <f>+D93-H93</f>
        <v>116338.00411390758</v>
      </c>
      <c r="M93" s="15"/>
      <c r="N93" s="20">
        <f>IF(H93=0,0,L93/H93)</f>
        <v>-0.39480816144212755</v>
      </c>
      <c r="O93" s="26"/>
      <c r="P93" s="21">
        <f>+P21-P23+P91</f>
        <v>-178331.7</v>
      </c>
      <c r="Q93" s="13"/>
      <c r="R93" s="20">
        <f>IF(P$12=0,0,P93/P$12)</f>
        <v>-9.2266369066097145</v>
      </c>
      <c r="S93" s="13"/>
      <c r="T93" s="21">
        <f>+T21-T23+T91</f>
        <v>-294669.70411390759</v>
      </c>
      <c r="U93" s="13"/>
      <c r="V93" s="20">
        <f>IF(T$12=0,0,T93/T$12)</f>
        <v>0</v>
      </c>
      <c r="W93" s="15"/>
      <c r="X93" s="21">
        <f>+P93-T93</f>
        <v>116338.00411390758</v>
      </c>
      <c r="Y93" s="15"/>
      <c r="Z93" s="20">
        <f>IF(T93=0,0,X93/T93)</f>
        <v>-0.39480816144212755</v>
      </c>
    </row>
    <row r="94" spans="1:26" x14ac:dyDescent="0.25">
      <c r="A94" s="9"/>
      <c r="B94" s="10"/>
      <c r="C94" s="9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22" customFormat="1" x14ac:dyDescent="0.25">
      <c r="A95" s="52"/>
      <c r="B95" s="10" t="s">
        <v>14</v>
      </c>
      <c r="C95" s="10"/>
      <c r="D95" s="4">
        <v>9295.7000000000007</v>
      </c>
      <c r="E95" s="4"/>
      <c r="F95" s="11">
        <f>IF(D$12=0,0,D95/D$12)</f>
        <v>0.48094673405105159</v>
      </c>
      <c r="G95" s="4"/>
      <c r="H95" s="4">
        <v>0</v>
      </c>
      <c r="I95" s="4"/>
      <c r="J95" s="11">
        <f>IF(H$12=0,0,H95/H$12)</f>
        <v>0</v>
      </c>
      <c r="K95" s="4"/>
      <c r="L95" s="4">
        <f>+D95-H95</f>
        <v>9295.7000000000007</v>
      </c>
      <c r="M95" s="4"/>
      <c r="N95" s="11">
        <f>IF(H95=0,0,L95/H95)</f>
        <v>0</v>
      </c>
      <c r="O95" s="10"/>
      <c r="P95" s="4">
        <v>9295.7000000000007</v>
      </c>
      <c r="Q95" s="4"/>
      <c r="R95" s="11">
        <f>IF(P$12=0,0,P95/P$12)</f>
        <v>0.48094673405105159</v>
      </c>
      <c r="S95" s="4"/>
      <c r="T95" s="4">
        <v>0</v>
      </c>
      <c r="U95" s="4"/>
      <c r="V95" s="11">
        <f>IF(T$12=0,0,T95/T$12)</f>
        <v>0</v>
      </c>
      <c r="W95" s="4"/>
      <c r="X95" s="4">
        <f>+P95-T95</f>
        <v>9295.7000000000007</v>
      </c>
      <c r="Y95" s="4"/>
      <c r="Z95" s="11">
        <f>IF(T95=0,0,X95/T95)</f>
        <v>0</v>
      </c>
    </row>
    <row r="96" spans="1:26" x14ac:dyDescent="0.25">
      <c r="A96" s="9"/>
      <c r="B96" s="10"/>
      <c r="C96" s="10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10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2" customFormat="1" ht="15.75" thickBot="1" x14ac:dyDescent="0.3">
      <c r="A97" s="10"/>
      <c r="B97" s="25" t="s">
        <v>4</v>
      </c>
      <c r="C97" s="25"/>
      <c r="D97" s="34">
        <f>+D93-D95</f>
        <v>-187627.40000000002</v>
      </c>
      <c r="E97" s="13"/>
      <c r="F97" s="30">
        <f>IF(D$12=0,0,D97/D$12)</f>
        <v>-9.7075836406607667</v>
      </c>
      <c r="G97" s="13"/>
      <c r="H97" s="34">
        <f>+H93-H95</f>
        <v>-294669.70411390759</v>
      </c>
      <c r="I97" s="13"/>
      <c r="J97" s="30">
        <f>IF(H$12=0,0,H97/H$12)</f>
        <v>0</v>
      </c>
      <c r="K97" s="15"/>
      <c r="L97" s="34">
        <f>D97-H97</f>
        <v>107042.30411390756</v>
      </c>
      <c r="M97" s="15"/>
      <c r="N97" s="30">
        <f>IF(H97=0,0,L97/H97)</f>
        <v>-0.363261993409846</v>
      </c>
      <c r="O97" s="26"/>
      <c r="P97" s="34">
        <f>+P93-P95</f>
        <v>-187627.40000000002</v>
      </c>
      <c r="Q97" s="13"/>
      <c r="R97" s="30">
        <f>IF(P$12=0,0,P97/P$12)</f>
        <v>-9.7075836406607667</v>
      </c>
      <c r="S97" s="13"/>
      <c r="T97" s="34">
        <f>+T93-T95</f>
        <v>-294669.70411390759</v>
      </c>
      <c r="U97" s="13"/>
      <c r="V97" s="30">
        <f>IF(T$12=0,0,T97/T$12)</f>
        <v>0</v>
      </c>
      <c r="W97" s="15"/>
      <c r="X97" s="34">
        <f>P97-T97</f>
        <v>107042.30411390756</v>
      </c>
      <c r="Y97" s="15"/>
      <c r="Z97" s="30">
        <f>IF(T97=0,0,X97/T97)</f>
        <v>-0.363261993409846</v>
      </c>
    </row>
    <row r="98" spans="1:26" ht="15.75" thickTop="1" x14ac:dyDescent="0.25">
      <c r="A98" s="9"/>
      <c r="B98" s="9"/>
      <c r="C98" s="9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x14ac:dyDescent="0.25">
      <c r="A99" s="9"/>
      <c r="B99" s="9"/>
      <c r="C99" s="9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s="22" customFormat="1" ht="15.75" thickBot="1" x14ac:dyDescent="0.3">
      <c r="A100" s="10"/>
      <c r="B100" s="25" t="s">
        <v>5</v>
      </c>
      <c r="C100" s="25"/>
      <c r="D100" s="32">
        <f>SUM(D97:D99)</f>
        <v>-187627.40000000002</v>
      </c>
      <c r="E100" s="13"/>
      <c r="F100" s="33">
        <f>IF(D$12=0,0,D100/D$12)</f>
        <v>-9.7075836406607667</v>
      </c>
      <c r="G100" s="13"/>
      <c r="H100" s="32">
        <f>SUM(H97:H99)</f>
        <v>-294669.70411390759</v>
      </c>
      <c r="I100" s="13"/>
      <c r="J100" s="33">
        <f>IF(H$12=0,0,H100/H$12)</f>
        <v>0</v>
      </c>
      <c r="K100" s="15"/>
      <c r="L100" s="32">
        <f>+D100-H100</f>
        <v>107042.30411390756</v>
      </c>
      <c r="M100" s="15"/>
      <c r="N100" s="33">
        <f>IF(H100=0,0,L100/H100)</f>
        <v>-0.363261993409846</v>
      </c>
      <c r="O100" s="26"/>
      <c r="P100" s="32">
        <f>SUM(P97:P99)</f>
        <v>-187627.40000000002</v>
      </c>
      <c r="Q100" s="13"/>
      <c r="R100" s="33">
        <f>IF(P$12=0,0,P100/P$12)</f>
        <v>-9.7075836406607667</v>
      </c>
      <c r="S100" s="13"/>
      <c r="T100" s="32">
        <f>SUM(T97:T99)</f>
        <v>-294669.70411390759</v>
      </c>
      <c r="U100" s="13"/>
      <c r="V100" s="33">
        <f>IF(T$12=0,0,T100/T$12)</f>
        <v>0</v>
      </c>
      <c r="W100" s="15"/>
      <c r="X100" s="32">
        <f>+P100-T100</f>
        <v>107042.30411390756</v>
      </c>
      <c r="Y100" s="15"/>
      <c r="Z100" s="33">
        <f>IF(T100=0,0,X100/T100)</f>
        <v>-0.363261993409846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8">
        <v>44104.685630752312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6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2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","430", " - ", "Res Hall Management")</f>
        <v>Department 430 - Res Hall Management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21521.99</v>
      </c>
      <c r="E18" s="19"/>
      <c r="F18" s="31">
        <f t="shared" ref="F18:F28" si="0">IF(D$12=0,0,D18/D$12)</f>
        <v>0</v>
      </c>
      <c r="G18" s="19"/>
      <c r="H18" s="19">
        <f>SUM(OSRRefH22x_0)</f>
        <v>16506.915925000001</v>
      </c>
      <c r="I18" s="19"/>
      <c r="J18" s="31">
        <f t="shared" ref="J18:J28" si="1">IF(H$12=0,0,H18/H$12)</f>
        <v>0</v>
      </c>
      <c r="K18" s="4"/>
      <c r="L18" s="19">
        <f t="shared" ref="L18:L28" si="2">+D18-H18</f>
        <v>5015.0740750000004</v>
      </c>
      <c r="M18" s="4"/>
      <c r="N18" s="31">
        <f t="shared" ref="N18:N28" si="3">IF(H18=0,0,L18/H18)</f>
        <v>0.30381653955143656</v>
      </c>
      <c r="O18" s="10"/>
      <c r="P18" s="19">
        <f>SUM(OSRRefP22x_0)</f>
        <v>21521.99</v>
      </c>
      <c r="Q18" s="19"/>
      <c r="R18" s="31">
        <f t="shared" ref="R18:R28" si="4">IF(P$12=0,0,P18/P$12)</f>
        <v>0</v>
      </c>
      <c r="S18" s="19"/>
      <c r="T18" s="19">
        <f>SUM(OSRRefT22x_0)</f>
        <v>16506.915925000001</v>
      </c>
      <c r="U18" s="19"/>
      <c r="V18" s="31">
        <f t="shared" ref="V18:V28" si="5">IF(T$12=0,0,T18/T$12)</f>
        <v>0</v>
      </c>
      <c r="W18" s="4"/>
      <c r="X18" s="19">
        <f t="shared" ref="X18:X28" si="6">+P18-T18</f>
        <v>5015.0740750000004</v>
      </c>
      <c r="Y18" s="4"/>
      <c r="Z18" s="31">
        <f t="shared" ref="Z18:Z28" si="7">IF(T18=0,0,X18/T18)</f>
        <v>0.30381653955143656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5333.25</v>
      </c>
      <c r="E19" s="1"/>
      <c r="F19" s="5">
        <f t="shared" si="0"/>
        <v>0</v>
      </c>
      <c r="G19" s="1"/>
      <c r="H19" s="1">
        <f>SUM(OSRRefH22_0x_0)</f>
        <v>4869.2909250000002</v>
      </c>
      <c r="I19" s="1"/>
      <c r="J19" s="5">
        <f t="shared" si="1"/>
        <v>0</v>
      </c>
      <c r="K19" s="1"/>
      <c r="L19" s="1">
        <f t="shared" si="2"/>
        <v>463.95907499999976</v>
      </c>
      <c r="M19" s="1"/>
      <c r="N19" s="5">
        <f t="shared" si="3"/>
        <v>9.5282677117921377E-2</v>
      </c>
      <c r="O19" s="14"/>
      <c r="P19" s="1">
        <f>SUM(OSRRefP22_0x_0)</f>
        <v>5333.25</v>
      </c>
      <c r="Q19" s="1"/>
      <c r="R19" s="5">
        <f t="shared" si="4"/>
        <v>0</v>
      </c>
      <c r="S19" s="1"/>
      <c r="T19" s="1">
        <f>SUM(OSRRefT22_0x_0)</f>
        <v>4869.2909250000002</v>
      </c>
      <c r="U19" s="1"/>
      <c r="V19" s="5">
        <f t="shared" si="5"/>
        <v>0</v>
      </c>
      <c r="W19" s="1"/>
      <c r="X19" s="1">
        <f t="shared" si="6"/>
        <v>463.95907499999976</v>
      </c>
      <c r="Y19" s="1"/>
      <c r="Z19" s="5">
        <f t="shared" si="7"/>
        <v>9.5282677117921377E-2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685.42</v>
      </c>
      <c r="E20" s="3"/>
      <c r="F20" s="8">
        <f t="shared" si="0"/>
        <v>0</v>
      </c>
      <c r="G20" s="3"/>
      <c r="H20" s="7">
        <v>856.94467499999996</v>
      </c>
      <c r="I20" s="3"/>
      <c r="J20" s="8">
        <f t="shared" si="1"/>
        <v>0</v>
      </c>
      <c r="K20" s="3"/>
      <c r="L20" s="7">
        <f t="shared" si="2"/>
        <v>-171.524675</v>
      </c>
      <c r="M20" s="3"/>
      <c r="N20" s="8">
        <f t="shared" si="3"/>
        <v>-0.20015839995738349</v>
      </c>
      <c r="O20" s="12"/>
      <c r="P20" s="7">
        <v>685.42</v>
      </c>
      <c r="Q20" s="3"/>
      <c r="R20" s="8">
        <f t="shared" si="4"/>
        <v>0</v>
      </c>
      <c r="S20" s="3"/>
      <c r="T20" s="7">
        <v>856.94467499999996</v>
      </c>
      <c r="U20" s="3"/>
      <c r="V20" s="8">
        <f t="shared" si="5"/>
        <v>0</v>
      </c>
      <c r="W20" s="3"/>
      <c r="X20" s="7">
        <f t="shared" si="6"/>
        <v>-171.524675</v>
      </c>
      <c r="Y20" s="3"/>
      <c r="Z20" s="8">
        <f t="shared" si="7"/>
        <v>-0.20015839995738349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384.36</v>
      </c>
      <c r="E21" s="3"/>
      <c r="F21" s="8">
        <f t="shared" si="0"/>
        <v>0</v>
      </c>
      <c r="G21" s="3"/>
      <c r="H21" s="7">
        <v>480.37275</v>
      </c>
      <c r="I21" s="3"/>
      <c r="J21" s="8">
        <f t="shared" si="1"/>
        <v>0</v>
      </c>
      <c r="K21" s="3"/>
      <c r="L21" s="7">
        <f t="shared" si="2"/>
        <v>-96.012749999999983</v>
      </c>
      <c r="M21" s="3"/>
      <c r="N21" s="8">
        <f t="shared" si="3"/>
        <v>-0.19987134990483948</v>
      </c>
      <c r="O21" s="12"/>
      <c r="P21" s="7">
        <v>384.36</v>
      </c>
      <c r="Q21" s="3"/>
      <c r="R21" s="8">
        <f t="shared" si="4"/>
        <v>0</v>
      </c>
      <c r="S21" s="3"/>
      <c r="T21" s="7">
        <v>480.37275</v>
      </c>
      <c r="U21" s="3"/>
      <c r="V21" s="8">
        <f t="shared" si="5"/>
        <v>0</v>
      </c>
      <c r="W21" s="3"/>
      <c r="X21" s="7">
        <f t="shared" si="6"/>
        <v>-96.012749999999983</v>
      </c>
      <c r="Y21" s="3"/>
      <c r="Z21" s="8">
        <f t="shared" si="7"/>
        <v>-0.19987134990483948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2737.9</v>
      </c>
      <c r="E22" s="3"/>
      <c r="F22" s="8">
        <f t="shared" si="0"/>
        <v>0</v>
      </c>
      <c r="G22" s="3"/>
      <c r="H22" s="7">
        <v>1980</v>
      </c>
      <c r="I22" s="3"/>
      <c r="J22" s="8">
        <f t="shared" si="1"/>
        <v>0</v>
      </c>
      <c r="K22" s="3"/>
      <c r="L22" s="7">
        <f t="shared" si="2"/>
        <v>757.90000000000009</v>
      </c>
      <c r="M22" s="3"/>
      <c r="N22" s="8">
        <f t="shared" si="3"/>
        <v>0.38277777777777783</v>
      </c>
      <c r="O22" s="12"/>
      <c r="P22" s="7">
        <v>2737.9</v>
      </c>
      <c r="Q22" s="3"/>
      <c r="R22" s="8">
        <f t="shared" si="4"/>
        <v>0</v>
      </c>
      <c r="S22" s="3"/>
      <c r="T22" s="7">
        <v>1980</v>
      </c>
      <c r="U22" s="3"/>
      <c r="V22" s="8">
        <f t="shared" si="5"/>
        <v>0</v>
      </c>
      <c r="W22" s="3"/>
      <c r="X22" s="7">
        <f t="shared" si="6"/>
        <v>757.90000000000009</v>
      </c>
      <c r="Y22" s="3"/>
      <c r="Z22" s="8">
        <f t="shared" si="7"/>
        <v>0.38277777777777783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23.29</v>
      </c>
      <c r="E23" s="3"/>
      <c r="F23" s="8">
        <f t="shared" si="0"/>
        <v>0</v>
      </c>
      <c r="G23" s="3"/>
      <c r="H23" s="7">
        <v>29.113499999999998</v>
      </c>
      <c r="I23" s="3"/>
      <c r="J23" s="8">
        <f t="shared" si="1"/>
        <v>0</v>
      </c>
      <c r="K23" s="3"/>
      <c r="L23" s="7">
        <f t="shared" si="2"/>
        <v>-5.8234999999999992</v>
      </c>
      <c r="M23" s="3"/>
      <c r="N23" s="8">
        <f t="shared" si="3"/>
        <v>-0.20002747866110221</v>
      </c>
      <c r="O23" s="12"/>
      <c r="P23" s="7">
        <v>23.29</v>
      </c>
      <c r="Q23" s="3"/>
      <c r="R23" s="8">
        <f t="shared" si="4"/>
        <v>0</v>
      </c>
      <c r="S23" s="3"/>
      <c r="T23" s="7">
        <v>29.113499999999998</v>
      </c>
      <c r="U23" s="3"/>
      <c r="V23" s="8">
        <f t="shared" si="5"/>
        <v>0</v>
      </c>
      <c r="W23" s="3"/>
      <c r="X23" s="7">
        <f t="shared" si="6"/>
        <v>-5.8234999999999992</v>
      </c>
      <c r="Y23" s="3"/>
      <c r="Z23" s="8">
        <f t="shared" si="7"/>
        <v>-0.20002747866110221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1038.8599999999999</v>
      </c>
      <c r="E24" s="3"/>
      <c r="F24" s="8">
        <f t="shared" si="0"/>
        <v>0</v>
      </c>
      <c r="G24" s="3"/>
      <c r="H24" s="7">
        <v>962.98500000000001</v>
      </c>
      <c r="I24" s="3"/>
      <c r="J24" s="8">
        <f t="shared" si="1"/>
        <v>0</v>
      </c>
      <c r="K24" s="3"/>
      <c r="L24" s="7">
        <f t="shared" si="2"/>
        <v>75.874999999999886</v>
      </c>
      <c r="M24" s="3"/>
      <c r="N24" s="8">
        <f t="shared" si="3"/>
        <v>7.87914661183714E-2</v>
      </c>
      <c r="O24" s="12"/>
      <c r="P24" s="7">
        <v>1038.8599999999999</v>
      </c>
      <c r="Q24" s="3"/>
      <c r="R24" s="8">
        <f t="shared" si="4"/>
        <v>0</v>
      </c>
      <c r="S24" s="3"/>
      <c r="T24" s="7">
        <v>962.98500000000001</v>
      </c>
      <c r="U24" s="3"/>
      <c r="V24" s="8">
        <f t="shared" si="5"/>
        <v>0</v>
      </c>
      <c r="W24" s="3"/>
      <c r="X24" s="7">
        <f t="shared" si="6"/>
        <v>75.874999999999886</v>
      </c>
      <c r="Y24" s="3"/>
      <c r="Z24" s="8">
        <f t="shared" si="7"/>
        <v>7.87914661183714E-2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"6118", " - ", "VACATION")</f>
        <v xml:space="preserve">          6118 - VACATION</v>
      </c>
      <c r="C26" s="12"/>
      <c r="D26" s="7">
        <v>34.159999999999997</v>
      </c>
      <c r="E26" s="3"/>
      <c r="F26" s="8">
        <f t="shared" si="0"/>
        <v>0</v>
      </c>
      <c r="G26" s="3"/>
      <c r="H26" s="7">
        <v>335.92500000000001</v>
      </c>
      <c r="I26" s="3"/>
      <c r="J26" s="8">
        <f t="shared" si="1"/>
        <v>0</v>
      </c>
      <c r="K26" s="3"/>
      <c r="L26" s="7">
        <f t="shared" si="2"/>
        <v>-301.76499999999999</v>
      </c>
      <c r="M26" s="3"/>
      <c r="N26" s="8">
        <f t="shared" si="3"/>
        <v>-0.89831063481431861</v>
      </c>
      <c r="O26" s="12"/>
      <c r="P26" s="7">
        <v>34.159999999999997</v>
      </c>
      <c r="Q26" s="3"/>
      <c r="R26" s="8">
        <f t="shared" si="4"/>
        <v>0</v>
      </c>
      <c r="S26" s="3"/>
      <c r="T26" s="7">
        <v>335.92500000000001</v>
      </c>
      <c r="U26" s="3"/>
      <c r="V26" s="8">
        <f t="shared" si="5"/>
        <v>0</v>
      </c>
      <c r="W26" s="3"/>
      <c r="X26" s="7">
        <f t="shared" si="6"/>
        <v>-301.76499999999999</v>
      </c>
      <c r="Y26" s="3"/>
      <c r="Z26" s="8">
        <f t="shared" si="7"/>
        <v>-0.89831063481431861</v>
      </c>
    </row>
    <row r="27" spans="1:26" s="24" customFormat="1" hidden="1" outlineLevel="2" x14ac:dyDescent="0.25">
      <c r="A27" s="27"/>
      <c r="B27" s="12" t="str">
        <f>CONCATENATE("          ", "6119", " - ", "SICK LEAVE")</f>
        <v xml:space="preserve">          6119 - SICK LEAVE</v>
      </c>
      <c r="C27" s="12"/>
      <c r="D27" s="7">
        <v>413.26</v>
      </c>
      <c r="E27" s="3"/>
      <c r="F27" s="8">
        <f t="shared" si="0"/>
        <v>0</v>
      </c>
      <c r="G27" s="3"/>
      <c r="H27" s="7">
        <v>223.95</v>
      </c>
      <c r="I27" s="3"/>
      <c r="J27" s="8">
        <f t="shared" si="1"/>
        <v>0</v>
      </c>
      <c r="K27" s="3"/>
      <c r="L27" s="7">
        <f t="shared" si="2"/>
        <v>189.31</v>
      </c>
      <c r="M27" s="3"/>
      <c r="N27" s="8">
        <f t="shared" si="3"/>
        <v>0.84532261665550357</v>
      </c>
      <c r="O27" s="12"/>
      <c r="P27" s="7">
        <v>413.26</v>
      </c>
      <c r="Q27" s="3"/>
      <c r="R27" s="8">
        <f t="shared" si="4"/>
        <v>0</v>
      </c>
      <c r="S27" s="3"/>
      <c r="T27" s="7">
        <v>223.95</v>
      </c>
      <c r="U27" s="3"/>
      <c r="V27" s="8">
        <f t="shared" si="5"/>
        <v>0</v>
      </c>
      <c r="W27" s="3"/>
      <c r="X27" s="7">
        <f t="shared" si="6"/>
        <v>189.31</v>
      </c>
      <c r="Y27" s="3"/>
      <c r="Z27" s="8">
        <f t="shared" si="7"/>
        <v>0.84532261665550357</v>
      </c>
    </row>
    <row r="28" spans="1:26" s="24" customFormat="1" hidden="1" outlineLevel="2" x14ac:dyDescent="0.25">
      <c r="A28" s="27"/>
      <c r="B28" s="12" t="str">
        <f>CONCATENATE("          ", "6156", " - ", "EMPLOYEE MEALS")</f>
        <v xml:space="preserve">          6156 - EMPLOYEE MEALS</v>
      </c>
      <c r="C28" s="12"/>
      <c r="D28" s="7">
        <v>16</v>
      </c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16</v>
      </c>
      <c r="M28" s="3"/>
      <c r="N28" s="8">
        <f t="shared" si="3"/>
        <v>0</v>
      </c>
      <c r="O28" s="12"/>
      <c r="P28" s="7">
        <v>16</v>
      </c>
      <c r="Q28" s="3"/>
      <c r="R28" s="8">
        <f t="shared" si="4"/>
        <v>0</v>
      </c>
      <c r="S28" s="3"/>
      <c r="T28" s="7"/>
      <c r="U28" s="3"/>
      <c r="V28" s="8">
        <f t="shared" si="5"/>
        <v>0</v>
      </c>
      <c r="W28" s="3"/>
      <c r="X28" s="7">
        <f t="shared" si="6"/>
        <v>16</v>
      </c>
      <c r="Y28" s="3"/>
      <c r="Z28" s="8">
        <f t="shared" si="7"/>
        <v>0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11199.54</v>
      </c>
      <c r="E29" s="1"/>
      <c r="F29" s="5">
        <f t="shared" ref="F29:F39" si="8">IF(D$12=0,0,D29/D$12)</f>
        <v>0</v>
      </c>
      <c r="G29" s="1"/>
      <c r="H29" s="1">
        <f>SUM(OSRRefH22_1x_0)</f>
        <v>10637.625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561.91500000000087</v>
      </c>
      <c r="M29" s="1"/>
      <c r="N29" s="5">
        <f t="shared" ref="N29:N39" si="11">IF(H29=0,0,L29/H29)</f>
        <v>5.2823351076955696E-2</v>
      </c>
      <c r="O29" s="14"/>
      <c r="P29" s="1">
        <f>SUM(OSRRefP22_1x_0)</f>
        <v>11199.54</v>
      </c>
      <c r="Q29" s="1"/>
      <c r="R29" s="5">
        <f t="shared" ref="R29:R39" si="12">IF(P$12=0,0,P29/P$12)</f>
        <v>0</v>
      </c>
      <c r="S29" s="1"/>
      <c r="T29" s="1">
        <f>SUM(OSRRefT22_1x_0)</f>
        <v>10637.625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561.91500000000087</v>
      </c>
      <c r="Y29" s="1"/>
      <c r="Z29" s="5">
        <f t="shared" ref="Z29:Z39" si="15">IF(T29=0,0,X29/T29)</f>
        <v>5.2823351076955696E-2</v>
      </c>
    </row>
    <row r="30" spans="1:26" s="24" customFormat="1" hidden="1" outlineLevel="2" x14ac:dyDescent="0.25">
      <c r="A30" s="27"/>
      <c r="B30" s="12" t="str">
        <f>CONCATENATE("          ", "6001", " - ", "ADMINISTRATIVE SALARIES")</f>
        <v xml:space="preserve">          6001 - ADMINISTRATIVE SALARIES</v>
      </c>
      <c r="C30" s="12"/>
      <c r="D30" s="7">
        <v>11199.54</v>
      </c>
      <c r="E30" s="3"/>
      <c r="F30" s="8">
        <f t="shared" si="8"/>
        <v>0</v>
      </c>
      <c r="G30" s="3"/>
      <c r="H30" s="7">
        <v>0</v>
      </c>
      <c r="I30" s="3"/>
      <c r="J30" s="8">
        <f t="shared" si="9"/>
        <v>0</v>
      </c>
      <c r="K30" s="3"/>
      <c r="L30" s="7">
        <f t="shared" si="10"/>
        <v>11199.54</v>
      </c>
      <c r="M30" s="3"/>
      <c r="N30" s="8">
        <f t="shared" si="11"/>
        <v>0</v>
      </c>
      <c r="O30" s="12"/>
      <c r="P30" s="7">
        <v>11199.54</v>
      </c>
      <c r="Q30" s="3"/>
      <c r="R30" s="8">
        <f t="shared" si="12"/>
        <v>0</v>
      </c>
      <c r="S30" s="3"/>
      <c r="T30" s="7">
        <v>0</v>
      </c>
      <c r="U30" s="3"/>
      <c r="V30" s="8">
        <f t="shared" si="13"/>
        <v>0</v>
      </c>
      <c r="W30" s="3"/>
      <c r="X30" s="7">
        <f t="shared" si="14"/>
        <v>11199.54</v>
      </c>
      <c r="Y30" s="3"/>
      <c r="Z30" s="8">
        <f t="shared" si="15"/>
        <v>0</v>
      </c>
    </row>
    <row r="31" spans="1:26" s="24" customFormat="1" hidden="1" outlineLevel="2" x14ac:dyDescent="0.25">
      <c r="A31" s="27"/>
      <c r="B31" s="12" t="str">
        <f>CONCATENATE("          ", "6002", " - ", "STAFF SALARIES")</f>
        <v xml:space="preserve">          6002 - STAFF SALARIES</v>
      </c>
      <c r="C31" s="12"/>
      <c r="D31" s="7"/>
      <c r="E31" s="3"/>
      <c r="F31" s="8">
        <f t="shared" si="8"/>
        <v>0</v>
      </c>
      <c r="G31" s="3"/>
      <c r="H31" s="7">
        <v>10637.625</v>
      </c>
      <c r="I31" s="3"/>
      <c r="J31" s="8">
        <f t="shared" si="9"/>
        <v>0</v>
      </c>
      <c r="K31" s="3"/>
      <c r="L31" s="7">
        <f t="shared" si="10"/>
        <v>-10637.625</v>
      </c>
      <c r="M31" s="3"/>
      <c r="N31" s="8">
        <f t="shared" si="11"/>
        <v>-1</v>
      </c>
      <c r="O31" s="12"/>
      <c r="P31" s="7"/>
      <c r="Q31" s="3"/>
      <c r="R31" s="8">
        <f t="shared" si="12"/>
        <v>0</v>
      </c>
      <c r="S31" s="3"/>
      <c r="T31" s="7">
        <v>10637.625</v>
      </c>
      <c r="U31" s="3"/>
      <c r="V31" s="8">
        <f t="shared" si="13"/>
        <v>0</v>
      </c>
      <c r="W31" s="3"/>
      <c r="X31" s="7">
        <f t="shared" si="14"/>
        <v>-10637.625</v>
      </c>
      <c r="Y31" s="3"/>
      <c r="Z31" s="8">
        <f t="shared" si="15"/>
        <v>-1</v>
      </c>
    </row>
    <row r="32" spans="1:26" s="24" customFormat="1" hidden="1" outlineLevel="2" x14ac:dyDescent="0.25">
      <c r="A32" s="27"/>
      <c r="B32" s="12" t="str">
        <f>CONCATENATE("          ", "6003", " - ", "STAFF HOURLY-9 MONTH")</f>
        <v xml:space="preserve">          6003 - STAFF HOURLY-9 MONTH</v>
      </c>
      <c r="C32" s="12"/>
      <c r="D32" s="7"/>
      <c r="E32" s="3"/>
      <c r="F32" s="8">
        <f t="shared" si="8"/>
        <v>0</v>
      </c>
      <c r="G32" s="3"/>
      <c r="H32" s="7">
        <v>0</v>
      </c>
      <c r="I32" s="3"/>
      <c r="J32" s="8">
        <f t="shared" si="9"/>
        <v>0</v>
      </c>
      <c r="K32" s="3"/>
      <c r="L32" s="7">
        <f t="shared" si="10"/>
        <v>0</v>
      </c>
      <c r="M32" s="3"/>
      <c r="N32" s="8">
        <f t="shared" si="11"/>
        <v>0</v>
      </c>
      <c r="O32" s="12"/>
      <c r="P32" s="7"/>
      <c r="Q32" s="3"/>
      <c r="R32" s="8">
        <f t="shared" si="12"/>
        <v>0</v>
      </c>
      <c r="S32" s="3"/>
      <c r="T32" s="7">
        <v>0</v>
      </c>
      <c r="U32" s="3"/>
      <c r="V32" s="8">
        <f t="shared" si="13"/>
        <v>0</v>
      </c>
      <c r="W32" s="3"/>
      <c r="X32" s="7">
        <f t="shared" si="14"/>
        <v>0</v>
      </c>
      <c r="Y32" s="3"/>
      <c r="Z32" s="8">
        <f t="shared" si="15"/>
        <v>0</v>
      </c>
    </row>
    <row r="33" spans="1:26" s="24" customFormat="1" hidden="1" outlineLevel="2" x14ac:dyDescent="0.25">
      <c r="A33" s="27"/>
      <c r="B33" s="12" t="str">
        <f>CONCATENATE("          ", "6004", " - ", "STAFF HOURLY")</f>
        <v xml:space="preserve">          6004 - STAFF HOURLY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"6005", " - ", "TEMPORARY WAGES-HOURLY")</f>
        <v xml:space="preserve">          6005 - TEMPORARY WAGES-HOURLY</v>
      </c>
      <c r="C34" s="12"/>
      <c r="D34" s="7"/>
      <c r="E34" s="3"/>
      <c r="F34" s="8">
        <f t="shared" si="8"/>
        <v>0</v>
      </c>
      <c r="G34" s="3"/>
      <c r="H34" s="7">
        <v>0</v>
      </c>
      <c r="I34" s="3"/>
      <c r="J34" s="8">
        <f t="shared" si="9"/>
        <v>0</v>
      </c>
      <c r="K34" s="3"/>
      <c r="L34" s="7">
        <f t="shared" si="10"/>
        <v>0</v>
      </c>
      <c r="M34" s="3"/>
      <c r="N34" s="8">
        <f t="shared" si="11"/>
        <v>0</v>
      </c>
      <c r="O34" s="12"/>
      <c r="P34" s="7"/>
      <c r="Q34" s="3"/>
      <c r="R34" s="8">
        <f t="shared" si="12"/>
        <v>0</v>
      </c>
      <c r="S34" s="3"/>
      <c r="T34" s="7">
        <v>0</v>
      </c>
      <c r="U34" s="3"/>
      <c r="V34" s="8">
        <f t="shared" si="13"/>
        <v>0</v>
      </c>
      <c r="W34" s="3"/>
      <c r="X34" s="7">
        <f t="shared" si="14"/>
        <v>0</v>
      </c>
      <c r="Y34" s="3"/>
      <c r="Z34" s="8">
        <f t="shared" si="15"/>
        <v>0</v>
      </c>
    </row>
    <row r="35" spans="1:26" s="24" customFormat="1" hidden="1" outlineLevel="2" x14ac:dyDescent="0.25">
      <c r="A35" s="27"/>
      <c r="B35" s="12" t="str">
        <f>CONCATENATE("          ", "6006", " - ", "TEMPORARY PART TIME")</f>
        <v xml:space="preserve">          6006 - TEMPORARY PART TIME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"6007", " - ", "STUDENT HOURLY")</f>
        <v xml:space="preserve">          6007 - STUDENT HOURLY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"6008", " - ", "STUDENT HOURLY-FICA EXEMPT")</f>
        <v xml:space="preserve">          6008 - STUDENT HOURLY-FICA EXEMPT</v>
      </c>
      <c r="C37" s="12"/>
      <c r="D37" s="7"/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0</v>
      </c>
      <c r="M37" s="3"/>
      <c r="N37" s="8">
        <f t="shared" si="11"/>
        <v>0</v>
      </c>
      <c r="O37" s="12"/>
      <c r="P37" s="7"/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0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"6009", " - ", "TEMPORARY-SEASONAL")</f>
        <v xml:space="preserve">          6009 - TEMPORARY-SEASONAL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4" customFormat="1" hidden="1" outlineLevel="2" x14ac:dyDescent="0.25">
      <c r="A39" s="27"/>
      <c r="B39" s="12" t="str">
        <f>CONCATENATE("          ", "6010", " - ", "GRATUITY")</f>
        <v xml:space="preserve">          6010 - GRATUITY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29" customFormat="1" outlineLevel="1" collapsed="1" x14ac:dyDescent="0.25">
      <c r="A40" s="28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SUM(OSRRefD22_2x_0)</f>
        <v>4939.2</v>
      </c>
      <c r="E40" s="1"/>
      <c r="F40" s="5">
        <f t="shared" ref="F40:F43" si="16">IF(D$12=0,0,D40/D$12)</f>
        <v>0</v>
      </c>
      <c r="G40" s="1"/>
      <c r="H40" s="1">
        <f>SUM(OSRRefH22_2x_0)</f>
        <v>400</v>
      </c>
      <c r="I40" s="1"/>
      <c r="J40" s="5">
        <f t="shared" ref="J40:J43" si="17">IF(H$12=0,0,H40/H$12)</f>
        <v>0</v>
      </c>
      <c r="K40" s="1"/>
      <c r="L40" s="1">
        <f t="shared" ref="L40:L43" si="18">+D40-H40</f>
        <v>4539.2</v>
      </c>
      <c r="M40" s="1"/>
      <c r="N40" s="5">
        <f t="shared" ref="N40:N43" si="19">IF(H40=0,0,L40/H40)</f>
        <v>11.347999999999999</v>
      </c>
      <c r="O40" s="14"/>
      <c r="P40" s="1">
        <f>SUM(OSRRefP22_2x_0)</f>
        <v>4939.2</v>
      </c>
      <c r="Q40" s="1"/>
      <c r="R40" s="5">
        <f t="shared" ref="R40:R43" si="20">IF(P$12=0,0,P40/P$12)</f>
        <v>0</v>
      </c>
      <c r="S40" s="1"/>
      <c r="T40" s="1">
        <f>SUM(OSRRefT22_2x_0)</f>
        <v>400</v>
      </c>
      <c r="U40" s="1"/>
      <c r="V40" s="5">
        <f t="shared" ref="V40:V43" si="21">IF(T$12=0,0,T40/T$12)</f>
        <v>0</v>
      </c>
      <c r="W40" s="1"/>
      <c r="X40" s="1">
        <f t="shared" ref="X40:X43" si="22">+P40-T40</f>
        <v>4539.2</v>
      </c>
      <c r="Y40" s="1"/>
      <c r="Z40" s="5">
        <f t="shared" ref="Z40:Z43" si="23">IF(T40=0,0,X40/T40)</f>
        <v>11.347999999999999</v>
      </c>
    </row>
    <row r="41" spans="1:26" s="24" customFormat="1" hidden="1" outlineLevel="2" x14ac:dyDescent="0.25">
      <c r="A41" s="27"/>
      <c r="B41" s="12" t="str">
        <f>CONCATENATE("          ", "6234", " - ", "EXPENDABLE SUPPLIES &amp; EQUIPMEN")</f>
        <v xml:space="preserve">          6234 - EXPENDABLE SUPPLIES &amp; EQUIPMEN</v>
      </c>
      <c r="C41" s="12"/>
      <c r="D41" s="7"/>
      <c r="E41" s="3"/>
      <c r="F41" s="8">
        <f t="shared" si="16"/>
        <v>0</v>
      </c>
      <c r="G41" s="3"/>
      <c r="H41" s="7">
        <v>100</v>
      </c>
      <c r="I41" s="3"/>
      <c r="J41" s="8">
        <f t="shared" si="17"/>
        <v>0</v>
      </c>
      <c r="K41" s="3"/>
      <c r="L41" s="7">
        <f t="shared" si="18"/>
        <v>-100</v>
      </c>
      <c r="M41" s="3"/>
      <c r="N41" s="8">
        <f t="shared" si="19"/>
        <v>-1</v>
      </c>
      <c r="O41" s="12"/>
      <c r="P41" s="7"/>
      <c r="Q41" s="3"/>
      <c r="R41" s="8">
        <f t="shared" si="20"/>
        <v>0</v>
      </c>
      <c r="S41" s="3"/>
      <c r="T41" s="7">
        <v>100</v>
      </c>
      <c r="U41" s="3"/>
      <c r="V41" s="8">
        <f t="shared" si="21"/>
        <v>0</v>
      </c>
      <c r="W41" s="3"/>
      <c r="X41" s="7">
        <f t="shared" si="22"/>
        <v>-100</v>
      </c>
      <c r="Y41" s="3"/>
      <c r="Z41" s="8">
        <f t="shared" si="23"/>
        <v>-1</v>
      </c>
    </row>
    <row r="42" spans="1:26" s="24" customFormat="1" hidden="1" outlineLevel="2" x14ac:dyDescent="0.25">
      <c r="A42" s="27"/>
      <c r="B42" s="12" t="str">
        <f>CONCATENATE("          ", "6235", " - ", "COVID-19 EXPENSES")</f>
        <v xml:space="preserve">          6235 - COVID-19 EXPENSES</v>
      </c>
      <c r="C42" s="12"/>
      <c r="D42" s="7">
        <v>4939.2</v>
      </c>
      <c r="E42" s="3"/>
      <c r="F42" s="8">
        <f t="shared" si="16"/>
        <v>0</v>
      </c>
      <c r="G42" s="3"/>
      <c r="H42" s="7">
        <v>200</v>
      </c>
      <c r="I42" s="3"/>
      <c r="J42" s="8">
        <f t="shared" si="17"/>
        <v>0</v>
      </c>
      <c r="K42" s="3"/>
      <c r="L42" s="7">
        <f t="shared" si="18"/>
        <v>4739.2</v>
      </c>
      <c r="M42" s="3"/>
      <c r="N42" s="8">
        <f t="shared" si="19"/>
        <v>23.695999999999998</v>
      </c>
      <c r="O42" s="12"/>
      <c r="P42" s="7">
        <v>4939.2</v>
      </c>
      <c r="Q42" s="3"/>
      <c r="R42" s="8">
        <f t="shared" si="20"/>
        <v>0</v>
      </c>
      <c r="S42" s="3"/>
      <c r="T42" s="7">
        <v>200</v>
      </c>
      <c r="U42" s="3"/>
      <c r="V42" s="8">
        <f t="shared" si="21"/>
        <v>0</v>
      </c>
      <c r="W42" s="3"/>
      <c r="X42" s="7">
        <f t="shared" si="22"/>
        <v>4739.2</v>
      </c>
      <c r="Y42" s="3"/>
      <c r="Z42" s="8">
        <f t="shared" si="23"/>
        <v>23.695999999999998</v>
      </c>
    </row>
    <row r="43" spans="1:26" s="24" customFormat="1" hidden="1" outlineLevel="2" x14ac:dyDescent="0.25">
      <c r="A43" s="27"/>
      <c r="B43" s="12" t="str">
        <f>CONCATENATE("          ", "6241", " - ", "OFFICE EXPENSE")</f>
        <v xml:space="preserve">          6241 - OFFICE EXPENSE</v>
      </c>
      <c r="C43" s="12"/>
      <c r="D43" s="7"/>
      <c r="E43" s="3"/>
      <c r="F43" s="8">
        <f t="shared" si="16"/>
        <v>0</v>
      </c>
      <c r="G43" s="3"/>
      <c r="H43" s="7">
        <v>100</v>
      </c>
      <c r="I43" s="3"/>
      <c r="J43" s="8">
        <f t="shared" si="17"/>
        <v>0</v>
      </c>
      <c r="K43" s="3"/>
      <c r="L43" s="7">
        <f t="shared" si="18"/>
        <v>-100</v>
      </c>
      <c r="M43" s="3"/>
      <c r="N43" s="8">
        <f t="shared" si="19"/>
        <v>-1</v>
      </c>
      <c r="O43" s="12"/>
      <c r="P43" s="7"/>
      <c r="Q43" s="3"/>
      <c r="R43" s="8">
        <f t="shared" si="20"/>
        <v>0</v>
      </c>
      <c r="S43" s="3"/>
      <c r="T43" s="7">
        <v>100</v>
      </c>
      <c r="U43" s="3"/>
      <c r="V43" s="8">
        <f t="shared" si="21"/>
        <v>0</v>
      </c>
      <c r="W43" s="3"/>
      <c r="X43" s="7">
        <f t="shared" si="22"/>
        <v>-100</v>
      </c>
      <c r="Y43" s="3"/>
      <c r="Z43" s="8">
        <f t="shared" si="23"/>
        <v>-1</v>
      </c>
    </row>
    <row r="44" spans="1:26" s="29" customFormat="1" outlineLevel="1" collapsed="1" x14ac:dyDescent="0.25">
      <c r="A44" s="28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SUM(OSRRefD22_3x_0)</f>
        <v>50</v>
      </c>
      <c r="E44" s="1"/>
      <c r="F44" s="5">
        <f t="shared" ref="F44:F46" si="24">IF(D$12=0,0,D44/D$12)</f>
        <v>0</v>
      </c>
      <c r="G44" s="1"/>
      <c r="H44" s="1">
        <f>SUM(OSRRefH22_3x_0)</f>
        <v>100</v>
      </c>
      <c r="I44" s="1"/>
      <c r="J44" s="5">
        <f t="shared" ref="J44:J46" si="25">IF(H$12=0,0,H44/H$12)</f>
        <v>0</v>
      </c>
      <c r="K44" s="1"/>
      <c r="L44" s="1">
        <f t="shared" ref="L44:L46" si="26">+D44-H44</f>
        <v>-50</v>
      </c>
      <c r="M44" s="1"/>
      <c r="N44" s="5">
        <f t="shared" ref="N44:N46" si="27">IF(H44=0,0,L44/H44)</f>
        <v>-0.5</v>
      </c>
      <c r="O44" s="14"/>
      <c r="P44" s="1">
        <f>SUM(OSRRefP22_3x_0)</f>
        <v>50</v>
      </c>
      <c r="Q44" s="1"/>
      <c r="R44" s="5">
        <f t="shared" ref="R44:R46" si="28">IF(P$12=0,0,P44/P$12)</f>
        <v>0</v>
      </c>
      <c r="S44" s="1"/>
      <c r="T44" s="1">
        <f>SUM(OSRRefT22_3x_0)</f>
        <v>100</v>
      </c>
      <c r="U44" s="1"/>
      <c r="V44" s="5">
        <f t="shared" ref="V44:V46" si="29">IF(T$12=0,0,T44/T$12)</f>
        <v>0</v>
      </c>
      <c r="W44" s="1"/>
      <c r="X44" s="1">
        <f t="shared" ref="X44:X46" si="30">+P44-T44</f>
        <v>-50</v>
      </c>
      <c r="Y44" s="1"/>
      <c r="Z44" s="5">
        <f t="shared" ref="Z44:Z46" si="31">IF(T44=0,0,X44/T44)</f>
        <v>-0.5</v>
      </c>
    </row>
    <row r="45" spans="1:26" s="24" customFormat="1" hidden="1" outlineLevel="2" x14ac:dyDescent="0.25">
      <c r="A45" s="27"/>
      <c r="B45" s="12" t="str">
        <f>CONCATENATE("          ", "6303", " - ", "DATA PHONE LINES")</f>
        <v xml:space="preserve">          6303 - DATA PHONE LINES</v>
      </c>
      <c r="C45" s="12"/>
      <c r="D45" s="7"/>
      <c r="E45" s="3"/>
      <c r="F45" s="8">
        <f t="shared" si="24"/>
        <v>0</v>
      </c>
      <c r="G45" s="3"/>
      <c r="H45" s="7">
        <v>50</v>
      </c>
      <c r="I45" s="3"/>
      <c r="J45" s="8">
        <f t="shared" si="25"/>
        <v>0</v>
      </c>
      <c r="K45" s="3"/>
      <c r="L45" s="7">
        <f t="shared" si="26"/>
        <v>-50</v>
      </c>
      <c r="M45" s="3"/>
      <c r="N45" s="8">
        <f t="shared" si="27"/>
        <v>-1</v>
      </c>
      <c r="O45" s="12"/>
      <c r="P45" s="7"/>
      <c r="Q45" s="3"/>
      <c r="R45" s="8">
        <f t="shared" si="28"/>
        <v>0</v>
      </c>
      <c r="S45" s="3"/>
      <c r="T45" s="7">
        <v>50</v>
      </c>
      <c r="U45" s="3"/>
      <c r="V45" s="8">
        <f t="shared" si="29"/>
        <v>0</v>
      </c>
      <c r="W45" s="3"/>
      <c r="X45" s="7">
        <f t="shared" si="30"/>
        <v>-50</v>
      </c>
      <c r="Y45" s="3"/>
      <c r="Z45" s="8">
        <f t="shared" si="31"/>
        <v>-1</v>
      </c>
    </row>
    <row r="46" spans="1:26" s="24" customFormat="1" hidden="1" outlineLevel="2" x14ac:dyDescent="0.25">
      <c r="A46" s="27"/>
      <c r="B46" s="12" t="str">
        <f>CONCATENATE("          ", "6309", " - ", "TELEPHONE")</f>
        <v xml:space="preserve">          6309 - TELEPHONE</v>
      </c>
      <c r="C46" s="12"/>
      <c r="D46" s="7">
        <v>50</v>
      </c>
      <c r="E46" s="3"/>
      <c r="F46" s="8">
        <f t="shared" si="24"/>
        <v>0</v>
      </c>
      <c r="G46" s="3"/>
      <c r="H46" s="7">
        <v>50</v>
      </c>
      <c r="I46" s="3"/>
      <c r="J46" s="8">
        <f t="shared" si="25"/>
        <v>0</v>
      </c>
      <c r="K46" s="3"/>
      <c r="L46" s="7">
        <f t="shared" si="26"/>
        <v>0</v>
      </c>
      <c r="M46" s="3"/>
      <c r="N46" s="8">
        <f t="shared" si="27"/>
        <v>0</v>
      </c>
      <c r="O46" s="12"/>
      <c r="P46" s="7">
        <v>50</v>
      </c>
      <c r="Q46" s="3"/>
      <c r="R46" s="8">
        <f t="shared" si="28"/>
        <v>0</v>
      </c>
      <c r="S46" s="3"/>
      <c r="T46" s="7">
        <v>50</v>
      </c>
      <c r="U46" s="3"/>
      <c r="V46" s="8">
        <f t="shared" si="29"/>
        <v>0</v>
      </c>
      <c r="W46" s="3"/>
      <c r="X46" s="7">
        <f t="shared" si="30"/>
        <v>0</v>
      </c>
      <c r="Y46" s="3"/>
      <c r="Z46" s="8">
        <f t="shared" si="31"/>
        <v>0</v>
      </c>
    </row>
    <row r="47" spans="1:26" s="29" customFormat="1" outlineLevel="1" collapsed="1" x14ac:dyDescent="0.25">
      <c r="A47" s="28"/>
      <c r="B47" s="14" t="str">
        <f>CONCATENATE("     ","Training                                          ")</f>
        <v xml:space="preserve">     Training                                          </v>
      </c>
      <c r="C47" s="14"/>
      <c r="D47" s="1">
        <f>SUM(OSRRefD22_4x_0)</f>
        <v>0</v>
      </c>
      <c r="E47" s="1"/>
      <c r="F47" s="5">
        <f t="shared" ref="F47:F50" si="32">IF(D$12=0,0,D47/D$12)</f>
        <v>0</v>
      </c>
      <c r="G47" s="1"/>
      <c r="H47" s="1">
        <f>SUM(OSRRefH22_4x_0)</f>
        <v>200</v>
      </c>
      <c r="I47" s="1"/>
      <c r="J47" s="5">
        <f t="shared" ref="J47:J50" si="33">IF(H$12=0,0,H47/H$12)</f>
        <v>0</v>
      </c>
      <c r="K47" s="1"/>
      <c r="L47" s="1">
        <f t="shared" ref="L47:L50" si="34">+D47-H47</f>
        <v>-200</v>
      </c>
      <c r="M47" s="1"/>
      <c r="N47" s="5">
        <f t="shared" ref="N47:N50" si="35">IF(H47=0,0,L47/H47)</f>
        <v>-1</v>
      </c>
      <c r="O47" s="14"/>
      <c r="P47" s="1">
        <f>SUM(OSRRefP22_4x_0)</f>
        <v>0</v>
      </c>
      <c r="Q47" s="1"/>
      <c r="R47" s="5">
        <f t="shared" ref="R47:R50" si="36">IF(P$12=0,0,P47/P$12)</f>
        <v>0</v>
      </c>
      <c r="S47" s="1"/>
      <c r="T47" s="1">
        <f>SUM(OSRRefT22_4x_0)</f>
        <v>200</v>
      </c>
      <c r="U47" s="1"/>
      <c r="V47" s="5">
        <f t="shared" ref="V47:V50" si="37">IF(T$12=0,0,T47/T$12)</f>
        <v>0</v>
      </c>
      <c r="W47" s="1"/>
      <c r="X47" s="1">
        <f t="shared" ref="X47:X50" si="38">+P47-T47</f>
        <v>-200</v>
      </c>
      <c r="Y47" s="1"/>
      <c r="Z47" s="5">
        <f t="shared" ref="Z47:Z50" si="39">IF(T47=0,0,X47/T47)</f>
        <v>-1</v>
      </c>
    </row>
    <row r="48" spans="1:26" s="24" customFormat="1" hidden="1" outlineLevel="2" x14ac:dyDescent="0.25">
      <c r="A48" s="27"/>
      <c r="B48" s="12" t="str">
        <f>CONCATENATE("          ", "6376", " - ", "TRAINING")</f>
        <v xml:space="preserve">          6376 - TRAINING</v>
      </c>
      <c r="C48" s="12"/>
      <c r="D48" s="7"/>
      <c r="E48" s="3"/>
      <c r="F48" s="8">
        <f t="shared" si="32"/>
        <v>0</v>
      </c>
      <c r="G48" s="3"/>
      <c r="H48" s="7">
        <v>200</v>
      </c>
      <c r="I48" s="3"/>
      <c r="J48" s="8">
        <f t="shared" si="33"/>
        <v>0</v>
      </c>
      <c r="K48" s="3"/>
      <c r="L48" s="7">
        <f t="shared" si="34"/>
        <v>-200</v>
      </c>
      <c r="M48" s="3"/>
      <c r="N48" s="8">
        <f t="shared" si="35"/>
        <v>-1</v>
      </c>
      <c r="O48" s="12"/>
      <c r="P48" s="7"/>
      <c r="Q48" s="3"/>
      <c r="R48" s="8">
        <f t="shared" si="36"/>
        <v>0</v>
      </c>
      <c r="S48" s="3"/>
      <c r="T48" s="7">
        <v>200</v>
      </c>
      <c r="U48" s="3"/>
      <c r="V48" s="8">
        <f t="shared" si="37"/>
        <v>0</v>
      </c>
      <c r="W48" s="3"/>
      <c r="X48" s="7">
        <f t="shared" si="38"/>
        <v>-200</v>
      </c>
      <c r="Y48" s="3"/>
      <c r="Z48" s="8">
        <f t="shared" si="39"/>
        <v>-1</v>
      </c>
    </row>
    <row r="49" spans="1:26" s="29" customFormat="1" outlineLevel="1" collapsed="1" x14ac:dyDescent="0.25">
      <c r="A49" s="28"/>
      <c r="B49" s="14" t="str">
        <f>CONCATENATE("     ","Travel                                            ")</f>
        <v xml:space="preserve">     Travel                                            </v>
      </c>
      <c r="C49" s="14"/>
      <c r="D49" s="1">
        <f>SUM(OSRRefD22_5x_0)</f>
        <v>0</v>
      </c>
      <c r="E49" s="1"/>
      <c r="F49" s="5">
        <f t="shared" si="32"/>
        <v>0</v>
      </c>
      <c r="G49" s="1"/>
      <c r="H49" s="1">
        <f>SUM(OSRRefH22_5x_0)</f>
        <v>300</v>
      </c>
      <c r="I49" s="1"/>
      <c r="J49" s="5">
        <f t="shared" si="33"/>
        <v>0</v>
      </c>
      <c r="K49" s="1"/>
      <c r="L49" s="1">
        <f t="shared" si="34"/>
        <v>-300</v>
      </c>
      <c r="M49" s="1"/>
      <c r="N49" s="5">
        <f t="shared" si="35"/>
        <v>-1</v>
      </c>
      <c r="O49" s="14"/>
      <c r="P49" s="1">
        <f>SUM(OSRRefP22_5x_0)</f>
        <v>0</v>
      </c>
      <c r="Q49" s="1"/>
      <c r="R49" s="5">
        <f t="shared" si="36"/>
        <v>0</v>
      </c>
      <c r="S49" s="1"/>
      <c r="T49" s="1">
        <f>SUM(OSRRefT22_5x_0)</f>
        <v>300</v>
      </c>
      <c r="U49" s="1"/>
      <c r="V49" s="5">
        <f t="shared" si="37"/>
        <v>0</v>
      </c>
      <c r="W49" s="1"/>
      <c r="X49" s="1">
        <f t="shared" si="38"/>
        <v>-300</v>
      </c>
      <c r="Y49" s="1"/>
      <c r="Z49" s="5">
        <f t="shared" si="39"/>
        <v>-1</v>
      </c>
    </row>
    <row r="50" spans="1:26" s="24" customFormat="1" hidden="1" outlineLevel="2" x14ac:dyDescent="0.25">
      <c r="A50" s="27"/>
      <c r="B50" s="12" t="str">
        <f>CONCATENATE("          ", "6292", " - ", "TRAVEL/CONFERENCE")</f>
        <v xml:space="preserve">          6292 - TRAVEL/CONFERENCE</v>
      </c>
      <c r="C50" s="12"/>
      <c r="D50" s="7"/>
      <c r="E50" s="3"/>
      <c r="F50" s="8">
        <f t="shared" si="32"/>
        <v>0</v>
      </c>
      <c r="G50" s="3"/>
      <c r="H50" s="7">
        <v>300</v>
      </c>
      <c r="I50" s="3"/>
      <c r="J50" s="8">
        <f t="shared" si="33"/>
        <v>0</v>
      </c>
      <c r="K50" s="3"/>
      <c r="L50" s="7">
        <f t="shared" si="34"/>
        <v>-300</v>
      </c>
      <c r="M50" s="3"/>
      <c r="N50" s="8">
        <f t="shared" si="35"/>
        <v>-1</v>
      </c>
      <c r="O50" s="12"/>
      <c r="P50" s="7"/>
      <c r="Q50" s="3"/>
      <c r="R50" s="8">
        <f t="shared" si="36"/>
        <v>0</v>
      </c>
      <c r="S50" s="3"/>
      <c r="T50" s="7">
        <v>300</v>
      </c>
      <c r="U50" s="3"/>
      <c r="V50" s="8">
        <f t="shared" si="37"/>
        <v>0</v>
      </c>
      <c r="W50" s="3"/>
      <c r="X50" s="7">
        <f t="shared" si="38"/>
        <v>-300</v>
      </c>
      <c r="Y50" s="3"/>
      <c r="Z50" s="8">
        <f t="shared" si="39"/>
        <v>-1</v>
      </c>
    </row>
    <row r="51" spans="1:26" s="54" customFormat="1" x14ac:dyDescent="0.25">
      <c r="A51" s="36"/>
      <c r="B51" s="36"/>
      <c r="C51" s="36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2" customFormat="1" x14ac:dyDescent="0.25">
      <c r="A52" s="10"/>
      <c r="B52" s="26" t="s">
        <v>0</v>
      </c>
      <c r="C52" s="10"/>
      <c r="D52" s="4">
        <f>SUM(0)</f>
        <v>0</v>
      </c>
      <c r="E52" s="4"/>
      <c r="F52" s="11">
        <f>IF(D$12=0,0,D52/D$12)</f>
        <v>0</v>
      </c>
      <c r="G52" s="4"/>
      <c r="H52" s="4">
        <f>SUM(0)</f>
        <v>0</v>
      </c>
      <c r="I52" s="4"/>
      <c r="J52" s="11">
        <f>IF(H$12=0,0,H52/H$12)</f>
        <v>0</v>
      </c>
      <c r="K52" s="4"/>
      <c r="L52" s="4">
        <f>+D52-H52</f>
        <v>0</v>
      </c>
      <c r="M52" s="4"/>
      <c r="N52" s="11">
        <f>IF(H52=0,0,L52/H52)</f>
        <v>0</v>
      </c>
      <c r="O52" s="10"/>
      <c r="P52" s="4">
        <f>SUM(0)</f>
        <v>0</v>
      </c>
      <c r="Q52" s="4"/>
      <c r="R52" s="11">
        <f>IF(P$12=0,0,P52/P$12)</f>
        <v>0</v>
      </c>
      <c r="S52" s="4"/>
      <c r="T52" s="4">
        <f>SUM(0)</f>
        <v>0</v>
      </c>
      <c r="U52" s="4"/>
      <c r="V52" s="11">
        <f>IF(T$12=0,0,T52/T$12)</f>
        <v>0</v>
      </c>
      <c r="W52" s="4"/>
      <c r="X52" s="4">
        <f>+P52-T52</f>
        <v>0</v>
      </c>
      <c r="Y52" s="4"/>
      <c r="Z52" s="11">
        <f>IF(T52=0,0,X52/T52)</f>
        <v>0</v>
      </c>
    </row>
    <row r="53" spans="1:26" x14ac:dyDescent="0.25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2" customFormat="1" x14ac:dyDescent="0.25">
      <c r="A54" s="10"/>
      <c r="B54" s="25" t="s">
        <v>3</v>
      </c>
      <c r="C54" s="25"/>
      <c r="D54" s="21">
        <f>+D16-D18+D52</f>
        <v>-21521.99</v>
      </c>
      <c r="E54" s="13"/>
      <c r="F54" s="20">
        <f>IF(D$12=0,0,D54/D$12)</f>
        <v>0</v>
      </c>
      <c r="G54" s="13"/>
      <c r="H54" s="21">
        <f>+H16-H18+H52</f>
        <v>-16506.915925000001</v>
      </c>
      <c r="I54" s="13"/>
      <c r="J54" s="20">
        <f>IF(H$12=0,0,H54/H$12)</f>
        <v>0</v>
      </c>
      <c r="K54" s="15"/>
      <c r="L54" s="21">
        <f>+D54-H54</f>
        <v>-5015.0740750000004</v>
      </c>
      <c r="M54" s="15"/>
      <c r="N54" s="20">
        <f>IF(H54=0,0,L54/H54)</f>
        <v>0.30381653955143656</v>
      </c>
      <c r="O54" s="26"/>
      <c r="P54" s="21">
        <f>+P16-P18+P52</f>
        <v>-21521.99</v>
      </c>
      <c r="Q54" s="13"/>
      <c r="R54" s="20">
        <f>IF(P$12=0,0,P54/P$12)</f>
        <v>0</v>
      </c>
      <c r="S54" s="13"/>
      <c r="T54" s="21">
        <f>+T16-T18+T52</f>
        <v>-16506.915925000001</v>
      </c>
      <c r="U54" s="13"/>
      <c r="V54" s="20">
        <f>IF(T$12=0,0,T54/T$12)</f>
        <v>0</v>
      </c>
      <c r="W54" s="15"/>
      <c r="X54" s="21">
        <f>+P54-T54</f>
        <v>-5015.0740750000004</v>
      </c>
      <c r="Y54" s="15"/>
      <c r="Z54" s="20">
        <f>IF(T54=0,0,X54/T54)</f>
        <v>0.30381653955143656</v>
      </c>
    </row>
    <row r="55" spans="1:26" x14ac:dyDescent="0.25">
      <c r="A55" s="9"/>
      <c r="B55" s="10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2" customFormat="1" x14ac:dyDescent="0.25">
      <c r="A56" s="52"/>
      <c r="B56" s="10" t="s">
        <v>14</v>
      </c>
      <c r="C56" s="10"/>
      <c r="D56" s="4"/>
      <c r="E56" s="4"/>
      <c r="F56" s="11">
        <f>IF(D$12=0,0,D56/D$12)</f>
        <v>0</v>
      </c>
      <c r="G56" s="4"/>
      <c r="H56" s="4"/>
      <c r="I56" s="4"/>
      <c r="J56" s="11">
        <f>IF(H$12=0,0,H56/H$12)</f>
        <v>0</v>
      </c>
      <c r="K56" s="4"/>
      <c r="L56" s="4">
        <f>+D56-H56</f>
        <v>0</v>
      </c>
      <c r="M56" s="4"/>
      <c r="N56" s="11">
        <f>IF(H56=0,0,L56/H56)</f>
        <v>0</v>
      </c>
      <c r="O56" s="10"/>
      <c r="P56" s="4"/>
      <c r="Q56" s="4"/>
      <c r="R56" s="11">
        <f>IF(P$12=0,0,P56/P$12)</f>
        <v>0</v>
      </c>
      <c r="S56" s="4"/>
      <c r="T56" s="4"/>
      <c r="U56" s="4"/>
      <c r="V56" s="11">
        <f>IF(T$12=0,0,T56/T$12)</f>
        <v>0</v>
      </c>
      <c r="W56" s="4"/>
      <c r="X56" s="4">
        <f>+P56-T56</f>
        <v>0</v>
      </c>
      <c r="Y56" s="4"/>
      <c r="Z56" s="11">
        <f>IF(T56=0,0,X56/T56)</f>
        <v>0</v>
      </c>
    </row>
    <row r="57" spans="1:26" x14ac:dyDescent="0.25">
      <c r="A57" s="9"/>
      <c r="B57" s="10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10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2" customFormat="1" ht="15.75" thickBot="1" x14ac:dyDescent="0.3">
      <c r="A58" s="10"/>
      <c r="B58" s="25" t="s">
        <v>4</v>
      </c>
      <c r="C58" s="25"/>
      <c r="D58" s="34">
        <f>+D54-D56</f>
        <v>-21521.99</v>
      </c>
      <c r="E58" s="13"/>
      <c r="F58" s="30">
        <f>IF(D$12=0,0,D58/D$12)</f>
        <v>0</v>
      </c>
      <c r="G58" s="13"/>
      <c r="H58" s="34">
        <f>+H54-H56</f>
        <v>-16506.915925000001</v>
      </c>
      <c r="I58" s="13"/>
      <c r="J58" s="30">
        <f>IF(H$12=0,0,H58/H$12)</f>
        <v>0</v>
      </c>
      <c r="K58" s="15"/>
      <c r="L58" s="34">
        <f>D58-H58</f>
        <v>-5015.0740750000004</v>
      </c>
      <c r="M58" s="15"/>
      <c r="N58" s="30">
        <f>IF(H58=0,0,L58/H58)</f>
        <v>0.30381653955143656</v>
      </c>
      <c r="O58" s="26"/>
      <c r="P58" s="34">
        <f>+P54-P56</f>
        <v>-21521.99</v>
      </c>
      <c r="Q58" s="13"/>
      <c r="R58" s="30">
        <f>IF(P$12=0,0,P58/P$12)</f>
        <v>0</v>
      </c>
      <c r="S58" s="13"/>
      <c r="T58" s="34">
        <f>+T54-T56</f>
        <v>-16506.915925000001</v>
      </c>
      <c r="U58" s="13"/>
      <c r="V58" s="30">
        <f>IF(T$12=0,0,T58/T$12)</f>
        <v>0</v>
      </c>
      <c r="W58" s="15"/>
      <c r="X58" s="34">
        <f>P58-T58</f>
        <v>-5015.0740750000004</v>
      </c>
      <c r="Y58" s="15"/>
      <c r="Z58" s="30">
        <f>IF(T58=0,0,X58/T58)</f>
        <v>0.30381653955143656</v>
      </c>
    </row>
    <row r="59" spans="1:26" ht="15.75" thickTop="1" x14ac:dyDescent="0.25">
      <c r="A59" s="9"/>
      <c r="B59" s="9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x14ac:dyDescent="0.25">
      <c r="A60" s="9"/>
      <c r="B60" s="9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2" customFormat="1" ht="15.75" thickBot="1" x14ac:dyDescent="0.3">
      <c r="A61" s="10"/>
      <c r="B61" s="25" t="s">
        <v>5</v>
      </c>
      <c r="C61" s="25"/>
      <c r="D61" s="32">
        <f>SUM(D58:D60)</f>
        <v>-21521.99</v>
      </c>
      <c r="E61" s="13"/>
      <c r="F61" s="33">
        <f>IF(D$12=0,0,D61/D$12)</f>
        <v>0</v>
      </c>
      <c r="G61" s="13"/>
      <c r="H61" s="32">
        <f>SUM(H58:H60)</f>
        <v>-16506.915925000001</v>
      </c>
      <c r="I61" s="13"/>
      <c r="J61" s="33">
        <f>IF(H$12=0,0,H61/H$12)</f>
        <v>0</v>
      </c>
      <c r="K61" s="15"/>
      <c r="L61" s="32">
        <f>+D61-H61</f>
        <v>-5015.0740750000004</v>
      </c>
      <c r="M61" s="15"/>
      <c r="N61" s="33">
        <f>IF(H61=0,0,L61/H61)</f>
        <v>0.30381653955143656</v>
      </c>
      <c r="O61" s="26"/>
      <c r="P61" s="32">
        <f>SUM(P58:P60)</f>
        <v>-21521.99</v>
      </c>
      <c r="Q61" s="13"/>
      <c r="R61" s="33">
        <f>IF(P$12=0,0,P61/P$12)</f>
        <v>0</v>
      </c>
      <c r="S61" s="13"/>
      <c r="T61" s="32">
        <f>SUM(T58:T60)</f>
        <v>-16506.915925000001</v>
      </c>
      <c r="U61" s="13"/>
      <c r="V61" s="33">
        <f>IF(T$12=0,0,T61/T$12)</f>
        <v>0</v>
      </c>
      <c r="W61" s="15"/>
      <c r="X61" s="32">
        <f>+P61-T61</f>
        <v>-5015.0740750000004</v>
      </c>
      <c r="Y61" s="15"/>
      <c r="Z61" s="33">
        <f>IF(T61=0,0,X61/T61)</f>
        <v>0.30381653955143656</v>
      </c>
    </row>
    <row r="62" spans="1:26" ht="15.75" thickTop="1" x14ac:dyDescent="0.25">
      <c r="A62" s="9"/>
      <c r="C62" s="9"/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58">
        <v>44104.686464814811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6" t="s">
        <v>314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25">
      <c r="A65" s="9"/>
      <c r="B65" s="62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300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","433", " - ", "Hillside Dining Hall")</f>
        <v>Department 433 - Hillside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19327.919999999998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5" si="0">+D12-H12</f>
        <v>19327.919999999998</v>
      </c>
      <c r="M12" s="4"/>
      <c r="N12" s="11">
        <f t="shared" ref="N12:N15" si="1">IF(H12=0,0,L12/H12)</f>
        <v>0</v>
      </c>
      <c r="O12" s="10"/>
      <c r="P12" s="4">
        <f>SUM(OSRRefP13x_0)</f>
        <v>19327.919999999998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5" si="2">+P12-T12</f>
        <v>19327.919999999998</v>
      </c>
      <c r="Y12" s="4"/>
      <c r="Z12" s="11">
        <f t="shared" ref="Z12:Z15" si="3">IF(T12=0,0,X12/T12)</f>
        <v>0</v>
      </c>
    </row>
    <row r="13" spans="1:26" s="24" customFormat="1" hidden="1" outlineLevel="1" x14ac:dyDescent="0.25">
      <c r="A13" s="51"/>
      <c r="B13" s="12" t="str">
        <f>CONCATENATE("          ", "4053", " - ", "TAXABLE SALES-FOOD")</f>
        <v xml:space="preserve">          4053 - TAXABLE SALES-FOOD</v>
      </c>
      <c r="C13" s="12"/>
      <c r="D13" s="3">
        <f>--199.89</f>
        <v>199.89</v>
      </c>
      <c r="E13" s="3"/>
      <c r="F13" s="23"/>
      <c r="G13" s="3"/>
      <c r="H13" s="3"/>
      <c r="I13" s="3"/>
      <c r="J13" s="23"/>
      <c r="K13" s="3"/>
      <c r="L13" s="3">
        <f t="shared" si="0"/>
        <v>199.89</v>
      </c>
      <c r="M13" s="3"/>
      <c r="N13" s="23">
        <f t="shared" si="1"/>
        <v>0</v>
      </c>
      <c r="O13" s="12"/>
      <c r="P13" s="3">
        <f>--199.89</f>
        <v>199.89</v>
      </c>
      <c r="Q13" s="3"/>
      <c r="R13" s="23"/>
      <c r="S13" s="3"/>
      <c r="T13" s="3"/>
      <c r="U13" s="3"/>
      <c r="V13" s="23"/>
      <c r="W13" s="3"/>
      <c r="X13" s="3">
        <f t="shared" si="2"/>
        <v>199.89</v>
      </c>
      <c r="Y13" s="3"/>
      <c r="Z13" s="23">
        <f t="shared" si="3"/>
        <v>0</v>
      </c>
    </row>
    <row r="14" spans="1:26" s="24" customFormat="1" hidden="1" outlineLevel="1" x14ac:dyDescent="0.25">
      <c r="A14" s="51"/>
      <c r="B14" s="12" t="str">
        <f>CONCATENATE("          ", "4151", " - ", "NON-TAXABLE SALES-FOOD")</f>
        <v xml:space="preserve">          4151 - NON-TAXABLE SALES-FOOD</v>
      </c>
      <c r="C14" s="12"/>
      <c r="D14" s="3">
        <f>--1300</f>
        <v>1300</v>
      </c>
      <c r="E14" s="3"/>
      <c r="F14" s="23"/>
      <c r="G14" s="3"/>
      <c r="H14" s="3"/>
      <c r="I14" s="3"/>
      <c r="J14" s="23"/>
      <c r="K14" s="3"/>
      <c r="L14" s="3">
        <f t="shared" si="0"/>
        <v>1300</v>
      </c>
      <c r="M14" s="3"/>
      <c r="N14" s="23">
        <f t="shared" si="1"/>
        <v>0</v>
      </c>
      <c r="O14" s="12"/>
      <c r="P14" s="3">
        <f>--1300</f>
        <v>1300</v>
      </c>
      <c r="Q14" s="3"/>
      <c r="R14" s="23"/>
      <c r="S14" s="3"/>
      <c r="T14" s="3"/>
      <c r="U14" s="3"/>
      <c r="V14" s="23"/>
      <c r="W14" s="3"/>
      <c r="X14" s="3">
        <f t="shared" si="2"/>
        <v>1300</v>
      </c>
      <c r="Y14" s="3"/>
      <c r="Z14" s="23">
        <f t="shared" si="3"/>
        <v>0</v>
      </c>
    </row>
    <row r="15" spans="1:26" s="24" customFormat="1" hidden="1" outlineLevel="1" x14ac:dyDescent="0.25">
      <c r="A15" s="51"/>
      <c r="B15" s="12" t="str">
        <f>CONCATENATE("          ", "4153", " - ", "NON-TAXABLE SALES-FOOD")</f>
        <v xml:space="preserve">          4153 - NON-TAXABLE SALES-FOOD</v>
      </c>
      <c r="C15" s="12"/>
      <c r="D15" s="3">
        <f>--17828.03</f>
        <v>17828.03</v>
      </c>
      <c r="E15" s="3"/>
      <c r="F15" s="23"/>
      <c r="G15" s="3"/>
      <c r="H15" s="3"/>
      <c r="I15" s="3"/>
      <c r="J15" s="23"/>
      <c r="K15" s="3"/>
      <c r="L15" s="3">
        <f t="shared" si="0"/>
        <v>17828.03</v>
      </c>
      <c r="M15" s="3"/>
      <c r="N15" s="23">
        <f t="shared" si="1"/>
        <v>0</v>
      </c>
      <c r="O15" s="12"/>
      <c r="P15" s="3">
        <f>--17828.03</f>
        <v>17828.03</v>
      </c>
      <c r="Q15" s="3"/>
      <c r="R15" s="23"/>
      <c r="S15" s="3"/>
      <c r="T15" s="3"/>
      <c r="U15" s="3"/>
      <c r="V15" s="23"/>
      <c r="W15" s="3"/>
      <c r="X15" s="3">
        <f t="shared" si="2"/>
        <v>17828.03</v>
      </c>
      <c r="Y15" s="3"/>
      <c r="Z15" s="23">
        <f t="shared" si="3"/>
        <v>0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collapsed="1" x14ac:dyDescent="0.25">
      <c r="A17" s="10"/>
      <c r="B17" s="26" t="s">
        <v>8</v>
      </c>
      <c r="C17" s="10"/>
      <c r="D17" s="4">
        <f>SUM(OSRRefD16x_0)</f>
        <v>11689.62</v>
      </c>
      <c r="E17" s="4"/>
      <c r="F17" s="11">
        <f t="shared" ref="F17:F19" si="4">IF(D$12=0,0,D17/D$12)</f>
        <v>0.60480486260290822</v>
      </c>
      <c r="G17" s="4"/>
      <c r="H17" s="4">
        <f>SUM(OSRRefH16x_0)</f>
        <v>0</v>
      </c>
      <c r="I17" s="4"/>
      <c r="J17" s="11">
        <f t="shared" ref="J17:J19" si="5">IF(H$12=0,0,H17/H$12)</f>
        <v>0</v>
      </c>
      <c r="K17" s="4"/>
      <c r="L17" s="4">
        <f t="shared" ref="L17:L19" si="6">+D17-H17</f>
        <v>11689.62</v>
      </c>
      <c r="M17" s="4"/>
      <c r="N17" s="11">
        <f t="shared" ref="N17:N19" si="7">IF(H17=0,0,L17/H17)</f>
        <v>0</v>
      </c>
      <c r="O17" s="10"/>
      <c r="P17" s="4">
        <f>SUM(OSRRefP16x_0)</f>
        <v>11689.62</v>
      </c>
      <c r="Q17" s="4"/>
      <c r="R17" s="11">
        <f t="shared" ref="R17:R19" si="8">IF(P$12=0,0,P17/P$12)</f>
        <v>0.60480486260290822</v>
      </c>
      <c r="S17" s="4"/>
      <c r="T17" s="4">
        <f>SUM(OSRRefT16x_0)</f>
        <v>0</v>
      </c>
      <c r="U17" s="4"/>
      <c r="V17" s="11">
        <f t="shared" ref="V17:V19" si="9">IF(T$12=0,0,T17/T$12)</f>
        <v>0</v>
      </c>
      <c r="W17" s="4"/>
      <c r="X17" s="4">
        <f t="shared" ref="X17:X19" si="10">+P17-T17</f>
        <v>11689.62</v>
      </c>
      <c r="Y17" s="4"/>
      <c r="Z17" s="11">
        <f t="shared" ref="Z17:Z19" si="11">IF(T17=0,0,X17/T17)</f>
        <v>0</v>
      </c>
    </row>
    <row r="18" spans="1:26" s="24" customFormat="1" hidden="1" outlineLevel="1" x14ac:dyDescent="0.25">
      <c r="A18" s="51"/>
      <c r="B18" s="12" t="str">
        <f>CONCATENATE("          ", "5053", " - ", "PURCHASES @ COST-FOOD")</f>
        <v xml:space="preserve">          5053 - PURCHASES @ COST-FOOD</v>
      </c>
      <c r="C18" s="12"/>
      <c r="D18" s="3">
        <v>8280.6200000000008</v>
      </c>
      <c r="E18" s="3"/>
      <c r="F18" s="23">
        <f t="shared" si="4"/>
        <v>0.42842789084391913</v>
      </c>
      <c r="G18" s="3"/>
      <c r="H18" s="3"/>
      <c r="I18" s="3"/>
      <c r="J18" s="23">
        <f t="shared" si="5"/>
        <v>0</v>
      </c>
      <c r="K18" s="3"/>
      <c r="L18" s="3">
        <f t="shared" si="6"/>
        <v>8280.6200000000008</v>
      </c>
      <c r="M18" s="3"/>
      <c r="N18" s="23">
        <f t="shared" si="7"/>
        <v>0</v>
      </c>
      <c r="O18" s="12"/>
      <c r="P18" s="3">
        <v>8280.6200000000008</v>
      </c>
      <c r="Q18" s="3"/>
      <c r="R18" s="23">
        <f t="shared" si="8"/>
        <v>0.42842789084391913</v>
      </c>
      <c r="S18" s="3"/>
      <c r="T18" s="3"/>
      <c r="U18" s="3"/>
      <c r="V18" s="23">
        <f t="shared" si="9"/>
        <v>0</v>
      </c>
      <c r="W18" s="3"/>
      <c r="X18" s="3">
        <f t="shared" si="10"/>
        <v>8280.6200000000008</v>
      </c>
      <c r="Y18" s="3"/>
      <c r="Z18" s="23">
        <f t="shared" si="11"/>
        <v>0</v>
      </c>
    </row>
    <row r="19" spans="1:26" s="24" customFormat="1" hidden="1" outlineLevel="1" x14ac:dyDescent="0.25">
      <c r="A19" s="51"/>
      <c r="B19" s="12" t="str">
        <f>CONCATENATE("          ", "5059", " - ", "PURCHASES @ COST-FOOD")</f>
        <v xml:space="preserve">          5059 - PURCHASES @ COST-FOOD</v>
      </c>
      <c r="C19" s="12"/>
      <c r="D19" s="3">
        <v>3409</v>
      </c>
      <c r="E19" s="3"/>
      <c r="F19" s="23">
        <f t="shared" si="4"/>
        <v>0.17637697175898909</v>
      </c>
      <c r="G19" s="3"/>
      <c r="H19" s="3"/>
      <c r="I19" s="3"/>
      <c r="J19" s="23">
        <f t="shared" si="5"/>
        <v>0</v>
      </c>
      <c r="K19" s="3"/>
      <c r="L19" s="3">
        <f t="shared" si="6"/>
        <v>3409</v>
      </c>
      <c r="M19" s="3"/>
      <c r="N19" s="23">
        <f t="shared" si="7"/>
        <v>0</v>
      </c>
      <c r="O19" s="12"/>
      <c r="P19" s="3">
        <v>3409</v>
      </c>
      <c r="Q19" s="3"/>
      <c r="R19" s="23">
        <f t="shared" si="8"/>
        <v>0.17637697175898909</v>
      </c>
      <c r="S19" s="3"/>
      <c r="T19" s="3"/>
      <c r="U19" s="3"/>
      <c r="V19" s="23">
        <f t="shared" si="9"/>
        <v>0</v>
      </c>
      <c r="W19" s="3"/>
      <c r="X19" s="3">
        <f t="shared" si="10"/>
        <v>3409</v>
      </c>
      <c r="Y19" s="3"/>
      <c r="Z19" s="23">
        <f t="shared" si="11"/>
        <v>0</v>
      </c>
    </row>
    <row r="20" spans="1:26" x14ac:dyDescent="0.25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2" customFormat="1" x14ac:dyDescent="0.25">
      <c r="A21" s="10"/>
      <c r="B21" s="25" t="s">
        <v>6</v>
      </c>
      <c r="C21" s="25"/>
      <c r="D21" s="21">
        <f>D12-D17</f>
        <v>7638.2999999999975</v>
      </c>
      <c r="E21" s="13"/>
      <c r="F21" s="20">
        <f>IF(D$12=0,0,D21/D$12)</f>
        <v>0.39519513739709178</v>
      </c>
      <c r="G21" s="13"/>
      <c r="H21" s="21">
        <f>H12-H17</f>
        <v>0</v>
      </c>
      <c r="I21" s="13"/>
      <c r="J21" s="20">
        <f>IF(H$12=0,0,H21/H$12)</f>
        <v>0</v>
      </c>
      <c r="K21" s="15"/>
      <c r="L21" s="21">
        <f>+D21-H21</f>
        <v>7638.2999999999975</v>
      </c>
      <c r="M21" s="15"/>
      <c r="N21" s="20">
        <f>IF(H21=0,0,L21/H21)</f>
        <v>0</v>
      </c>
      <c r="O21" s="26"/>
      <c r="P21" s="21">
        <f>P12-P17</f>
        <v>7638.2999999999975</v>
      </c>
      <c r="Q21" s="13"/>
      <c r="R21" s="20">
        <f>IF(P$12=0,0,P21/P$12)</f>
        <v>0.39519513739709178</v>
      </c>
      <c r="S21" s="13"/>
      <c r="T21" s="21">
        <f>T12-T17</f>
        <v>0</v>
      </c>
      <c r="U21" s="13"/>
      <c r="V21" s="20">
        <f>IF(T$12=0,0,T21/T$12)</f>
        <v>0</v>
      </c>
      <c r="W21" s="15"/>
      <c r="X21" s="21">
        <f>+P21-T21</f>
        <v>7638.2999999999975</v>
      </c>
      <c r="Y21" s="15"/>
      <c r="Z21" s="20">
        <f>IF(T21=0,0,X21/T21)</f>
        <v>0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2" customFormat="1" x14ac:dyDescent="0.25">
      <c r="A23" s="10"/>
      <c r="B23" s="26" t="s">
        <v>9</v>
      </c>
      <c r="C23" s="10"/>
      <c r="D23" s="19">
        <f>SUM(OSRRefD22x_0)</f>
        <v>59459.529999999992</v>
      </c>
      <c r="E23" s="19"/>
      <c r="F23" s="31">
        <f t="shared" ref="F23:F34" si="12">IF(D$12=0,0,D23/D$12)</f>
        <v>3.0763543102413502</v>
      </c>
      <c r="G23" s="19"/>
      <c r="H23" s="19">
        <f>SUM(OSRRefH22x_0)</f>
        <v>99007.195813461527</v>
      </c>
      <c r="I23" s="19"/>
      <c r="J23" s="31">
        <f t="shared" ref="J23:J34" si="13">IF(H$12=0,0,H23/H$12)</f>
        <v>0</v>
      </c>
      <c r="K23" s="4"/>
      <c r="L23" s="19">
        <f t="shared" ref="L23:L34" si="14">+D23-H23</f>
        <v>-39547.665813461535</v>
      </c>
      <c r="M23" s="4"/>
      <c r="N23" s="31">
        <f t="shared" ref="N23:N34" si="15">IF(H23=0,0,L23/H23)</f>
        <v>-0.39944233839298809</v>
      </c>
      <c r="O23" s="10"/>
      <c r="P23" s="19">
        <f>SUM(OSRRefP22x_0)</f>
        <v>59459.529999999992</v>
      </c>
      <c r="Q23" s="19"/>
      <c r="R23" s="31">
        <f t="shared" ref="R23:R34" si="16">IF(P$12=0,0,P23/P$12)</f>
        <v>3.0763543102413502</v>
      </c>
      <c r="S23" s="19"/>
      <c r="T23" s="19">
        <f>SUM(OSRRefT22x_0)</f>
        <v>99007.195813461527</v>
      </c>
      <c r="U23" s="19"/>
      <c r="V23" s="31">
        <f t="shared" ref="V23:V34" si="17">IF(T$12=0,0,T23/T$12)</f>
        <v>0</v>
      </c>
      <c r="W23" s="4"/>
      <c r="X23" s="19">
        <f t="shared" ref="X23:X34" si="18">+P23-T23</f>
        <v>-39547.665813461535</v>
      </c>
      <c r="Y23" s="4"/>
      <c r="Z23" s="31">
        <f t="shared" ref="Z23:Z34" si="19">IF(T23=0,0,X23/T23)</f>
        <v>-0.39944233839298809</v>
      </c>
    </row>
    <row r="24" spans="1:26" s="29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18619.02</v>
      </c>
      <c r="E24" s="1"/>
      <c r="F24" s="5">
        <f t="shared" si="12"/>
        <v>0.96332248891758665</v>
      </c>
      <c r="G24" s="1"/>
      <c r="H24" s="1">
        <f>SUM(OSRRefH22_0x_0)</f>
        <v>33233.168890384623</v>
      </c>
      <c r="I24" s="1"/>
      <c r="J24" s="5">
        <f t="shared" si="13"/>
        <v>0</v>
      </c>
      <c r="K24" s="1"/>
      <c r="L24" s="1">
        <f t="shared" si="14"/>
        <v>-14614.148890384622</v>
      </c>
      <c r="M24" s="1"/>
      <c r="N24" s="5">
        <f t="shared" si="15"/>
        <v>-0.4397458737259613</v>
      </c>
      <c r="O24" s="14"/>
      <c r="P24" s="1">
        <f>SUM(OSRRefP22_0x_0)</f>
        <v>18619.02</v>
      </c>
      <c r="Q24" s="1"/>
      <c r="R24" s="5">
        <f t="shared" si="16"/>
        <v>0.96332248891758665</v>
      </c>
      <c r="S24" s="1"/>
      <c r="T24" s="1">
        <f>SUM(OSRRefT22_0x_0)</f>
        <v>33233.168890384623</v>
      </c>
      <c r="U24" s="1"/>
      <c r="V24" s="5">
        <f t="shared" si="17"/>
        <v>0</v>
      </c>
      <c r="W24" s="1"/>
      <c r="X24" s="1">
        <f t="shared" si="18"/>
        <v>-14614.148890384622</v>
      </c>
      <c r="Y24" s="1"/>
      <c r="Z24" s="5">
        <f t="shared" si="19"/>
        <v>-0.4397458737259613</v>
      </c>
    </row>
    <row r="25" spans="1:26" s="24" customFormat="1" hidden="1" outlineLevel="2" x14ac:dyDescent="0.25">
      <c r="A25" s="27"/>
      <c r="B25" s="12" t="str">
        <f>CONCATENATE("          ", "6111", " - ", "F.I.C.A.")</f>
        <v xml:space="preserve">          6111 - F.I.C.A.</v>
      </c>
      <c r="C25" s="12"/>
      <c r="D25" s="7">
        <v>1894.45</v>
      </c>
      <c r="E25" s="3"/>
      <c r="F25" s="8">
        <f t="shared" si="12"/>
        <v>9.801623764999029E-2</v>
      </c>
      <c r="G25" s="3"/>
      <c r="H25" s="7">
        <v>3360.56475576923</v>
      </c>
      <c r="I25" s="3"/>
      <c r="J25" s="8">
        <f t="shared" si="13"/>
        <v>0</v>
      </c>
      <c r="K25" s="3"/>
      <c r="L25" s="7">
        <f t="shared" si="14"/>
        <v>-1466.11475576923</v>
      </c>
      <c r="M25" s="3"/>
      <c r="N25" s="8">
        <f t="shared" si="15"/>
        <v>-0.436270348087263</v>
      </c>
      <c r="O25" s="12"/>
      <c r="P25" s="7">
        <v>1894.45</v>
      </c>
      <c r="Q25" s="3"/>
      <c r="R25" s="8">
        <f t="shared" si="16"/>
        <v>9.801623764999029E-2</v>
      </c>
      <c r="S25" s="3"/>
      <c r="T25" s="7">
        <v>3360.56475576923</v>
      </c>
      <c r="U25" s="3"/>
      <c r="V25" s="8">
        <f t="shared" si="17"/>
        <v>0</v>
      </c>
      <c r="W25" s="3"/>
      <c r="X25" s="7">
        <f t="shared" si="18"/>
        <v>-1466.11475576923</v>
      </c>
      <c r="Y25" s="3"/>
      <c r="Z25" s="8">
        <f t="shared" si="19"/>
        <v>-0.436270348087263</v>
      </c>
    </row>
    <row r="26" spans="1:26" s="24" customFormat="1" hidden="1" outlineLevel="2" x14ac:dyDescent="0.25">
      <c r="A26" s="27"/>
      <c r="B26" s="12" t="str">
        <f>CONCATENATE("          ", "6112", " - ", "COMPENSATION INSURANCE")</f>
        <v xml:space="preserve">          6112 - COMPENSATION INSURANCE</v>
      </c>
      <c r="C26" s="12"/>
      <c r="D26" s="7">
        <v>1062.3</v>
      </c>
      <c r="E26" s="3"/>
      <c r="F26" s="8">
        <f t="shared" si="12"/>
        <v>5.4961941067636869E-2</v>
      </c>
      <c r="G26" s="3"/>
      <c r="H26" s="7">
        <v>1883.8132499999997</v>
      </c>
      <c r="I26" s="3"/>
      <c r="J26" s="8">
        <f t="shared" si="13"/>
        <v>0</v>
      </c>
      <c r="K26" s="3"/>
      <c r="L26" s="7">
        <f t="shared" si="14"/>
        <v>-821.51324999999974</v>
      </c>
      <c r="M26" s="3"/>
      <c r="N26" s="8">
        <f t="shared" si="15"/>
        <v>-0.43609059974495873</v>
      </c>
      <c r="O26" s="12"/>
      <c r="P26" s="7">
        <v>1062.3</v>
      </c>
      <c r="Q26" s="3"/>
      <c r="R26" s="8">
        <f t="shared" si="16"/>
        <v>5.4961941067636869E-2</v>
      </c>
      <c r="S26" s="3"/>
      <c r="T26" s="7">
        <v>1883.8132499999997</v>
      </c>
      <c r="U26" s="3"/>
      <c r="V26" s="8">
        <f t="shared" si="17"/>
        <v>0</v>
      </c>
      <c r="W26" s="3"/>
      <c r="X26" s="7">
        <f t="shared" si="18"/>
        <v>-821.51324999999974</v>
      </c>
      <c r="Y26" s="3"/>
      <c r="Z26" s="8">
        <f t="shared" si="19"/>
        <v>-0.43609059974495873</v>
      </c>
    </row>
    <row r="27" spans="1:26" s="24" customFormat="1" hidden="1" outlineLevel="2" x14ac:dyDescent="0.25">
      <c r="A27" s="27"/>
      <c r="B27" s="12" t="str">
        <f>CONCATENATE("          ", "6113", " - ", "GROUP INSURANCE")</f>
        <v xml:space="preserve">          6113 - GROUP INSURANCE</v>
      </c>
      <c r="C27" s="12"/>
      <c r="D27" s="7">
        <v>9826.58</v>
      </c>
      <c r="E27" s="3"/>
      <c r="F27" s="8">
        <f t="shared" si="12"/>
        <v>0.5084137351561886</v>
      </c>
      <c r="G27" s="3"/>
      <c r="H27" s="7">
        <v>21932.307692307699</v>
      </c>
      <c r="I27" s="3"/>
      <c r="J27" s="8">
        <f t="shared" si="13"/>
        <v>0</v>
      </c>
      <c r="K27" s="3"/>
      <c r="L27" s="7">
        <f t="shared" si="14"/>
        <v>-12105.727692307699</v>
      </c>
      <c r="M27" s="3"/>
      <c r="N27" s="8">
        <f t="shared" si="15"/>
        <v>-0.55195868406285087</v>
      </c>
      <c r="O27" s="12"/>
      <c r="P27" s="7">
        <v>9826.58</v>
      </c>
      <c r="Q27" s="3"/>
      <c r="R27" s="8">
        <f t="shared" si="16"/>
        <v>0.5084137351561886</v>
      </c>
      <c r="S27" s="3"/>
      <c r="T27" s="7">
        <v>21932.307692307699</v>
      </c>
      <c r="U27" s="3"/>
      <c r="V27" s="8">
        <f t="shared" si="17"/>
        <v>0</v>
      </c>
      <c r="W27" s="3"/>
      <c r="X27" s="7">
        <f t="shared" si="18"/>
        <v>-12105.727692307699</v>
      </c>
      <c r="Y27" s="3"/>
      <c r="Z27" s="8">
        <f t="shared" si="19"/>
        <v>-0.55195868406285087</v>
      </c>
    </row>
    <row r="28" spans="1:26" s="24" customFormat="1" hidden="1" outlineLevel="2" x14ac:dyDescent="0.25">
      <c r="A28" s="27"/>
      <c r="B28" s="12" t="str">
        <f>CONCATENATE("          ", "6114", " - ", "STATE UNEMPLOYMENT INSURANCE")</f>
        <v xml:space="preserve">          6114 - STATE UNEMPLOYMENT INSURANCE</v>
      </c>
      <c r="C28" s="12"/>
      <c r="D28" s="7">
        <v>64.38</v>
      </c>
      <c r="E28" s="3"/>
      <c r="F28" s="8">
        <f t="shared" si="12"/>
        <v>3.3309326611451208E-3</v>
      </c>
      <c r="G28" s="3"/>
      <c r="H28" s="7">
        <v>114.1705</v>
      </c>
      <c r="I28" s="3"/>
      <c r="J28" s="8">
        <f t="shared" si="13"/>
        <v>0</v>
      </c>
      <c r="K28" s="3"/>
      <c r="L28" s="7">
        <f t="shared" si="14"/>
        <v>-49.790500000000009</v>
      </c>
      <c r="M28" s="3"/>
      <c r="N28" s="8">
        <f t="shared" si="15"/>
        <v>-0.43610652489040519</v>
      </c>
      <c r="O28" s="12"/>
      <c r="P28" s="7">
        <v>64.38</v>
      </c>
      <c r="Q28" s="3"/>
      <c r="R28" s="8">
        <f t="shared" si="16"/>
        <v>3.3309326611451208E-3</v>
      </c>
      <c r="S28" s="3"/>
      <c r="T28" s="7">
        <v>114.1705</v>
      </c>
      <c r="U28" s="3"/>
      <c r="V28" s="8">
        <f t="shared" si="17"/>
        <v>0</v>
      </c>
      <c r="W28" s="3"/>
      <c r="X28" s="7">
        <f t="shared" si="18"/>
        <v>-49.790500000000009</v>
      </c>
      <c r="Y28" s="3"/>
      <c r="Z28" s="8">
        <f t="shared" si="19"/>
        <v>-0.43610652489040519</v>
      </c>
    </row>
    <row r="29" spans="1:26" s="24" customFormat="1" hidden="1" outlineLevel="2" x14ac:dyDescent="0.25">
      <c r="A29" s="27"/>
      <c r="B29" s="12" t="str">
        <f>CONCATENATE("          ", "6115", " - ", "P.E.R.S.")</f>
        <v xml:space="preserve">          6115 - P.E.R.S.</v>
      </c>
      <c r="C29" s="12"/>
      <c r="D29" s="7">
        <v>1425.05</v>
      </c>
      <c r="E29" s="3"/>
      <c r="F29" s="8">
        <f t="shared" si="12"/>
        <v>7.3730127194235079E-2</v>
      </c>
      <c r="G29" s="3"/>
      <c r="H29" s="7">
        <v>1557.60884615385</v>
      </c>
      <c r="I29" s="3"/>
      <c r="J29" s="8">
        <f t="shared" si="13"/>
        <v>0</v>
      </c>
      <c r="K29" s="3"/>
      <c r="L29" s="7">
        <f t="shared" si="14"/>
        <v>-132.55884615385003</v>
      </c>
      <c r="M29" s="3"/>
      <c r="N29" s="8">
        <f t="shared" si="15"/>
        <v>-8.5104066069715142E-2</v>
      </c>
      <c r="O29" s="12"/>
      <c r="P29" s="7">
        <v>1425.05</v>
      </c>
      <c r="Q29" s="3"/>
      <c r="R29" s="8">
        <f t="shared" si="16"/>
        <v>7.3730127194235079E-2</v>
      </c>
      <c r="S29" s="3"/>
      <c r="T29" s="7">
        <v>1557.60884615385</v>
      </c>
      <c r="U29" s="3"/>
      <c r="V29" s="8">
        <f t="shared" si="17"/>
        <v>0</v>
      </c>
      <c r="W29" s="3"/>
      <c r="X29" s="7">
        <f t="shared" si="18"/>
        <v>-132.55884615385003</v>
      </c>
      <c r="Y29" s="3"/>
      <c r="Z29" s="8">
        <f t="shared" si="19"/>
        <v>-8.5104066069715142E-2</v>
      </c>
    </row>
    <row r="30" spans="1:26" s="24" customFormat="1" hidden="1" outlineLevel="2" x14ac:dyDescent="0.25">
      <c r="A30" s="27"/>
      <c r="B30" s="12" t="str">
        <f>CONCATENATE("          ", "6116", " - ", "EDUCATIONAL BENEFITS")</f>
        <v xml:space="preserve">          6116 - EDUCATIONAL BENEFITS</v>
      </c>
      <c r="C30" s="12"/>
      <c r="D30" s="7"/>
      <c r="E30" s="3"/>
      <c r="F30" s="8">
        <f t="shared" si="12"/>
        <v>0</v>
      </c>
      <c r="G30" s="3"/>
      <c r="H30" s="7">
        <v>0</v>
      </c>
      <c r="I30" s="3"/>
      <c r="J30" s="8">
        <f t="shared" si="13"/>
        <v>0</v>
      </c>
      <c r="K30" s="3"/>
      <c r="L30" s="7">
        <f t="shared" si="14"/>
        <v>0</v>
      </c>
      <c r="M30" s="3"/>
      <c r="N30" s="8">
        <f t="shared" si="15"/>
        <v>0</v>
      </c>
      <c r="O30" s="12"/>
      <c r="P30" s="7"/>
      <c r="Q30" s="3"/>
      <c r="R30" s="8">
        <f t="shared" si="16"/>
        <v>0</v>
      </c>
      <c r="S30" s="3"/>
      <c r="T30" s="7">
        <v>0</v>
      </c>
      <c r="U30" s="3"/>
      <c r="V30" s="8">
        <f t="shared" si="17"/>
        <v>0</v>
      </c>
      <c r="W30" s="3"/>
      <c r="X30" s="7">
        <f t="shared" si="18"/>
        <v>0</v>
      </c>
      <c r="Y30" s="3"/>
      <c r="Z30" s="8">
        <f t="shared" si="19"/>
        <v>0</v>
      </c>
    </row>
    <row r="31" spans="1:26" s="24" customFormat="1" hidden="1" outlineLevel="2" x14ac:dyDescent="0.25">
      <c r="A31" s="27"/>
      <c r="B31" s="12" t="str">
        <f>CONCATENATE("          ", "6117", " - ", "RETIREMENT STAFF HOURLY")</f>
        <v xml:space="preserve">          6117 - RETIREMENT STAFF HOURLY</v>
      </c>
      <c r="C31" s="12"/>
      <c r="D31" s="7">
        <v>524.91999999999996</v>
      </c>
      <c r="E31" s="3"/>
      <c r="F31" s="8">
        <f t="shared" si="12"/>
        <v>2.7158638901651082E-2</v>
      </c>
      <c r="G31" s="3"/>
      <c r="H31" s="7"/>
      <c r="I31" s="3"/>
      <c r="J31" s="8">
        <f t="shared" si="13"/>
        <v>0</v>
      </c>
      <c r="K31" s="3"/>
      <c r="L31" s="7">
        <f t="shared" si="14"/>
        <v>524.91999999999996</v>
      </c>
      <c r="M31" s="3"/>
      <c r="N31" s="8">
        <f t="shared" si="15"/>
        <v>0</v>
      </c>
      <c r="O31" s="12"/>
      <c r="P31" s="7">
        <v>524.91999999999996</v>
      </c>
      <c r="Q31" s="3"/>
      <c r="R31" s="8">
        <f t="shared" si="16"/>
        <v>2.7158638901651082E-2</v>
      </c>
      <c r="S31" s="3"/>
      <c r="T31" s="7"/>
      <c r="U31" s="3"/>
      <c r="V31" s="8">
        <f t="shared" si="17"/>
        <v>0</v>
      </c>
      <c r="W31" s="3"/>
      <c r="X31" s="7">
        <f t="shared" si="18"/>
        <v>524.91999999999996</v>
      </c>
      <c r="Y31" s="3"/>
      <c r="Z31" s="8">
        <f t="shared" si="19"/>
        <v>0</v>
      </c>
    </row>
    <row r="32" spans="1:26" s="24" customFormat="1" hidden="1" outlineLevel="2" x14ac:dyDescent="0.25">
      <c r="A32" s="27"/>
      <c r="B32" s="12" t="str">
        <f>CONCATENATE("          ", "6118", " - ", "VACATION")</f>
        <v xml:space="preserve">          6118 - VACATION</v>
      </c>
      <c r="C32" s="12"/>
      <c r="D32" s="7">
        <v>1852.16</v>
      </c>
      <c r="E32" s="3"/>
      <c r="F32" s="8">
        <f t="shared" si="12"/>
        <v>9.5828211209483496E-2</v>
      </c>
      <c r="G32" s="3"/>
      <c r="H32" s="7">
        <v>1575.35192307692</v>
      </c>
      <c r="I32" s="3"/>
      <c r="J32" s="8">
        <f t="shared" si="13"/>
        <v>0</v>
      </c>
      <c r="K32" s="3"/>
      <c r="L32" s="7">
        <f t="shared" si="14"/>
        <v>276.80807692308008</v>
      </c>
      <c r="M32" s="3"/>
      <c r="N32" s="8">
        <f t="shared" si="15"/>
        <v>0.17571189831820475</v>
      </c>
      <c r="O32" s="12"/>
      <c r="P32" s="7">
        <v>1852.16</v>
      </c>
      <c r="Q32" s="3"/>
      <c r="R32" s="8">
        <f t="shared" si="16"/>
        <v>9.5828211209483496E-2</v>
      </c>
      <c r="S32" s="3"/>
      <c r="T32" s="7">
        <v>1575.35192307692</v>
      </c>
      <c r="U32" s="3"/>
      <c r="V32" s="8">
        <f t="shared" si="17"/>
        <v>0</v>
      </c>
      <c r="W32" s="3"/>
      <c r="X32" s="7">
        <f t="shared" si="18"/>
        <v>276.80807692308008</v>
      </c>
      <c r="Y32" s="3"/>
      <c r="Z32" s="8">
        <f t="shared" si="19"/>
        <v>0.17571189831820475</v>
      </c>
    </row>
    <row r="33" spans="1:26" s="24" customFormat="1" hidden="1" outlineLevel="2" x14ac:dyDescent="0.25">
      <c r="A33" s="27"/>
      <c r="B33" s="12" t="str">
        <f>CONCATENATE("          ", "6119", " - ", "SICK LEAVE")</f>
        <v xml:space="preserve">          6119 - SICK LEAVE</v>
      </c>
      <c r="C33" s="12"/>
      <c r="D33" s="7">
        <v>1214.78</v>
      </c>
      <c r="E33" s="3"/>
      <c r="F33" s="8">
        <f t="shared" si="12"/>
        <v>6.2851046568901364E-2</v>
      </c>
      <c r="G33" s="3"/>
      <c r="H33" s="7">
        <v>1059.35192307692</v>
      </c>
      <c r="I33" s="3"/>
      <c r="J33" s="8">
        <f t="shared" si="13"/>
        <v>0</v>
      </c>
      <c r="K33" s="3"/>
      <c r="L33" s="7">
        <f t="shared" si="14"/>
        <v>155.42807692307997</v>
      </c>
      <c r="M33" s="3"/>
      <c r="N33" s="8">
        <f t="shared" si="15"/>
        <v>0.14671996485514877</v>
      </c>
      <c r="O33" s="12"/>
      <c r="P33" s="7">
        <v>1214.78</v>
      </c>
      <c r="Q33" s="3"/>
      <c r="R33" s="8">
        <f t="shared" si="16"/>
        <v>6.2851046568901364E-2</v>
      </c>
      <c r="S33" s="3"/>
      <c r="T33" s="7">
        <v>1059.35192307692</v>
      </c>
      <c r="U33" s="3"/>
      <c r="V33" s="8">
        <f t="shared" si="17"/>
        <v>0</v>
      </c>
      <c r="W33" s="3"/>
      <c r="X33" s="7">
        <f t="shared" si="18"/>
        <v>155.42807692307997</v>
      </c>
      <c r="Y33" s="3"/>
      <c r="Z33" s="8">
        <f t="shared" si="19"/>
        <v>0.14671996485514877</v>
      </c>
    </row>
    <row r="34" spans="1:26" s="24" customFormat="1" hidden="1" outlineLevel="2" x14ac:dyDescent="0.25">
      <c r="A34" s="27"/>
      <c r="B34" s="12" t="str">
        <f>CONCATENATE("          ", "6156", " - ", "EMPLOYEE MEALS")</f>
        <v xml:space="preserve">          6156 - EMPLOYEE MEALS</v>
      </c>
      <c r="C34" s="12"/>
      <c r="D34" s="7">
        <v>754.4</v>
      </c>
      <c r="E34" s="3"/>
      <c r="F34" s="8">
        <f t="shared" si="12"/>
        <v>3.9031618508354758E-2</v>
      </c>
      <c r="G34" s="3"/>
      <c r="H34" s="7">
        <v>1750</v>
      </c>
      <c r="I34" s="3"/>
      <c r="J34" s="8">
        <f t="shared" si="13"/>
        <v>0</v>
      </c>
      <c r="K34" s="3"/>
      <c r="L34" s="7">
        <f t="shared" si="14"/>
        <v>-995.6</v>
      </c>
      <c r="M34" s="3"/>
      <c r="N34" s="8">
        <f t="shared" si="15"/>
        <v>-0.56891428571428571</v>
      </c>
      <c r="O34" s="12"/>
      <c r="P34" s="7">
        <v>754.4</v>
      </c>
      <c r="Q34" s="3"/>
      <c r="R34" s="8">
        <f t="shared" si="16"/>
        <v>3.9031618508354758E-2</v>
      </c>
      <c r="S34" s="3"/>
      <c r="T34" s="7">
        <v>1750</v>
      </c>
      <c r="U34" s="3"/>
      <c r="V34" s="8">
        <f t="shared" si="17"/>
        <v>0</v>
      </c>
      <c r="W34" s="3"/>
      <c r="X34" s="7">
        <f t="shared" si="18"/>
        <v>-995.6</v>
      </c>
      <c r="Y34" s="3"/>
      <c r="Z34" s="8">
        <f t="shared" si="19"/>
        <v>-0.56891428571428571</v>
      </c>
    </row>
    <row r="35" spans="1:26" s="29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23914.11</v>
      </c>
      <c r="E35" s="1"/>
      <c r="F35" s="5">
        <f t="shared" ref="F35:F45" si="20">IF(D$12=0,0,D35/D$12)</f>
        <v>1.2372831634236898</v>
      </c>
      <c r="G35" s="1"/>
      <c r="H35" s="1">
        <f>SUM(OSRRefH22_1x_0)</f>
        <v>41277.026923076904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-17362.916923076904</v>
      </c>
      <c r="M35" s="1"/>
      <c r="N35" s="5">
        <f t="shared" ref="N35:N45" si="23">IF(H35=0,0,L35/H35)</f>
        <v>-0.4206435932373257</v>
      </c>
      <c r="O35" s="14"/>
      <c r="P35" s="1">
        <f>SUM(OSRRefP22_1x_0)</f>
        <v>23914.11</v>
      </c>
      <c r="Q35" s="1"/>
      <c r="R35" s="5">
        <f t="shared" ref="R35:R45" si="24">IF(P$12=0,0,P35/P$12)</f>
        <v>1.2372831634236898</v>
      </c>
      <c r="S35" s="1"/>
      <c r="T35" s="1">
        <f>SUM(OSRRefT22_1x_0)</f>
        <v>41277.026923076904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-17362.916923076904</v>
      </c>
      <c r="Y35" s="1"/>
      <c r="Z35" s="5">
        <f t="shared" ref="Z35:Z45" si="27">IF(T35=0,0,X35/T35)</f>
        <v>-0.4206435932373257</v>
      </c>
    </row>
    <row r="36" spans="1:26" s="24" customFormat="1" hidden="1" outlineLevel="2" x14ac:dyDescent="0.25">
      <c r="A36" s="27"/>
      <c r="B36" s="12" t="str">
        <f>CONCATENATE("          ", "6001", " - ", "ADMINISTRATIVE SALARIES")</f>
        <v xml:space="preserve">          6001 - ADMINISTRATIVE SALARIES</v>
      </c>
      <c r="C36" s="12"/>
      <c r="D36" s="7"/>
      <c r="E36" s="3"/>
      <c r="F36" s="8">
        <f t="shared" si="20"/>
        <v>0</v>
      </c>
      <c r="G36" s="3"/>
      <c r="H36" s="7">
        <v>0</v>
      </c>
      <c r="I36" s="3"/>
      <c r="J36" s="8">
        <f t="shared" si="21"/>
        <v>0</v>
      </c>
      <c r="K36" s="3"/>
      <c r="L36" s="7">
        <f t="shared" si="22"/>
        <v>0</v>
      </c>
      <c r="M36" s="3"/>
      <c r="N36" s="8">
        <f t="shared" si="23"/>
        <v>0</v>
      </c>
      <c r="O36" s="12"/>
      <c r="P36" s="7"/>
      <c r="Q36" s="3"/>
      <c r="R36" s="8">
        <f t="shared" si="24"/>
        <v>0</v>
      </c>
      <c r="S36" s="3"/>
      <c r="T36" s="7">
        <v>0</v>
      </c>
      <c r="U36" s="3"/>
      <c r="V36" s="8">
        <f t="shared" si="25"/>
        <v>0</v>
      </c>
      <c r="W36" s="3"/>
      <c r="X36" s="7">
        <f t="shared" si="26"/>
        <v>0</v>
      </c>
      <c r="Y36" s="3"/>
      <c r="Z36" s="8">
        <f t="shared" si="27"/>
        <v>0</v>
      </c>
    </row>
    <row r="37" spans="1:26" s="24" customFormat="1" hidden="1" outlineLevel="2" x14ac:dyDescent="0.25">
      <c r="A37" s="27"/>
      <c r="B37" s="12" t="str">
        <f>CONCATENATE("          ", "6002", " - ", "STAFF SALARIES")</f>
        <v xml:space="preserve">          6002 - STAFF SALARIES</v>
      </c>
      <c r="C37" s="12"/>
      <c r="D37" s="7">
        <v>11078.22</v>
      </c>
      <c r="E37" s="3"/>
      <c r="F37" s="8">
        <f t="shared" si="20"/>
        <v>0.57317186743322612</v>
      </c>
      <c r="G37" s="3"/>
      <c r="H37" s="7">
        <v>17025.026923076901</v>
      </c>
      <c r="I37" s="3"/>
      <c r="J37" s="8">
        <f t="shared" si="21"/>
        <v>0</v>
      </c>
      <c r="K37" s="3"/>
      <c r="L37" s="7">
        <f t="shared" si="22"/>
        <v>-5946.8069230769015</v>
      </c>
      <c r="M37" s="3"/>
      <c r="N37" s="8">
        <f t="shared" si="23"/>
        <v>-0.34929794530992414</v>
      </c>
      <c r="O37" s="12"/>
      <c r="P37" s="7">
        <v>11078.22</v>
      </c>
      <c r="Q37" s="3"/>
      <c r="R37" s="8">
        <f t="shared" si="24"/>
        <v>0.57317186743322612</v>
      </c>
      <c r="S37" s="3"/>
      <c r="T37" s="7">
        <v>17025.026923076901</v>
      </c>
      <c r="U37" s="3"/>
      <c r="V37" s="8">
        <f t="shared" si="25"/>
        <v>0</v>
      </c>
      <c r="W37" s="3"/>
      <c r="X37" s="7">
        <f t="shared" si="26"/>
        <v>-5946.8069230769015</v>
      </c>
      <c r="Y37" s="3"/>
      <c r="Z37" s="8">
        <f t="shared" si="27"/>
        <v>-0.34929794530992414</v>
      </c>
    </row>
    <row r="38" spans="1:26" s="24" customFormat="1" hidden="1" outlineLevel="2" x14ac:dyDescent="0.25">
      <c r="A38" s="27"/>
      <c r="B38" s="12" t="str">
        <f>CONCATENATE("          ", "6003", " - ", "STAFF HOURLY-9 MONTH")</f>
        <v xml:space="preserve">          6003 - STAFF HOURLY-9 MONTH</v>
      </c>
      <c r="C38" s="12"/>
      <c r="D38" s="7"/>
      <c r="E38" s="3"/>
      <c r="F38" s="8">
        <f t="shared" si="20"/>
        <v>0</v>
      </c>
      <c r="G38" s="3"/>
      <c r="H38" s="7">
        <v>0</v>
      </c>
      <c r="I38" s="3"/>
      <c r="J38" s="8">
        <f t="shared" si="21"/>
        <v>0</v>
      </c>
      <c r="K38" s="3"/>
      <c r="L38" s="7">
        <f t="shared" si="22"/>
        <v>0</v>
      </c>
      <c r="M38" s="3"/>
      <c r="N38" s="8">
        <f t="shared" si="23"/>
        <v>0</v>
      </c>
      <c r="O38" s="12"/>
      <c r="P38" s="7"/>
      <c r="Q38" s="3"/>
      <c r="R38" s="8">
        <f t="shared" si="24"/>
        <v>0</v>
      </c>
      <c r="S38" s="3"/>
      <c r="T38" s="7">
        <v>0</v>
      </c>
      <c r="U38" s="3"/>
      <c r="V38" s="8">
        <f t="shared" si="25"/>
        <v>0</v>
      </c>
      <c r="W38" s="3"/>
      <c r="X38" s="7">
        <f t="shared" si="26"/>
        <v>0</v>
      </c>
      <c r="Y38" s="3"/>
      <c r="Z38" s="8">
        <f t="shared" si="27"/>
        <v>0</v>
      </c>
    </row>
    <row r="39" spans="1:26" s="24" customFormat="1" hidden="1" outlineLevel="2" x14ac:dyDescent="0.25">
      <c r="A39" s="27"/>
      <c r="B39" s="12" t="str">
        <f>CONCATENATE("          ", "6004", " - ", "STAFF HOURLY")</f>
        <v xml:space="preserve">          6004 - STAFF HOURLY</v>
      </c>
      <c r="C39" s="12"/>
      <c r="D39" s="7">
        <v>10701.89</v>
      </c>
      <c r="E39" s="3"/>
      <c r="F39" s="8">
        <f t="shared" si="20"/>
        <v>0.5537010707825778</v>
      </c>
      <c r="G39" s="3"/>
      <c r="H39" s="7">
        <v>24252</v>
      </c>
      <c r="I39" s="3"/>
      <c r="J39" s="8">
        <f t="shared" si="21"/>
        <v>0</v>
      </c>
      <c r="K39" s="3"/>
      <c r="L39" s="7">
        <f t="shared" si="22"/>
        <v>-13550.11</v>
      </c>
      <c r="M39" s="3"/>
      <c r="N39" s="8">
        <f t="shared" si="23"/>
        <v>-0.55872134256968498</v>
      </c>
      <c r="O39" s="12"/>
      <c r="P39" s="7">
        <v>10701.89</v>
      </c>
      <c r="Q39" s="3"/>
      <c r="R39" s="8">
        <f t="shared" si="24"/>
        <v>0.5537010707825778</v>
      </c>
      <c r="S39" s="3"/>
      <c r="T39" s="7">
        <v>24252</v>
      </c>
      <c r="U39" s="3"/>
      <c r="V39" s="8">
        <f t="shared" si="25"/>
        <v>0</v>
      </c>
      <c r="W39" s="3"/>
      <c r="X39" s="7">
        <f t="shared" si="26"/>
        <v>-13550.11</v>
      </c>
      <c r="Y39" s="3"/>
      <c r="Z39" s="8">
        <f t="shared" si="27"/>
        <v>-0.55872134256968498</v>
      </c>
    </row>
    <row r="40" spans="1:26" s="24" customFormat="1" hidden="1" outlineLevel="2" x14ac:dyDescent="0.25">
      <c r="A40" s="27"/>
      <c r="B40" s="12" t="str">
        <f>CONCATENATE("          ", "6005", " - ", "TEMPORARY WAGES-HOURLY")</f>
        <v xml:space="preserve">          6005 - TEMPORARY WAGES-HOURLY</v>
      </c>
      <c r="C40" s="12"/>
      <c r="D40" s="7"/>
      <c r="E40" s="3"/>
      <c r="F40" s="8">
        <f t="shared" si="20"/>
        <v>0</v>
      </c>
      <c r="G40" s="3"/>
      <c r="H40" s="7">
        <v>0</v>
      </c>
      <c r="I40" s="3"/>
      <c r="J40" s="8">
        <f t="shared" si="21"/>
        <v>0</v>
      </c>
      <c r="K40" s="3"/>
      <c r="L40" s="7">
        <f t="shared" si="22"/>
        <v>0</v>
      </c>
      <c r="M40" s="3"/>
      <c r="N40" s="8">
        <f t="shared" si="23"/>
        <v>0</v>
      </c>
      <c r="O40" s="12"/>
      <c r="P40" s="7"/>
      <c r="Q40" s="3"/>
      <c r="R40" s="8">
        <f t="shared" si="24"/>
        <v>0</v>
      </c>
      <c r="S40" s="3"/>
      <c r="T40" s="7">
        <v>0</v>
      </c>
      <c r="U40" s="3"/>
      <c r="V40" s="8">
        <f t="shared" si="25"/>
        <v>0</v>
      </c>
      <c r="W40" s="3"/>
      <c r="X40" s="7">
        <f t="shared" si="26"/>
        <v>0</v>
      </c>
      <c r="Y40" s="3"/>
      <c r="Z40" s="8">
        <f t="shared" si="27"/>
        <v>0</v>
      </c>
    </row>
    <row r="41" spans="1:26" s="24" customFormat="1" hidden="1" outlineLevel="2" x14ac:dyDescent="0.25">
      <c r="A41" s="27"/>
      <c r="B41" s="12" t="str">
        <f>CONCATENATE("          ", "6006", " - ", "TEMPORARY PART TIME")</f>
        <v xml:space="preserve">          6006 - TEMPORARY PART TIME</v>
      </c>
      <c r="C41" s="12"/>
      <c r="D41" s="7"/>
      <c r="E41" s="3"/>
      <c r="F41" s="8">
        <f t="shared" si="20"/>
        <v>0</v>
      </c>
      <c r="G41" s="3"/>
      <c r="H41" s="7">
        <v>0</v>
      </c>
      <c r="I41" s="3"/>
      <c r="J41" s="8">
        <f t="shared" si="21"/>
        <v>0</v>
      </c>
      <c r="K41" s="3"/>
      <c r="L41" s="7">
        <f t="shared" si="22"/>
        <v>0</v>
      </c>
      <c r="M41" s="3"/>
      <c r="N41" s="8">
        <f t="shared" si="23"/>
        <v>0</v>
      </c>
      <c r="O41" s="12"/>
      <c r="P41" s="7"/>
      <c r="Q41" s="3"/>
      <c r="R41" s="8">
        <f t="shared" si="24"/>
        <v>0</v>
      </c>
      <c r="S41" s="3"/>
      <c r="T41" s="7">
        <v>0</v>
      </c>
      <c r="U41" s="3"/>
      <c r="V41" s="8">
        <f t="shared" si="25"/>
        <v>0</v>
      </c>
      <c r="W41" s="3"/>
      <c r="X41" s="7">
        <f t="shared" si="26"/>
        <v>0</v>
      </c>
      <c r="Y41" s="3"/>
      <c r="Z41" s="8">
        <f t="shared" si="27"/>
        <v>0</v>
      </c>
    </row>
    <row r="42" spans="1:26" s="24" customFormat="1" hidden="1" outlineLevel="2" x14ac:dyDescent="0.25">
      <c r="A42" s="27"/>
      <c r="B42" s="12" t="str">
        <f>CONCATENATE("          ", "6007", " - ", "STUDENT HOURLY")</f>
        <v xml:space="preserve">          6007 - STUDENT HOURLY</v>
      </c>
      <c r="C42" s="12"/>
      <c r="D42" s="7">
        <v>2134</v>
      </c>
      <c r="E42" s="3"/>
      <c r="F42" s="8">
        <f t="shared" si="20"/>
        <v>0.11041022520788581</v>
      </c>
      <c r="G42" s="3"/>
      <c r="H42" s="7">
        <v>0</v>
      </c>
      <c r="I42" s="3"/>
      <c r="J42" s="8">
        <f t="shared" si="21"/>
        <v>0</v>
      </c>
      <c r="K42" s="3"/>
      <c r="L42" s="7">
        <f t="shared" si="22"/>
        <v>2134</v>
      </c>
      <c r="M42" s="3"/>
      <c r="N42" s="8">
        <f t="shared" si="23"/>
        <v>0</v>
      </c>
      <c r="O42" s="12"/>
      <c r="P42" s="7">
        <v>2134</v>
      </c>
      <c r="Q42" s="3"/>
      <c r="R42" s="8">
        <f t="shared" si="24"/>
        <v>0.11041022520788581</v>
      </c>
      <c r="S42" s="3"/>
      <c r="T42" s="7">
        <v>0</v>
      </c>
      <c r="U42" s="3"/>
      <c r="V42" s="8">
        <f t="shared" si="25"/>
        <v>0</v>
      </c>
      <c r="W42" s="3"/>
      <c r="X42" s="7">
        <f t="shared" si="26"/>
        <v>2134</v>
      </c>
      <c r="Y42" s="3"/>
      <c r="Z42" s="8">
        <f t="shared" si="27"/>
        <v>0</v>
      </c>
    </row>
    <row r="43" spans="1:26" s="24" customFormat="1" hidden="1" outlineLevel="2" x14ac:dyDescent="0.25">
      <c r="A43" s="27"/>
      <c r="B43" s="12" t="str">
        <f>CONCATENATE("          ", "6008", " - ", "STUDENT HOURLY-FICA EXEMPT")</f>
        <v xml:space="preserve">          6008 - STUDENT HOURLY-FICA EXEMPT</v>
      </c>
      <c r="C43" s="12"/>
      <c r="D43" s="7"/>
      <c r="E43" s="3"/>
      <c r="F43" s="8">
        <f t="shared" si="20"/>
        <v>0</v>
      </c>
      <c r="G43" s="3"/>
      <c r="H43" s="7">
        <v>0</v>
      </c>
      <c r="I43" s="3"/>
      <c r="J43" s="8">
        <f t="shared" si="21"/>
        <v>0</v>
      </c>
      <c r="K43" s="3"/>
      <c r="L43" s="7">
        <f t="shared" si="22"/>
        <v>0</v>
      </c>
      <c r="M43" s="3"/>
      <c r="N43" s="8">
        <f t="shared" si="23"/>
        <v>0</v>
      </c>
      <c r="O43" s="12"/>
      <c r="P43" s="7"/>
      <c r="Q43" s="3"/>
      <c r="R43" s="8">
        <f t="shared" si="24"/>
        <v>0</v>
      </c>
      <c r="S43" s="3"/>
      <c r="T43" s="7">
        <v>0</v>
      </c>
      <c r="U43" s="3"/>
      <c r="V43" s="8">
        <f t="shared" si="25"/>
        <v>0</v>
      </c>
      <c r="W43" s="3"/>
      <c r="X43" s="7">
        <f t="shared" si="26"/>
        <v>0</v>
      </c>
      <c r="Y43" s="3"/>
      <c r="Z43" s="8">
        <f t="shared" si="27"/>
        <v>0</v>
      </c>
    </row>
    <row r="44" spans="1:26" s="24" customFormat="1" hidden="1" outlineLevel="2" x14ac:dyDescent="0.25">
      <c r="A44" s="27"/>
      <c r="B44" s="12" t="str">
        <f>CONCATENATE("          ", "6009", " - ", "TEMPORARY-SEASONAL")</f>
        <v xml:space="preserve">          6009 - TEMPORARY-SEASONAL</v>
      </c>
      <c r="C44" s="12"/>
      <c r="D44" s="7"/>
      <c r="E44" s="3"/>
      <c r="F44" s="8">
        <f t="shared" si="20"/>
        <v>0</v>
      </c>
      <c r="G44" s="3"/>
      <c r="H44" s="7">
        <v>0</v>
      </c>
      <c r="I44" s="3"/>
      <c r="J44" s="8">
        <f t="shared" si="21"/>
        <v>0</v>
      </c>
      <c r="K44" s="3"/>
      <c r="L44" s="7">
        <f t="shared" si="22"/>
        <v>0</v>
      </c>
      <c r="M44" s="3"/>
      <c r="N44" s="8">
        <f t="shared" si="23"/>
        <v>0</v>
      </c>
      <c r="O44" s="12"/>
      <c r="P44" s="7"/>
      <c r="Q44" s="3"/>
      <c r="R44" s="8">
        <f t="shared" si="24"/>
        <v>0</v>
      </c>
      <c r="S44" s="3"/>
      <c r="T44" s="7">
        <v>0</v>
      </c>
      <c r="U44" s="3"/>
      <c r="V44" s="8">
        <f t="shared" si="25"/>
        <v>0</v>
      </c>
      <c r="W44" s="3"/>
      <c r="X44" s="7">
        <f t="shared" si="26"/>
        <v>0</v>
      </c>
      <c r="Y44" s="3"/>
      <c r="Z44" s="8">
        <f t="shared" si="27"/>
        <v>0</v>
      </c>
    </row>
    <row r="45" spans="1:26" s="24" customFormat="1" hidden="1" outlineLevel="2" x14ac:dyDescent="0.25">
      <c r="A45" s="27"/>
      <c r="B45" s="12" t="str">
        <f>CONCATENATE("          ", "6010", " - ", "GRATUITY")</f>
        <v xml:space="preserve">          6010 - GRATUITY</v>
      </c>
      <c r="C45" s="12"/>
      <c r="D45" s="7"/>
      <c r="E45" s="3"/>
      <c r="F45" s="8">
        <f t="shared" si="20"/>
        <v>0</v>
      </c>
      <c r="G45" s="3"/>
      <c r="H45" s="7">
        <v>0</v>
      </c>
      <c r="I45" s="3"/>
      <c r="J45" s="8">
        <f t="shared" si="21"/>
        <v>0</v>
      </c>
      <c r="K45" s="3"/>
      <c r="L45" s="7">
        <f t="shared" si="22"/>
        <v>0</v>
      </c>
      <c r="M45" s="3"/>
      <c r="N45" s="8">
        <f t="shared" si="23"/>
        <v>0</v>
      </c>
      <c r="O45" s="12"/>
      <c r="P45" s="7"/>
      <c r="Q45" s="3"/>
      <c r="R45" s="8">
        <f t="shared" si="24"/>
        <v>0</v>
      </c>
      <c r="S45" s="3"/>
      <c r="T45" s="7">
        <v>0</v>
      </c>
      <c r="U45" s="3"/>
      <c r="V45" s="8">
        <f t="shared" si="25"/>
        <v>0</v>
      </c>
      <c r="W45" s="3"/>
      <c r="X45" s="7">
        <f t="shared" si="26"/>
        <v>0</v>
      </c>
      <c r="Y45" s="3"/>
      <c r="Z45" s="8">
        <f t="shared" si="27"/>
        <v>0</v>
      </c>
    </row>
    <row r="46" spans="1:26" s="29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204.75</v>
      </c>
      <c r="E46" s="1"/>
      <c r="F46" s="5">
        <f t="shared" ref="F46:F66" si="28">IF(D$12=0,0,D46/D$12)</f>
        <v>1.0593483416735997E-2</v>
      </c>
      <c r="G46" s="1"/>
      <c r="H46" s="1">
        <f>SUM(OSRRefH22_2x_0)</f>
        <v>500</v>
      </c>
      <c r="I46" s="1"/>
      <c r="J46" s="5">
        <f t="shared" ref="J46:J66" si="29">IF(H$12=0,0,H46/H$12)</f>
        <v>0</v>
      </c>
      <c r="K46" s="1"/>
      <c r="L46" s="1">
        <f t="shared" ref="L46:L66" si="30">+D46-H46</f>
        <v>-295.25</v>
      </c>
      <c r="M46" s="1"/>
      <c r="N46" s="5">
        <f t="shared" ref="N46:N66" si="31">IF(H46=0,0,L46/H46)</f>
        <v>-0.59050000000000002</v>
      </c>
      <c r="O46" s="14"/>
      <c r="P46" s="1">
        <f>SUM(OSRRefP22_2x_0)</f>
        <v>204.75</v>
      </c>
      <c r="Q46" s="1"/>
      <c r="R46" s="5">
        <f t="shared" ref="R46:R66" si="32">IF(P$12=0,0,P46/P$12)</f>
        <v>1.0593483416735997E-2</v>
      </c>
      <c r="S46" s="1"/>
      <c r="T46" s="1">
        <f>SUM(OSRRefT22_2x_0)</f>
        <v>500</v>
      </c>
      <c r="U46" s="1"/>
      <c r="V46" s="5">
        <f t="shared" ref="V46:V66" si="33">IF(T$12=0,0,T46/T$12)</f>
        <v>0</v>
      </c>
      <c r="W46" s="1"/>
      <c r="X46" s="1">
        <f t="shared" ref="X46:X66" si="34">+P46-T46</f>
        <v>-295.25</v>
      </c>
      <c r="Y46" s="1"/>
      <c r="Z46" s="5">
        <f t="shared" ref="Z46:Z66" si="35">IF(T46=0,0,X46/T46)</f>
        <v>-0.59050000000000002</v>
      </c>
    </row>
    <row r="47" spans="1:26" s="24" customFormat="1" hidden="1" outlineLevel="2" x14ac:dyDescent="0.25">
      <c r="A47" s="27"/>
      <c r="B47" s="12" t="str">
        <f>CONCATENATE("          ", "6362", " - ", "ADVERTISING EXPENSE")</f>
        <v xml:space="preserve">          6362 - ADVERTISING EXPENSE</v>
      </c>
      <c r="C47" s="12"/>
      <c r="D47" s="7">
        <v>204.75</v>
      </c>
      <c r="E47" s="3"/>
      <c r="F47" s="8">
        <f t="shared" si="28"/>
        <v>1.0593483416735997E-2</v>
      </c>
      <c r="G47" s="3"/>
      <c r="H47" s="7">
        <v>500</v>
      </c>
      <c r="I47" s="3"/>
      <c r="J47" s="8">
        <f t="shared" si="29"/>
        <v>0</v>
      </c>
      <c r="K47" s="3"/>
      <c r="L47" s="7">
        <f t="shared" si="30"/>
        <v>-295.25</v>
      </c>
      <c r="M47" s="3"/>
      <c r="N47" s="8">
        <f t="shared" si="31"/>
        <v>-0.59050000000000002</v>
      </c>
      <c r="O47" s="12"/>
      <c r="P47" s="7">
        <v>204.75</v>
      </c>
      <c r="Q47" s="3"/>
      <c r="R47" s="8">
        <f t="shared" si="32"/>
        <v>1.0593483416735997E-2</v>
      </c>
      <c r="S47" s="3"/>
      <c r="T47" s="7">
        <v>500</v>
      </c>
      <c r="U47" s="3"/>
      <c r="V47" s="8">
        <f t="shared" si="33"/>
        <v>0</v>
      </c>
      <c r="W47" s="3"/>
      <c r="X47" s="7">
        <f t="shared" si="34"/>
        <v>-295.25</v>
      </c>
      <c r="Y47" s="3"/>
      <c r="Z47" s="8">
        <f t="shared" si="35"/>
        <v>-0.59050000000000002</v>
      </c>
    </row>
    <row r="48" spans="1:26" s="29" customFormat="1" outlineLevel="1" collapsed="1" x14ac:dyDescent="0.25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0</v>
      </c>
      <c r="E48" s="1"/>
      <c r="F48" s="5">
        <f t="shared" si="28"/>
        <v>0</v>
      </c>
      <c r="G48" s="1"/>
      <c r="H48" s="1">
        <f>SUM(OSRRefH22_3x_0)</f>
        <v>15</v>
      </c>
      <c r="I48" s="1"/>
      <c r="J48" s="5">
        <f t="shared" si="29"/>
        <v>0</v>
      </c>
      <c r="K48" s="1"/>
      <c r="L48" s="1">
        <f t="shared" si="30"/>
        <v>-15</v>
      </c>
      <c r="M48" s="1"/>
      <c r="N48" s="5">
        <f t="shared" si="31"/>
        <v>-1</v>
      </c>
      <c r="O48" s="14"/>
      <c r="P48" s="1">
        <f>SUM(OSRRefP22_3x_0)</f>
        <v>0</v>
      </c>
      <c r="Q48" s="1"/>
      <c r="R48" s="5">
        <f t="shared" si="32"/>
        <v>0</v>
      </c>
      <c r="S48" s="1"/>
      <c r="T48" s="1">
        <f>SUM(OSRRefT22_3x_0)</f>
        <v>15</v>
      </c>
      <c r="U48" s="1"/>
      <c r="V48" s="5">
        <f t="shared" si="33"/>
        <v>0</v>
      </c>
      <c r="W48" s="1"/>
      <c r="X48" s="1">
        <f t="shared" si="34"/>
        <v>-15</v>
      </c>
      <c r="Y48" s="1"/>
      <c r="Z48" s="5">
        <f t="shared" si="35"/>
        <v>-1</v>
      </c>
    </row>
    <row r="49" spans="1:26" s="24" customFormat="1" hidden="1" outlineLevel="2" x14ac:dyDescent="0.25">
      <c r="A49" s="27"/>
      <c r="B49" s="12" t="str">
        <f>CONCATENATE("          ", "6272", " - ", "CASH (OVER/SHORT)")</f>
        <v xml:space="preserve">          6272 - CASH (OVER/SHORT)</v>
      </c>
      <c r="C49" s="12"/>
      <c r="D49" s="7"/>
      <c r="E49" s="3"/>
      <c r="F49" s="8">
        <f t="shared" si="28"/>
        <v>0</v>
      </c>
      <c r="G49" s="3"/>
      <c r="H49" s="7">
        <v>15</v>
      </c>
      <c r="I49" s="3"/>
      <c r="J49" s="8">
        <f t="shared" si="29"/>
        <v>0</v>
      </c>
      <c r="K49" s="3"/>
      <c r="L49" s="7">
        <f t="shared" si="30"/>
        <v>-15</v>
      </c>
      <c r="M49" s="3"/>
      <c r="N49" s="8">
        <f t="shared" si="31"/>
        <v>-1</v>
      </c>
      <c r="O49" s="12"/>
      <c r="P49" s="7"/>
      <c r="Q49" s="3"/>
      <c r="R49" s="8">
        <f t="shared" si="32"/>
        <v>0</v>
      </c>
      <c r="S49" s="3"/>
      <c r="T49" s="7">
        <v>15</v>
      </c>
      <c r="U49" s="3"/>
      <c r="V49" s="8">
        <f t="shared" si="33"/>
        <v>0</v>
      </c>
      <c r="W49" s="3"/>
      <c r="X49" s="7">
        <f t="shared" si="34"/>
        <v>-15</v>
      </c>
      <c r="Y49" s="3"/>
      <c r="Z49" s="8">
        <f t="shared" si="35"/>
        <v>-1</v>
      </c>
    </row>
    <row r="50" spans="1:26" s="29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0</v>
      </c>
      <c r="E50" s="1"/>
      <c r="F50" s="5">
        <f t="shared" si="28"/>
        <v>0</v>
      </c>
      <c r="G50" s="1"/>
      <c r="H50" s="1">
        <f>SUM(OSRRefH22_4x_0)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4"/>
      <c r="P50" s="1">
        <f>SUM(OSRRefP22_4x_0)</f>
        <v>0</v>
      </c>
      <c r="Q50" s="1"/>
      <c r="R50" s="5">
        <f t="shared" si="32"/>
        <v>0</v>
      </c>
      <c r="S50" s="1"/>
      <c r="T50" s="1">
        <f>SUM(OSRRefT22_4x_0)</f>
        <v>250</v>
      </c>
      <c r="U50" s="1"/>
      <c r="V50" s="5">
        <f t="shared" si="33"/>
        <v>0</v>
      </c>
      <c r="W50" s="1"/>
      <c r="X50" s="1">
        <f t="shared" si="34"/>
        <v>-250</v>
      </c>
      <c r="Y50" s="1"/>
      <c r="Z50" s="5">
        <f t="shared" si="35"/>
        <v>-1</v>
      </c>
    </row>
    <row r="51" spans="1:26" s="24" customFormat="1" hidden="1" outlineLevel="2" x14ac:dyDescent="0.25">
      <c r="A51" s="27"/>
      <c r="B51" s="12" t="str">
        <f>CONCATENATE("          ", "6381", " - ", "BANK/CREDIT CARD FEES")</f>
        <v xml:space="preserve">          6381 - BANK/CREDIT CARD FEES</v>
      </c>
      <c r="C51" s="12"/>
      <c r="D51" s="7"/>
      <c r="E51" s="3"/>
      <c r="F51" s="8">
        <f t="shared" si="28"/>
        <v>0</v>
      </c>
      <c r="G51" s="3"/>
      <c r="H51" s="7">
        <v>250</v>
      </c>
      <c r="I51" s="3"/>
      <c r="J51" s="8">
        <f t="shared" si="29"/>
        <v>0</v>
      </c>
      <c r="K51" s="3"/>
      <c r="L51" s="7">
        <f t="shared" si="30"/>
        <v>-250</v>
      </c>
      <c r="M51" s="3"/>
      <c r="N51" s="8">
        <f t="shared" si="31"/>
        <v>-1</v>
      </c>
      <c r="O51" s="12"/>
      <c r="P51" s="7"/>
      <c r="Q51" s="3"/>
      <c r="R51" s="8">
        <f t="shared" si="32"/>
        <v>0</v>
      </c>
      <c r="S51" s="3"/>
      <c r="T51" s="7">
        <v>250</v>
      </c>
      <c r="U51" s="3"/>
      <c r="V51" s="8">
        <f t="shared" si="33"/>
        <v>0</v>
      </c>
      <c r="W51" s="3"/>
      <c r="X51" s="7">
        <f t="shared" si="34"/>
        <v>-250</v>
      </c>
      <c r="Y51" s="3"/>
      <c r="Z51" s="8">
        <f t="shared" si="35"/>
        <v>-1</v>
      </c>
    </row>
    <row r="52" spans="1:26" s="29" customFormat="1" outlineLevel="1" collapsed="1" x14ac:dyDescent="0.25">
      <c r="A52" s="28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SUM(OSRRefD22_5x_0)</f>
        <v>0</v>
      </c>
      <c r="E52" s="1"/>
      <c r="F52" s="5">
        <f t="shared" si="28"/>
        <v>0</v>
      </c>
      <c r="G52" s="1"/>
      <c r="H52" s="1">
        <f>SUM(OSRRefH22_5x_0)</f>
        <v>100</v>
      </c>
      <c r="I52" s="1"/>
      <c r="J52" s="5">
        <f t="shared" si="29"/>
        <v>0</v>
      </c>
      <c r="K52" s="1"/>
      <c r="L52" s="1">
        <f t="shared" si="30"/>
        <v>-100</v>
      </c>
      <c r="M52" s="1"/>
      <c r="N52" s="5">
        <f t="shared" si="31"/>
        <v>-1</v>
      </c>
      <c r="O52" s="14"/>
      <c r="P52" s="1">
        <f>SUM(OSRRefP22_5x_0)</f>
        <v>0</v>
      </c>
      <c r="Q52" s="1"/>
      <c r="R52" s="5">
        <f t="shared" si="32"/>
        <v>0</v>
      </c>
      <c r="S52" s="1"/>
      <c r="T52" s="1">
        <f>SUM(OSRRefT22_5x_0)</f>
        <v>100</v>
      </c>
      <c r="U52" s="1"/>
      <c r="V52" s="5">
        <f t="shared" si="33"/>
        <v>0</v>
      </c>
      <c r="W52" s="1"/>
      <c r="X52" s="1">
        <f t="shared" si="34"/>
        <v>-100</v>
      </c>
      <c r="Y52" s="1"/>
      <c r="Z52" s="5">
        <f t="shared" si="35"/>
        <v>-1</v>
      </c>
    </row>
    <row r="53" spans="1:26" s="24" customFormat="1" hidden="1" outlineLevel="2" x14ac:dyDescent="0.25">
      <c r="A53" s="27"/>
      <c r="B53" s="12" t="str">
        <f>CONCATENATE("          ", "6277", " - ", "EMPLOYEE APPRECIATION")</f>
        <v xml:space="preserve">          6277 - EMPLOYEE APPRECIATION</v>
      </c>
      <c r="C53" s="12"/>
      <c r="D53" s="7"/>
      <c r="E53" s="3"/>
      <c r="F53" s="8">
        <f t="shared" si="28"/>
        <v>0</v>
      </c>
      <c r="G53" s="3"/>
      <c r="H53" s="7">
        <v>100</v>
      </c>
      <c r="I53" s="3"/>
      <c r="J53" s="8">
        <f t="shared" si="29"/>
        <v>0</v>
      </c>
      <c r="K53" s="3"/>
      <c r="L53" s="7">
        <f t="shared" si="30"/>
        <v>-100</v>
      </c>
      <c r="M53" s="3"/>
      <c r="N53" s="8">
        <f t="shared" si="31"/>
        <v>-1</v>
      </c>
      <c r="O53" s="12"/>
      <c r="P53" s="7"/>
      <c r="Q53" s="3"/>
      <c r="R53" s="8">
        <f t="shared" si="32"/>
        <v>0</v>
      </c>
      <c r="S53" s="3"/>
      <c r="T53" s="7">
        <v>100</v>
      </c>
      <c r="U53" s="3"/>
      <c r="V53" s="8">
        <f t="shared" si="33"/>
        <v>0</v>
      </c>
      <c r="W53" s="3"/>
      <c r="X53" s="7">
        <f t="shared" si="34"/>
        <v>-100</v>
      </c>
      <c r="Y53" s="3"/>
      <c r="Z53" s="8">
        <f t="shared" si="35"/>
        <v>-1</v>
      </c>
    </row>
    <row r="54" spans="1:26" s="29" customFormat="1" outlineLevel="1" collapsed="1" x14ac:dyDescent="0.25">
      <c r="A54" s="28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SUM(OSRRefD22_6x_0)</f>
        <v>173.95</v>
      </c>
      <c r="E54" s="1"/>
      <c r="F54" s="5">
        <f t="shared" si="28"/>
        <v>8.9999337745603255E-3</v>
      </c>
      <c r="G54" s="1"/>
      <c r="H54" s="1">
        <f>SUM(OSRRefH22_6x_0)</f>
        <v>400</v>
      </c>
      <c r="I54" s="1"/>
      <c r="J54" s="5">
        <f t="shared" si="29"/>
        <v>0</v>
      </c>
      <c r="K54" s="1"/>
      <c r="L54" s="1">
        <f t="shared" si="30"/>
        <v>-226.05</v>
      </c>
      <c r="M54" s="1"/>
      <c r="N54" s="5">
        <f t="shared" si="31"/>
        <v>-0.56512499999999999</v>
      </c>
      <c r="O54" s="14"/>
      <c r="P54" s="1">
        <f>SUM(OSRRefP22_6x_0)</f>
        <v>173.95</v>
      </c>
      <c r="Q54" s="1"/>
      <c r="R54" s="5">
        <f t="shared" si="32"/>
        <v>8.9999337745603255E-3</v>
      </c>
      <c r="S54" s="1"/>
      <c r="T54" s="1">
        <f>SUM(OSRRefT22_6x_0)</f>
        <v>400</v>
      </c>
      <c r="U54" s="1"/>
      <c r="V54" s="5">
        <f t="shared" si="33"/>
        <v>0</v>
      </c>
      <c r="W54" s="1"/>
      <c r="X54" s="1">
        <f t="shared" si="34"/>
        <v>-226.05</v>
      </c>
      <c r="Y54" s="1"/>
      <c r="Z54" s="5">
        <f t="shared" si="35"/>
        <v>-0.56512499999999999</v>
      </c>
    </row>
    <row r="55" spans="1:26" s="24" customFormat="1" hidden="1" outlineLevel="2" x14ac:dyDescent="0.25">
      <c r="A55" s="27"/>
      <c r="B55" s="12" t="str">
        <f>CONCATENATE("          ", "6351", " - ", "EQUIPMENT RENTAL")</f>
        <v xml:space="preserve">          6351 - EQUIPMENT RENTAL</v>
      </c>
      <c r="C55" s="12"/>
      <c r="D55" s="7">
        <v>173.95</v>
      </c>
      <c r="E55" s="3"/>
      <c r="F55" s="8">
        <f t="shared" si="28"/>
        <v>8.9999337745603255E-3</v>
      </c>
      <c r="G55" s="3"/>
      <c r="H55" s="7">
        <v>400</v>
      </c>
      <c r="I55" s="3"/>
      <c r="J55" s="8">
        <f t="shared" si="29"/>
        <v>0</v>
      </c>
      <c r="K55" s="3"/>
      <c r="L55" s="7">
        <f t="shared" si="30"/>
        <v>-226.05</v>
      </c>
      <c r="M55" s="3"/>
      <c r="N55" s="8">
        <f t="shared" si="31"/>
        <v>-0.56512499999999999</v>
      </c>
      <c r="O55" s="12"/>
      <c r="P55" s="7">
        <v>173.95</v>
      </c>
      <c r="Q55" s="3"/>
      <c r="R55" s="8">
        <f t="shared" si="32"/>
        <v>8.9999337745603255E-3</v>
      </c>
      <c r="S55" s="3"/>
      <c r="T55" s="7">
        <v>400</v>
      </c>
      <c r="U55" s="3"/>
      <c r="V55" s="8">
        <f t="shared" si="33"/>
        <v>0</v>
      </c>
      <c r="W55" s="3"/>
      <c r="X55" s="7">
        <f t="shared" si="34"/>
        <v>-226.05</v>
      </c>
      <c r="Y55" s="3"/>
      <c r="Z55" s="8">
        <f t="shared" si="35"/>
        <v>-0.56512499999999999</v>
      </c>
    </row>
    <row r="56" spans="1:26" s="29" customFormat="1" outlineLevel="1" collapsed="1" x14ac:dyDescent="0.25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SUM(OSRRefD22_7x_0)</f>
        <v>3419.55</v>
      </c>
      <c r="E56" s="1"/>
      <c r="F56" s="5">
        <f t="shared" si="28"/>
        <v>0.17692281425005901</v>
      </c>
      <c r="G56" s="1"/>
      <c r="H56" s="1">
        <f>SUM(OSRRefH22_7x_0)</f>
        <v>1500</v>
      </c>
      <c r="I56" s="1"/>
      <c r="J56" s="5">
        <f t="shared" si="29"/>
        <v>0</v>
      </c>
      <c r="K56" s="1"/>
      <c r="L56" s="1">
        <f t="shared" si="30"/>
        <v>1919.5500000000002</v>
      </c>
      <c r="M56" s="1"/>
      <c r="N56" s="5">
        <f t="shared" si="31"/>
        <v>1.2797000000000001</v>
      </c>
      <c r="O56" s="14"/>
      <c r="P56" s="1">
        <f>SUM(OSRRefP22_7x_0)</f>
        <v>3419.55</v>
      </c>
      <c r="Q56" s="1"/>
      <c r="R56" s="5">
        <f t="shared" si="32"/>
        <v>0.17692281425005901</v>
      </c>
      <c r="S56" s="1"/>
      <c r="T56" s="1">
        <f>SUM(OSRRefT22_7x_0)</f>
        <v>1500</v>
      </c>
      <c r="U56" s="1"/>
      <c r="V56" s="5">
        <f t="shared" si="33"/>
        <v>0</v>
      </c>
      <c r="W56" s="1"/>
      <c r="X56" s="1">
        <f t="shared" si="34"/>
        <v>1919.5500000000002</v>
      </c>
      <c r="Y56" s="1"/>
      <c r="Z56" s="5">
        <f t="shared" si="35"/>
        <v>1.2797000000000001</v>
      </c>
    </row>
    <row r="57" spans="1:26" s="24" customFormat="1" hidden="1" outlineLevel="2" x14ac:dyDescent="0.25">
      <c r="A57" s="27"/>
      <c r="B57" s="12" t="str">
        <f>CONCATENATE("          ", "6279", " - ", "GENERAL EXPENSE")</f>
        <v xml:space="preserve">          6279 - GENERAL EXPENSE</v>
      </c>
      <c r="C57" s="12"/>
      <c r="D57" s="7">
        <v>3419.55</v>
      </c>
      <c r="E57" s="3"/>
      <c r="F57" s="8">
        <f t="shared" si="28"/>
        <v>0.17692281425005901</v>
      </c>
      <c r="G57" s="3"/>
      <c r="H57" s="7">
        <v>1500</v>
      </c>
      <c r="I57" s="3"/>
      <c r="J57" s="8">
        <f t="shared" si="29"/>
        <v>0</v>
      </c>
      <c r="K57" s="3"/>
      <c r="L57" s="7">
        <f t="shared" si="30"/>
        <v>1919.5500000000002</v>
      </c>
      <c r="M57" s="3"/>
      <c r="N57" s="8">
        <f t="shared" si="31"/>
        <v>1.2797000000000001</v>
      </c>
      <c r="O57" s="12"/>
      <c r="P57" s="7">
        <v>3419.55</v>
      </c>
      <c r="Q57" s="3"/>
      <c r="R57" s="8">
        <f t="shared" si="32"/>
        <v>0.17692281425005901</v>
      </c>
      <c r="S57" s="3"/>
      <c r="T57" s="7">
        <v>1500</v>
      </c>
      <c r="U57" s="3"/>
      <c r="V57" s="8">
        <f t="shared" si="33"/>
        <v>0</v>
      </c>
      <c r="W57" s="3"/>
      <c r="X57" s="7">
        <f t="shared" si="34"/>
        <v>1919.5500000000002</v>
      </c>
      <c r="Y57" s="3"/>
      <c r="Z57" s="8">
        <f t="shared" si="35"/>
        <v>1.2797000000000001</v>
      </c>
    </row>
    <row r="58" spans="1:26" s="29" customFormat="1" outlineLevel="1" collapsed="1" x14ac:dyDescent="0.25">
      <c r="A58" s="28"/>
      <c r="B58" s="14" t="str">
        <f>CONCATENATE("     ","R/H Commissions                                   ")</f>
        <v xml:space="preserve">     R/H Commissions                                   </v>
      </c>
      <c r="C58" s="14"/>
      <c r="D58" s="1">
        <f>SUM(OSRRefD22_8x_0)</f>
        <v>1151.68</v>
      </c>
      <c r="E58" s="1"/>
      <c r="F58" s="5">
        <f t="shared" si="28"/>
        <v>5.9586339347431079E-2</v>
      </c>
      <c r="G58" s="1"/>
      <c r="H58" s="1">
        <f>SUM(OSRRefH22_8x_0)</f>
        <v>0</v>
      </c>
      <c r="I58" s="1"/>
      <c r="J58" s="5">
        <f t="shared" si="29"/>
        <v>0</v>
      </c>
      <c r="K58" s="1"/>
      <c r="L58" s="1">
        <f t="shared" si="30"/>
        <v>1151.68</v>
      </c>
      <c r="M58" s="1"/>
      <c r="N58" s="5">
        <f t="shared" si="31"/>
        <v>0</v>
      </c>
      <c r="O58" s="14"/>
      <c r="P58" s="1">
        <f>SUM(OSRRefP22_8x_0)</f>
        <v>1151.68</v>
      </c>
      <c r="Q58" s="1"/>
      <c r="R58" s="5">
        <f t="shared" si="32"/>
        <v>5.9586339347431079E-2</v>
      </c>
      <c r="S58" s="1"/>
      <c r="T58" s="1">
        <f>SUM(OSRRefT22_8x_0)</f>
        <v>0</v>
      </c>
      <c r="U58" s="1"/>
      <c r="V58" s="5">
        <f t="shared" si="33"/>
        <v>0</v>
      </c>
      <c r="W58" s="1"/>
      <c r="X58" s="1">
        <f t="shared" si="34"/>
        <v>1151.68</v>
      </c>
      <c r="Y58" s="1"/>
      <c r="Z58" s="5">
        <f t="shared" si="35"/>
        <v>0</v>
      </c>
    </row>
    <row r="59" spans="1:26" s="24" customFormat="1" hidden="1" outlineLevel="2" x14ac:dyDescent="0.25">
      <c r="A59" s="27"/>
      <c r="B59" s="12" t="str">
        <f>CONCATENATE("          ", "6387", " - ", "COMMISSION DUE HOUSING")</f>
        <v xml:space="preserve">          6387 - COMMISSION DUE HOUSING</v>
      </c>
      <c r="C59" s="12"/>
      <c r="D59" s="7">
        <v>1151.68</v>
      </c>
      <c r="E59" s="3"/>
      <c r="F59" s="8">
        <f t="shared" si="28"/>
        <v>5.9586339347431079E-2</v>
      </c>
      <c r="G59" s="3"/>
      <c r="H59" s="7"/>
      <c r="I59" s="3"/>
      <c r="J59" s="8">
        <f t="shared" si="29"/>
        <v>0</v>
      </c>
      <c r="K59" s="3"/>
      <c r="L59" s="7">
        <f t="shared" si="30"/>
        <v>1151.68</v>
      </c>
      <c r="M59" s="3"/>
      <c r="N59" s="8">
        <f t="shared" si="31"/>
        <v>0</v>
      </c>
      <c r="O59" s="12"/>
      <c r="P59" s="7">
        <v>1151.68</v>
      </c>
      <c r="Q59" s="3"/>
      <c r="R59" s="8">
        <f t="shared" si="32"/>
        <v>5.9586339347431079E-2</v>
      </c>
      <c r="S59" s="3"/>
      <c r="T59" s="7"/>
      <c r="U59" s="3"/>
      <c r="V59" s="8">
        <f t="shared" si="33"/>
        <v>0</v>
      </c>
      <c r="W59" s="3"/>
      <c r="X59" s="7">
        <f t="shared" si="34"/>
        <v>1151.68</v>
      </c>
      <c r="Y59" s="3"/>
      <c r="Z59" s="8">
        <f t="shared" si="35"/>
        <v>0</v>
      </c>
    </row>
    <row r="60" spans="1:26" s="29" customFormat="1" outlineLevel="1" collapsed="1" x14ac:dyDescent="0.25">
      <c r="A60" s="28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SUM(OSRRefD22_9x_0)</f>
        <v>0</v>
      </c>
      <c r="E60" s="1"/>
      <c r="F60" s="5">
        <f t="shared" si="28"/>
        <v>0</v>
      </c>
      <c r="G60" s="1"/>
      <c r="H60" s="1">
        <f>SUM(OSRRefH22_9x_0)</f>
        <v>200</v>
      </c>
      <c r="I60" s="1"/>
      <c r="J60" s="5">
        <f t="shared" si="29"/>
        <v>0</v>
      </c>
      <c r="K60" s="1"/>
      <c r="L60" s="1">
        <f t="shared" si="30"/>
        <v>-200</v>
      </c>
      <c r="M60" s="1"/>
      <c r="N60" s="5">
        <f t="shared" si="31"/>
        <v>-1</v>
      </c>
      <c r="O60" s="14"/>
      <c r="P60" s="1">
        <f>SUM(OSRRefP22_9x_0)</f>
        <v>0</v>
      </c>
      <c r="Q60" s="1"/>
      <c r="R60" s="5">
        <f t="shared" si="32"/>
        <v>0</v>
      </c>
      <c r="S60" s="1"/>
      <c r="T60" s="1">
        <f>SUM(OSRRefT22_9x_0)</f>
        <v>200</v>
      </c>
      <c r="U60" s="1"/>
      <c r="V60" s="5">
        <f t="shared" si="33"/>
        <v>0</v>
      </c>
      <c r="W60" s="1"/>
      <c r="X60" s="1">
        <f t="shared" si="34"/>
        <v>-200</v>
      </c>
      <c r="Y60" s="1"/>
      <c r="Z60" s="5">
        <f t="shared" si="35"/>
        <v>-1</v>
      </c>
    </row>
    <row r="61" spans="1:26" s="24" customFormat="1" hidden="1" outlineLevel="2" x14ac:dyDescent="0.25">
      <c r="A61" s="27"/>
      <c r="B61" s="12" t="str">
        <f>CONCATENATE("          ", "6375", " - ", "OUTSIDE REPAIRS &amp; MAINTENANCE")</f>
        <v xml:space="preserve">          6375 - OUTSIDE REPAIRS &amp; MAINTENANCE</v>
      </c>
      <c r="C61" s="12"/>
      <c r="D61" s="7"/>
      <c r="E61" s="3"/>
      <c r="F61" s="8">
        <f t="shared" si="28"/>
        <v>0</v>
      </c>
      <c r="G61" s="3"/>
      <c r="H61" s="7">
        <v>200</v>
      </c>
      <c r="I61" s="3"/>
      <c r="J61" s="8">
        <f t="shared" si="29"/>
        <v>0</v>
      </c>
      <c r="K61" s="3"/>
      <c r="L61" s="7">
        <f t="shared" si="30"/>
        <v>-200</v>
      </c>
      <c r="M61" s="3"/>
      <c r="N61" s="8">
        <f t="shared" si="31"/>
        <v>-1</v>
      </c>
      <c r="O61" s="12"/>
      <c r="P61" s="7"/>
      <c r="Q61" s="3"/>
      <c r="R61" s="8">
        <f t="shared" si="32"/>
        <v>0</v>
      </c>
      <c r="S61" s="3"/>
      <c r="T61" s="7">
        <v>200</v>
      </c>
      <c r="U61" s="3"/>
      <c r="V61" s="8">
        <f t="shared" si="33"/>
        <v>0</v>
      </c>
      <c r="W61" s="3"/>
      <c r="X61" s="7">
        <f t="shared" si="34"/>
        <v>-200</v>
      </c>
      <c r="Y61" s="3"/>
      <c r="Z61" s="8">
        <f t="shared" si="35"/>
        <v>-1</v>
      </c>
    </row>
    <row r="62" spans="1:26" s="29" customFormat="1" outlineLevel="1" collapsed="1" x14ac:dyDescent="0.25">
      <c r="A62" s="28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SUM(OSRRefD22_10x_0)</f>
        <v>9908.1500000000015</v>
      </c>
      <c r="E62" s="1"/>
      <c r="F62" s="5">
        <f t="shared" si="28"/>
        <v>0.51263405477671686</v>
      </c>
      <c r="G62" s="1"/>
      <c r="H62" s="1">
        <f>SUM(OSRRefH22_10x_0)</f>
        <v>6607</v>
      </c>
      <c r="I62" s="1"/>
      <c r="J62" s="5">
        <f t="shared" si="29"/>
        <v>0</v>
      </c>
      <c r="K62" s="1"/>
      <c r="L62" s="1">
        <f t="shared" si="30"/>
        <v>3301.1500000000015</v>
      </c>
      <c r="M62" s="1"/>
      <c r="N62" s="5">
        <f t="shared" si="31"/>
        <v>0.49964431663387338</v>
      </c>
      <c r="O62" s="14"/>
      <c r="P62" s="1">
        <f>SUM(OSRRefP22_10x_0)</f>
        <v>9908.1500000000015</v>
      </c>
      <c r="Q62" s="1"/>
      <c r="R62" s="5">
        <f t="shared" si="32"/>
        <v>0.51263405477671686</v>
      </c>
      <c r="S62" s="1"/>
      <c r="T62" s="1">
        <f>SUM(OSRRefT22_10x_0)</f>
        <v>6607</v>
      </c>
      <c r="U62" s="1"/>
      <c r="V62" s="5">
        <f t="shared" si="33"/>
        <v>0</v>
      </c>
      <c r="W62" s="1"/>
      <c r="X62" s="1">
        <f t="shared" si="34"/>
        <v>3301.1500000000015</v>
      </c>
      <c r="Y62" s="1"/>
      <c r="Z62" s="5">
        <f t="shared" si="35"/>
        <v>0.49964431663387338</v>
      </c>
    </row>
    <row r="63" spans="1:26" s="24" customFormat="1" hidden="1" outlineLevel="2" x14ac:dyDescent="0.25">
      <c r="A63" s="27"/>
      <c r="B63" s="12" t="str">
        <f>CONCATENATE("          ", "6282", " - ", "JANITORIAL/EXTERMINATOR EXPENS")</f>
        <v xml:space="preserve">          6282 - JANITORIAL/EXTERMINATOR EXPENS</v>
      </c>
      <c r="C63" s="12"/>
      <c r="D63" s="7">
        <v>130.69999999999999</v>
      </c>
      <c r="E63" s="3"/>
      <c r="F63" s="8">
        <f t="shared" si="28"/>
        <v>6.7622382542974098E-3</v>
      </c>
      <c r="G63" s="3"/>
      <c r="H63" s="7">
        <v>450</v>
      </c>
      <c r="I63" s="3"/>
      <c r="J63" s="8">
        <f t="shared" si="29"/>
        <v>0</v>
      </c>
      <c r="K63" s="3"/>
      <c r="L63" s="7">
        <f t="shared" si="30"/>
        <v>-319.3</v>
      </c>
      <c r="M63" s="3"/>
      <c r="N63" s="8">
        <f t="shared" si="31"/>
        <v>-0.70955555555555561</v>
      </c>
      <c r="O63" s="12"/>
      <c r="P63" s="7">
        <v>130.69999999999999</v>
      </c>
      <c r="Q63" s="3"/>
      <c r="R63" s="8">
        <f t="shared" si="32"/>
        <v>6.7622382542974098E-3</v>
      </c>
      <c r="S63" s="3"/>
      <c r="T63" s="7">
        <v>450</v>
      </c>
      <c r="U63" s="3"/>
      <c r="V63" s="8">
        <f t="shared" si="33"/>
        <v>0</v>
      </c>
      <c r="W63" s="3"/>
      <c r="X63" s="7">
        <f t="shared" si="34"/>
        <v>-319.3</v>
      </c>
      <c r="Y63" s="3"/>
      <c r="Z63" s="8">
        <f t="shared" si="35"/>
        <v>-0.70955555555555561</v>
      </c>
    </row>
    <row r="64" spans="1:26" s="24" customFormat="1" hidden="1" outlineLevel="2" x14ac:dyDescent="0.25">
      <c r="A64" s="27"/>
      <c r="B64" s="12" t="str">
        <f>CONCATENATE("          ", "6284", " - ", "TRASH REMOVAL EXPENSE")</f>
        <v xml:space="preserve">          6284 - TRASH REMOVAL EXPENSE</v>
      </c>
      <c r="C64" s="12"/>
      <c r="D64" s="7"/>
      <c r="E64" s="3"/>
      <c r="F64" s="8">
        <f t="shared" si="28"/>
        <v>0</v>
      </c>
      <c r="G64" s="3"/>
      <c r="H64" s="7">
        <v>500</v>
      </c>
      <c r="I64" s="3"/>
      <c r="J64" s="8">
        <f t="shared" si="29"/>
        <v>0</v>
      </c>
      <c r="K64" s="3"/>
      <c r="L64" s="7">
        <f t="shared" si="30"/>
        <v>-500</v>
      </c>
      <c r="M64" s="3"/>
      <c r="N64" s="8">
        <f t="shared" si="31"/>
        <v>-1</v>
      </c>
      <c r="O64" s="12"/>
      <c r="P64" s="7"/>
      <c r="Q64" s="3"/>
      <c r="R64" s="8">
        <f t="shared" si="32"/>
        <v>0</v>
      </c>
      <c r="S64" s="3"/>
      <c r="T64" s="7">
        <v>500</v>
      </c>
      <c r="U64" s="3"/>
      <c r="V64" s="8">
        <f t="shared" si="33"/>
        <v>0</v>
      </c>
      <c r="W64" s="3"/>
      <c r="X64" s="7">
        <f t="shared" si="34"/>
        <v>-500</v>
      </c>
      <c r="Y64" s="3"/>
      <c r="Z64" s="8">
        <f t="shared" si="35"/>
        <v>-1</v>
      </c>
    </row>
    <row r="65" spans="1:26" s="24" customFormat="1" hidden="1" outlineLevel="2" x14ac:dyDescent="0.25">
      <c r="A65" s="27"/>
      <c r="B65" s="12" t="str">
        <f>CONCATENATE("          ", "6285", " - ", "JANITORIAL SERVICES")</f>
        <v xml:space="preserve">          6285 - JANITORIAL SERVICES</v>
      </c>
      <c r="C65" s="12"/>
      <c r="D65" s="7">
        <v>8314.1</v>
      </c>
      <c r="E65" s="3"/>
      <c r="F65" s="8">
        <f t="shared" si="28"/>
        <v>0.43016010000041399</v>
      </c>
      <c r="G65" s="3"/>
      <c r="H65" s="7">
        <v>4157</v>
      </c>
      <c r="I65" s="3"/>
      <c r="J65" s="8">
        <f t="shared" si="29"/>
        <v>0</v>
      </c>
      <c r="K65" s="3"/>
      <c r="L65" s="7">
        <f t="shared" si="30"/>
        <v>4157.1000000000004</v>
      </c>
      <c r="M65" s="3"/>
      <c r="N65" s="8">
        <f t="shared" si="31"/>
        <v>1.0000240558094782</v>
      </c>
      <c r="O65" s="12"/>
      <c r="P65" s="7">
        <v>8314.1</v>
      </c>
      <c r="Q65" s="3"/>
      <c r="R65" s="8">
        <f t="shared" si="32"/>
        <v>0.43016010000041399</v>
      </c>
      <c r="S65" s="3"/>
      <c r="T65" s="7">
        <v>4157</v>
      </c>
      <c r="U65" s="3"/>
      <c r="V65" s="8">
        <f t="shared" si="33"/>
        <v>0</v>
      </c>
      <c r="W65" s="3"/>
      <c r="X65" s="7">
        <f t="shared" si="34"/>
        <v>4157.1000000000004</v>
      </c>
      <c r="Y65" s="3"/>
      <c r="Z65" s="8">
        <f t="shared" si="35"/>
        <v>1.0000240558094782</v>
      </c>
    </row>
    <row r="66" spans="1:26" s="24" customFormat="1" hidden="1" outlineLevel="2" x14ac:dyDescent="0.25">
      <c r="A66" s="27"/>
      <c r="B66" s="12" t="str">
        <f>CONCATENATE("          ", "6286", " - ", "LAUNDRY EXPENSE")</f>
        <v xml:space="preserve">          6286 - LAUNDRY EXPENSE</v>
      </c>
      <c r="C66" s="12"/>
      <c r="D66" s="7">
        <v>1463.35</v>
      </c>
      <c r="E66" s="3"/>
      <c r="F66" s="8">
        <f t="shared" si="28"/>
        <v>7.5711716522005479E-2</v>
      </c>
      <c r="G66" s="3"/>
      <c r="H66" s="7">
        <v>1500</v>
      </c>
      <c r="I66" s="3"/>
      <c r="J66" s="8">
        <f t="shared" si="29"/>
        <v>0</v>
      </c>
      <c r="K66" s="3"/>
      <c r="L66" s="7">
        <f t="shared" si="30"/>
        <v>-36.650000000000091</v>
      </c>
      <c r="M66" s="3"/>
      <c r="N66" s="8">
        <f t="shared" si="31"/>
        <v>-2.4433333333333394E-2</v>
      </c>
      <c r="O66" s="12"/>
      <c r="P66" s="7">
        <v>1463.35</v>
      </c>
      <c r="Q66" s="3"/>
      <c r="R66" s="8">
        <f t="shared" si="32"/>
        <v>7.5711716522005479E-2</v>
      </c>
      <c r="S66" s="3"/>
      <c r="T66" s="7">
        <v>1500</v>
      </c>
      <c r="U66" s="3"/>
      <c r="V66" s="8">
        <f t="shared" si="33"/>
        <v>0</v>
      </c>
      <c r="W66" s="3"/>
      <c r="X66" s="7">
        <f t="shared" si="34"/>
        <v>-36.650000000000091</v>
      </c>
      <c r="Y66" s="3"/>
      <c r="Z66" s="8">
        <f t="shared" si="35"/>
        <v>-2.4433333333333394E-2</v>
      </c>
    </row>
    <row r="67" spans="1:26" s="29" customFormat="1" outlineLevel="1" collapsed="1" x14ac:dyDescent="0.25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SUM(OSRRefD22_11x_0)</f>
        <v>1929.3200000000002</v>
      </c>
      <c r="E67" s="1"/>
      <c r="F67" s="5">
        <f t="shared" ref="F67:F75" si="36">IF(D$12=0,0,D67/D$12)</f>
        <v>9.9820363494882033E-2</v>
      </c>
      <c r="G67" s="1"/>
      <c r="H67" s="1">
        <f>SUM(OSRRefH22_11x_0)</f>
        <v>14750</v>
      </c>
      <c r="I67" s="1"/>
      <c r="J67" s="5">
        <f t="shared" ref="J67:J75" si="37">IF(H$12=0,0,H67/H$12)</f>
        <v>0</v>
      </c>
      <c r="K67" s="1"/>
      <c r="L67" s="1">
        <f t="shared" ref="L67:L75" si="38">+D67-H67</f>
        <v>-12820.68</v>
      </c>
      <c r="M67" s="1"/>
      <c r="N67" s="5">
        <f t="shared" ref="N67:N75" si="39">IF(H67=0,0,L67/H67)</f>
        <v>-0.86919864406779668</v>
      </c>
      <c r="O67" s="14"/>
      <c r="P67" s="1">
        <f>SUM(OSRRefP22_11x_0)</f>
        <v>1929.3200000000002</v>
      </c>
      <c r="Q67" s="1"/>
      <c r="R67" s="5">
        <f t="shared" ref="R67:R75" si="40">IF(P$12=0,0,P67/P$12)</f>
        <v>9.9820363494882033E-2</v>
      </c>
      <c r="S67" s="1"/>
      <c r="T67" s="1">
        <f>SUM(OSRRefT22_11x_0)</f>
        <v>14750</v>
      </c>
      <c r="U67" s="1"/>
      <c r="V67" s="5">
        <f t="shared" ref="V67:V75" si="41">IF(T$12=0,0,T67/T$12)</f>
        <v>0</v>
      </c>
      <c r="W67" s="1"/>
      <c r="X67" s="1">
        <f t="shared" ref="X67:X75" si="42">+P67-T67</f>
        <v>-12820.68</v>
      </c>
      <c r="Y67" s="1"/>
      <c r="Z67" s="5">
        <f t="shared" ref="Z67:Z75" si="43">IF(T67=0,0,X67/T67)</f>
        <v>-0.86919864406779668</v>
      </c>
    </row>
    <row r="68" spans="1:26" s="24" customFormat="1" hidden="1" outlineLevel="2" x14ac:dyDescent="0.25">
      <c r="A68" s="27"/>
      <c r="B68" s="12" t="str">
        <f>CONCATENATE("          ", "6235", " - ", "COVID-19 EXPENSES")</f>
        <v xml:space="preserve">          6235 - COVID-19 EXPENSES</v>
      </c>
      <c r="C68" s="12"/>
      <c r="D68" s="7">
        <v>26.92</v>
      </c>
      <c r="E68" s="3"/>
      <c r="F68" s="8">
        <f t="shared" si="36"/>
        <v>1.3928037781613337E-3</v>
      </c>
      <c r="G68" s="3"/>
      <c r="H68" s="7">
        <v>5000</v>
      </c>
      <c r="I68" s="3"/>
      <c r="J68" s="8">
        <f t="shared" si="37"/>
        <v>0</v>
      </c>
      <c r="K68" s="3"/>
      <c r="L68" s="7">
        <f t="shared" si="38"/>
        <v>-4973.08</v>
      </c>
      <c r="M68" s="3"/>
      <c r="N68" s="8">
        <f t="shared" si="39"/>
        <v>-0.99461599999999994</v>
      </c>
      <c r="O68" s="12"/>
      <c r="P68" s="7">
        <v>26.92</v>
      </c>
      <c r="Q68" s="3"/>
      <c r="R68" s="8">
        <f t="shared" si="40"/>
        <v>1.3928037781613337E-3</v>
      </c>
      <c r="S68" s="3"/>
      <c r="T68" s="7">
        <v>5000</v>
      </c>
      <c r="U68" s="3"/>
      <c r="V68" s="8">
        <f t="shared" si="41"/>
        <v>0</v>
      </c>
      <c r="W68" s="3"/>
      <c r="X68" s="7">
        <f t="shared" si="42"/>
        <v>-4973.08</v>
      </c>
      <c r="Y68" s="3"/>
      <c r="Z68" s="8">
        <f t="shared" si="43"/>
        <v>-0.99461599999999994</v>
      </c>
    </row>
    <row r="69" spans="1:26" s="24" customFormat="1" hidden="1" outlineLevel="2" x14ac:dyDescent="0.25">
      <c r="A69" s="27"/>
      <c r="B69" s="12" t="str">
        <f>CONCATENATE("          ", "6237", " - ", "JANITORIAL SUPPLIES")</f>
        <v xml:space="preserve">          6237 - JANITORIAL SUPPLIES</v>
      </c>
      <c r="C69" s="12"/>
      <c r="D69" s="7">
        <v>1188.04</v>
      </c>
      <c r="E69" s="3"/>
      <c r="F69" s="8">
        <f t="shared" si="36"/>
        <v>6.1467555743194305E-2</v>
      </c>
      <c r="G69" s="3"/>
      <c r="H69" s="7">
        <v>4000</v>
      </c>
      <c r="I69" s="3"/>
      <c r="J69" s="8">
        <f t="shared" si="37"/>
        <v>0</v>
      </c>
      <c r="K69" s="3"/>
      <c r="L69" s="7">
        <f t="shared" si="38"/>
        <v>-2811.96</v>
      </c>
      <c r="M69" s="3"/>
      <c r="N69" s="8">
        <f t="shared" si="39"/>
        <v>-0.70299</v>
      </c>
      <c r="O69" s="12"/>
      <c r="P69" s="7">
        <v>1188.04</v>
      </c>
      <c r="Q69" s="3"/>
      <c r="R69" s="8">
        <f t="shared" si="40"/>
        <v>6.1467555743194305E-2</v>
      </c>
      <c r="S69" s="3"/>
      <c r="T69" s="7">
        <v>4000</v>
      </c>
      <c r="U69" s="3"/>
      <c r="V69" s="8">
        <f t="shared" si="41"/>
        <v>0</v>
      </c>
      <c r="W69" s="3"/>
      <c r="X69" s="7">
        <f t="shared" si="42"/>
        <v>-2811.96</v>
      </c>
      <c r="Y69" s="3"/>
      <c r="Z69" s="8">
        <f t="shared" si="43"/>
        <v>-0.70299</v>
      </c>
    </row>
    <row r="70" spans="1:26" s="24" customFormat="1" hidden="1" outlineLevel="2" x14ac:dyDescent="0.25">
      <c r="A70" s="27"/>
      <c r="B70" s="12" t="str">
        <f>CONCATENATE("          ", "6239", " - ", "KITCHEN SUPPLIES")</f>
        <v xml:space="preserve">          6239 - KITCHEN SUPPLIES</v>
      </c>
      <c r="C70" s="12"/>
      <c r="D70" s="7">
        <v>50</v>
      </c>
      <c r="E70" s="3"/>
      <c r="F70" s="8">
        <f t="shared" si="36"/>
        <v>2.5869312372981679E-3</v>
      </c>
      <c r="G70" s="3"/>
      <c r="H70" s="7">
        <v>1500</v>
      </c>
      <c r="I70" s="3"/>
      <c r="J70" s="8">
        <f t="shared" si="37"/>
        <v>0</v>
      </c>
      <c r="K70" s="3"/>
      <c r="L70" s="7">
        <f t="shared" si="38"/>
        <v>-1450</v>
      </c>
      <c r="M70" s="3"/>
      <c r="N70" s="8">
        <f t="shared" si="39"/>
        <v>-0.96666666666666667</v>
      </c>
      <c r="O70" s="12"/>
      <c r="P70" s="7">
        <v>50</v>
      </c>
      <c r="Q70" s="3"/>
      <c r="R70" s="8">
        <f t="shared" si="40"/>
        <v>2.5869312372981679E-3</v>
      </c>
      <c r="S70" s="3"/>
      <c r="T70" s="7">
        <v>1500</v>
      </c>
      <c r="U70" s="3"/>
      <c r="V70" s="8">
        <f t="shared" si="41"/>
        <v>0</v>
      </c>
      <c r="W70" s="3"/>
      <c r="X70" s="7">
        <f t="shared" si="42"/>
        <v>-1450</v>
      </c>
      <c r="Y70" s="3"/>
      <c r="Z70" s="8">
        <f t="shared" si="43"/>
        <v>-0.96666666666666667</v>
      </c>
    </row>
    <row r="71" spans="1:26" s="24" customFormat="1" hidden="1" outlineLevel="2" x14ac:dyDescent="0.25">
      <c r="A71" s="27"/>
      <c r="B71" s="12" t="str">
        <f>CONCATENATE("          ", "6241", " - ", "OFFICE EXPENSE")</f>
        <v xml:space="preserve">          6241 - OFFICE EXPENSE</v>
      </c>
      <c r="C71" s="12"/>
      <c r="D71" s="7">
        <v>16.48</v>
      </c>
      <c r="E71" s="3"/>
      <c r="F71" s="8">
        <f t="shared" si="36"/>
        <v>8.5265253581347613E-4</v>
      </c>
      <c r="G71" s="3"/>
      <c r="H71" s="7">
        <v>500</v>
      </c>
      <c r="I71" s="3"/>
      <c r="J71" s="8">
        <f t="shared" si="37"/>
        <v>0</v>
      </c>
      <c r="K71" s="3"/>
      <c r="L71" s="7">
        <f t="shared" si="38"/>
        <v>-483.52</v>
      </c>
      <c r="M71" s="3"/>
      <c r="N71" s="8">
        <f t="shared" si="39"/>
        <v>-0.96704000000000001</v>
      </c>
      <c r="O71" s="12"/>
      <c r="P71" s="7">
        <v>16.48</v>
      </c>
      <c r="Q71" s="3"/>
      <c r="R71" s="8">
        <f t="shared" si="40"/>
        <v>8.5265253581347613E-4</v>
      </c>
      <c r="S71" s="3"/>
      <c r="T71" s="7">
        <v>500</v>
      </c>
      <c r="U71" s="3"/>
      <c r="V71" s="8">
        <f t="shared" si="41"/>
        <v>0</v>
      </c>
      <c r="W71" s="3"/>
      <c r="X71" s="7">
        <f t="shared" si="42"/>
        <v>-483.52</v>
      </c>
      <c r="Y71" s="3"/>
      <c r="Z71" s="8">
        <f t="shared" si="43"/>
        <v>-0.96704000000000001</v>
      </c>
    </row>
    <row r="72" spans="1:26" s="24" customFormat="1" hidden="1" outlineLevel="2" x14ac:dyDescent="0.25">
      <c r="A72" s="27"/>
      <c r="B72" s="12" t="str">
        <f>CONCATENATE("          ", "6243", " - ", "PAPER SUPPLIES")</f>
        <v xml:space="preserve">          6243 - PAPER SUPPLIES</v>
      </c>
      <c r="C72" s="12"/>
      <c r="D72" s="7">
        <v>647.88</v>
      </c>
      <c r="E72" s="3"/>
      <c r="F72" s="8">
        <f t="shared" si="36"/>
        <v>3.3520420200414743E-2</v>
      </c>
      <c r="G72" s="3"/>
      <c r="H72" s="7">
        <v>500</v>
      </c>
      <c r="I72" s="3"/>
      <c r="J72" s="8">
        <f t="shared" si="37"/>
        <v>0</v>
      </c>
      <c r="K72" s="3"/>
      <c r="L72" s="7">
        <f t="shared" si="38"/>
        <v>147.88</v>
      </c>
      <c r="M72" s="3"/>
      <c r="N72" s="8">
        <f t="shared" si="39"/>
        <v>0.29575999999999997</v>
      </c>
      <c r="O72" s="12"/>
      <c r="P72" s="7">
        <v>647.88</v>
      </c>
      <c r="Q72" s="3"/>
      <c r="R72" s="8">
        <f t="shared" si="40"/>
        <v>3.3520420200414743E-2</v>
      </c>
      <c r="S72" s="3"/>
      <c r="T72" s="7">
        <v>500</v>
      </c>
      <c r="U72" s="3"/>
      <c r="V72" s="8">
        <f t="shared" si="41"/>
        <v>0</v>
      </c>
      <c r="W72" s="3"/>
      <c r="X72" s="7">
        <f t="shared" si="42"/>
        <v>147.88</v>
      </c>
      <c r="Y72" s="3"/>
      <c r="Z72" s="8">
        <f t="shared" si="43"/>
        <v>0.29575999999999997</v>
      </c>
    </row>
    <row r="73" spans="1:26" s="24" customFormat="1" hidden="1" outlineLevel="2" x14ac:dyDescent="0.25">
      <c r="A73" s="27"/>
      <c r="B73" s="12" t="str">
        <f>CONCATENATE("          ", "6244", " - ", "SAFETY SUPPLY EXPENSE")</f>
        <v xml:space="preserve">          6244 - SAFETY SUPPLY EXPENSE</v>
      </c>
      <c r="C73" s="12"/>
      <c r="D73" s="7"/>
      <c r="E73" s="3"/>
      <c r="F73" s="8">
        <f t="shared" si="36"/>
        <v>0</v>
      </c>
      <c r="G73" s="3"/>
      <c r="H73" s="7">
        <v>100</v>
      </c>
      <c r="I73" s="3"/>
      <c r="J73" s="8">
        <f t="shared" si="37"/>
        <v>0</v>
      </c>
      <c r="K73" s="3"/>
      <c r="L73" s="7">
        <f t="shared" si="38"/>
        <v>-100</v>
      </c>
      <c r="M73" s="3"/>
      <c r="N73" s="8">
        <f t="shared" si="39"/>
        <v>-1</v>
      </c>
      <c r="O73" s="12"/>
      <c r="P73" s="7"/>
      <c r="Q73" s="3"/>
      <c r="R73" s="8">
        <f t="shared" si="40"/>
        <v>0</v>
      </c>
      <c r="S73" s="3"/>
      <c r="T73" s="7">
        <v>100</v>
      </c>
      <c r="U73" s="3"/>
      <c r="V73" s="8">
        <f t="shared" si="41"/>
        <v>0</v>
      </c>
      <c r="W73" s="3"/>
      <c r="X73" s="7">
        <f t="shared" si="42"/>
        <v>-100</v>
      </c>
      <c r="Y73" s="3"/>
      <c r="Z73" s="8">
        <f t="shared" si="43"/>
        <v>-1</v>
      </c>
    </row>
    <row r="74" spans="1:26" s="24" customFormat="1" hidden="1" outlineLevel="2" x14ac:dyDescent="0.25">
      <c r="A74" s="27"/>
      <c r="B74" s="12" t="str">
        <f>CONCATENATE("          ", "6245", " - ", "PRINTING")</f>
        <v xml:space="preserve">          6245 - PRINTING</v>
      </c>
      <c r="C74" s="12"/>
      <c r="D74" s="7"/>
      <c r="E74" s="3"/>
      <c r="F74" s="8">
        <f t="shared" si="36"/>
        <v>0</v>
      </c>
      <c r="G74" s="3"/>
      <c r="H74" s="7">
        <v>150</v>
      </c>
      <c r="I74" s="3"/>
      <c r="J74" s="8">
        <f t="shared" si="37"/>
        <v>0</v>
      </c>
      <c r="K74" s="3"/>
      <c r="L74" s="7">
        <f t="shared" si="38"/>
        <v>-150</v>
      </c>
      <c r="M74" s="3"/>
      <c r="N74" s="8">
        <f t="shared" si="39"/>
        <v>-1</v>
      </c>
      <c r="O74" s="12"/>
      <c r="P74" s="7"/>
      <c r="Q74" s="3"/>
      <c r="R74" s="8">
        <f t="shared" si="40"/>
        <v>0</v>
      </c>
      <c r="S74" s="3"/>
      <c r="T74" s="7">
        <v>150</v>
      </c>
      <c r="U74" s="3"/>
      <c r="V74" s="8">
        <f t="shared" si="41"/>
        <v>0</v>
      </c>
      <c r="W74" s="3"/>
      <c r="X74" s="7">
        <f t="shared" si="42"/>
        <v>-150</v>
      </c>
      <c r="Y74" s="3"/>
      <c r="Z74" s="8">
        <f t="shared" si="43"/>
        <v>-1</v>
      </c>
    </row>
    <row r="75" spans="1:26" s="24" customFormat="1" hidden="1" outlineLevel="2" x14ac:dyDescent="0.25">
      <c r="A75" s="27"/>
      <c r="B75" s="12" t="str">
        <f>CONCATENATE("          ", "6248", " - ", "UNIFORMS")</f>
        <v xml:space="preserve">          6248 - UNIFORMS</v>
      </c>
      <c r="C75" s="12"/>
      <c r="D75" s="7"/>
      <c r="E75" s="3"/>
      <c r="F75" s="8">
        <f t="shared" si="36"/>
        <v>0</v>
      </c>
      <c r="G75" s="3"/>
      <c r="H75" s="7">
        <v>3000</v>
      </c>
      <c r="I75" s="3"/>
      <c r="J75" s="8">
        <f t="shared" si="37"/>
        <v>0</v>
      </c>
      <c r="K75" s="3"/>
      <c r="L75" s="7">
        <f t="shared" si="38"/>
        <v>-3000</v>
      </c>
      <c r="M75" s="3"/>
      <c r="N75" s="8">
        <f t="shared" si="39"/>
        <v>-1</v>
      </c>
      <c r="O75" s="12"/>
      <c r="P75" s="7"/>
      <c r="Q75" s="3"/>
      <c r="R75" s="8">
        <f t="shared" si="40"/>
        <v>0</v>
      </c>
      <c r="S75" s="3"/>
      <c r="T75" s="7">
        <v>3000</v>
      </c>
      <c r="U75" s="3"/>
      <c r="V75" s="8">
        <f t="shared" si="41"/>
        <v>0</v>
      </c>
      <c r="W75" s="3"/>
      <c r="X75" s="7">
        <f t="shared" si="42"/>
        <v>-3000</v>
      </c>
      <c r="Y75" s="3"/>
      <c r="Z75" s="8">
        <f t="shared" si="43"/>
        <v>-1</v>
      </c>
    </row>
    <row r="76" spans="1:26" s="29" customFormat="1" outlineLevel="1" collapsed="1" x14ac:dyDescent="0.25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139</v>
      </c>
      <c r="E76" s="1"/>
      <c r="F76" s="5">
        <f t="shared" ref="F76:F77" si="44">IF(D$12=0,0,D76/D$12)</f>
        <v>7.191668839688907E-3</v>
      </c>
      <c r="G76" s="1"/>
      <c r="H76" s="1">
        <f>SUM(OSRRefH22_12x_0)</f>
        <v>175</v>
      </c>
      <c r="I76" s="1"/>
      <c r="J76" s="5">
        <f t="shared" ref="J76:J77" si="45">IF(H$12=0,0,H76/H$12)</f>
        <v>0</v>
      </c>
      <c r="K76" s="1"/>
      <c r="L76" s="1">
        <f t="shared" ref="L76:L77" si="46">+D76-H76</f>
        <v>-36</v>
      </c>
      <c r="M76" s="1"/>
      <c r="N76" s="5">
        <f t="shared" ref="N76:N77" si="47">IF(H76=0,0,L76/H76)</f>
        <v>-0.20571428571428571</v>
      </c>
      <c r="O76" s="14"/>
      <c r="P76" s="1">
        <f>SUM(OSRRefP22_12x_0)</f>
        <v>139</v>
      </c>
      <c r="Q76" s="1"/>
      <c r="R76" s="5">
        <f t="shared" ref="R76:R77" si="48">IF(P$12=0,0,P76/P$12)</f>
        <v>7.191668839688907E-3</v>
      </c>
      <c r="S76" s="1"/>
      <c r="T76" s="1">
        <f>SUM(OSRRefT22_12x_0)</f>
        <v>175</v>
      </c>
      <c r="U76" s="1"/>
      <c r="V76" s="5">
        <f t="shared" ref="V76:V77" si="49">IF(T$12=0,0,T76/T$12)</f>
        <v>0</v>
      </c>
      <c r="W76" s="1"/>
      <c r="X76" s="1">
        <f t="shared" ref="X76:X77" si="50">+P76-T76</f>
        <v>-36</v>
      </c>
      <c r="Y76" s="1"/>
      <c r="Z76" s="5">
        <f t="shared" ref="Z76:Z77" si="51">IF(T76=0,0,X76/T76)</f>
        <v>-0.20571428571428571</v>
      </c>
    </row>
    <row r="77" spans="1:26" s="24" customFormat="1" hidden="1" outlineLevel="2" x14ac:dyDescent="0.25">
      <c r="A77" s="27"/>
      <c r="B77" s="12" t="str">
        <f>CONCATENATE("          ", "6309", " - ", "TELEPHONE")</f>
        <v xml:space="preserve">          6309 - TELEPHONE</v>
      </c>
      <c r="C77" s="12"/>
      <c r="D77" s="7">
        <v>139</v>
      </c>
      <c r="E77" s="3"/>
      <c r="F77" s="8">
        <f t="shared" si="44"/>
        <v>7.191668839688907E-3</v>
      </c>
      <c r="G77" s="3"/>
      <c r="H77" s="7">
        <v>175</v>
      </c>
      <c r="I77" s="3"/>
      <c r="J77" s="8">
        <f t="shared" si="45"/>
        <v>0</v>
      </c>
      <c r="K77" s="3"/>
      <c r="L77" s="7">
        <f t="shared" si="46"/>
        <v>-36</v>
      </c>
      <c r="M77" s="3"/>
      <c r="N77" s="8">
        <f t="shared" si="47"/>
        <v>-0.20571428571428571</v>
      </c>
      <c r="O77" s="12"/>
      <c r="P77" s="7">
        <v>139</v>
      </c>
      <c r="Q77" s="3"/>
      <c r="R77" s="8">
        <f t="shared" si="48"/>
        <v>7.191668839688907E-3</v>
      </c>
      <c r="S77" s="3"/>
      <c r="T77" s="7">
        <v>175</v>
      </c>
      <c r="U77" s="3"/>
      <c r="V77" s="8">
        <f t="shared" si="49"/>
        <v>0</v>
      </c>
      <c r="W77" s="3"/>
      <c r="X77" s="7">
        <f t="shared" si="50"/>
        <v>-36</v>
      </c>
      <c r="Y77" s="3"/>
      <c r="Z77" s="8">
        <f t="shared" si="51"/>
        <v>-0.20571428571428571</v>
      </c>
    </row>
    <row r="78" spans="1:26" s="54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2" customFormat="1" x14ac:dyDescent="0.25">
      <c r="A79" s="10"/>
      <c r="B79" s="26" t="s">
        <v>0</v>
      </c>
      <c r="C79" s="10"/>
      <c r="D79" s="4">
        <f>SUM(0)</f>
        <v>0</v>
      </c>
      <c r="E79" s="4"/>
      <c r="F79" s="11">
        <f>IF(D$12=0,0,D79/D$12)</f>
        <v>0</v>
      </c>
      <c r="G79" s="4"/>
      <c r="H79" s="4">
        <f>SUM(0)</f>
        <v>0</v>
      </c>
      <c r="I79" s="4"/>
      <c r="J79" s="11">
        <f>IF(H$12=0,0,H79/H$12)</f>
        <v>0</v>
      </c>
      <c r="K79" s="4"/>
      <c r="L79" s="4">
        <f>+D79-H79</f>
        <v>0</v>
      </c>
      <c r="M79" s="4"/>
      <c r="N79" s="11">
        <f>IF(H79=0,0,L79/H79)</f>
        <v>0</v>
      </c>
      <c r="O79" s="10"/>
      <c r="P79" s="4">
        <f>SUM(0)</f>
        <v>0</v>
      </c>
      <c r="Q79" s="4"/>
      <c r="R79" s="11">
        <f>IF(P$12=0,0,P79/P$12)</f>
        <v>0</v>
      </c>
      <c r="S79" s="4"/>
      <c r="T79" s="4">
        <f>SUM(0)</f>
        <v>0</v>
      </c>
      <c r="U79" s="4"/>
      <c r="V79" s="11">
        <f>IF(T$12=0,0,T79/T$12)</f>
        <v>0</v>
      </c>
      <c r="W79" s="4"/>
      <c r="X79" s="4">
        <f>+P79-T79</f>
        <v>0</v>
      </c>
      <c r="Y79" s="4"/>
      <c r="Z79" s="11">
        <f>IF(T79=0,0,X79/T79)</f>
        <v>0</v>
      </c>
    </row>
    <row r="80" spans="1:26" x14ac:dyDescent="0.25">
      <c r="A80" s="9"/>
      <c r="B80" s="10"/>
      <c r="C80" s="10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10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2" customFormat="1" x14ac:dyDescent="0.25">
      <c r="A81" s="10"/>
      <c r="B81" s="25" t="s">
        <v>3</v>
      </c>
      <c r="C81" s="25"/>
      <c r="D81" s="21">
        <f>+D21-D23+D79</f>
        <v>-51821.229999999996</v>
      </c>
      <c r="E81" s="13"/>
      <c r="F81" s="20">
        <f>IF(D$12=0,0,D81/D$12)</f>
        <v>-2.6811591728442585</v>
      </c>
      <c r="G81" s="13"/>
      <c r="H81" s="21">
        <f>+H21-H23+H79</f>
        <v>-99007.195813461527</v>
      </c>
      <c r="I81" s="13"/>
      <c r="J81" s="20">
        <f>IF(H$12=0,0,H81/H$12)</f>
        <v>0</v>
      </c>
      <c r="K81" s="15"/>
      <c r="L81" s="21">
        <f>+D81-H81</f>
        <v>47185.965813461531</v>
      </c>
      <c r="M81" s="15"/>
      <c r="N81" s="20">
        <f>IF(H81=0,0,L81/H81)</f>
        <v>-0.47659127627818226</v>
      </c>
      <c r="O81" s="26"/>
      <c r="P81" s="21">
        <f>+P21-P23+P79</f>
        <v>-51821.229999999996</v>
      </c>
      <c r="Q81" s="13"/>
      <c r="R81" s="20">
        <f>IF(P$12=0,0,P81/P$12)</f>
        <v>-2.6811591728442585</v>
      </c>
      <c r="S81" s="13"/>
      <c r="T81" s="21">
        <f>+T21-T23+T79</f>
        <v>-99007.195813461527</v>
      </c>
      <c r="U81" s="13"/>
      <c r="V81" s="20">
        <f>IF(T$12=0,0,T81/T$12)</f>
        <v>0</v>
      </c>
      <c r="W81" s="15"/>
      <c r="X81" s="21">
        <f>+P81-T81</f>
        <v>47185.965813461531</v>
      </c>
      <c r="Y81" s="15"/>
      <c r="Z81" s="20">
        <f>IF(T81=0,0,X81/T81)</f>
        <v>-0.47659127627818226</v>
      </c>
    </row>
    <row r="82" spans="1:26" x14ac:dyDescent="0.25">
      <c r="A82" s="9"/>
      <c r="B82" s="10"/>
      <c r="C82" s="9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22" customFormat="1" x14ac:dyDescent="0.25">
      <c r="A83" s="52"/>
      <c r="B83" s="10" t="s">
        <v>14</v>
      </c>
      <c r="C83" s="10"/>
      <c r="D83" s="4">
        <v>9295.7000000000007</v>
      </c>
      <c r="E83" s="4"/>
      <c r="F83" s="11">
        <f>IF(D$12=0,0,D83/D$12)</f>
        <v>0.48094673405105159</v>
      </c>
      <c r="G83" s="4"/>
      <c r="H83" s="4">
        <v>0</v>
      </c>
      <c r="I83" s="4"/>
      <c r="J83" s="11">
        <f>IF(H$12=0,0,H83/H$12)</f>
        <v>0</v>
      </c>
      <c r="K83" s="4"/>
      <c r="L83" s="4">
        <f>+D83-H83</f>
        <v>9295.7000000000007</v>
      </c>
      <c r="M83" s="4"/>
      <c r="N83" s="11">
        <f>IF(H83=0,0,L83/H83)</f>
        <v>0</v>
      </c>
      <c r="O83" s="10"/>
      <c r="P83" s="4">
        <v>9295.7000000000007</v>
      </c>
      <c r="Q83" s="4"/>
      <c r="R83" s="11">
        <f>IF(P$12=0,0,P83/P$12)</f>
        <v>0.48094673405105159</v>
      </c>
      <c r="S83" s="4"/>
      <c r="T83" s="4">
        <v>0</v>
      </c>
      <c r="U83" s="4"/>
      <c r="V83" s="11">
        <f>IF(T$12=0,0,T83/T$12)</f>
        <v>0</v>
      </c>
      <c r="W83" s="4"/>
      <c r="X83" s="4">
        <f>+P83-T83</f>
        <v>9295.7000000000007</v>
      </c>
      <c r="Y83" s="4"/>
      <c r="Z83" s="11">
        <f>IF(T83=0,0,X83/T83)</f>
        <v>0</v>
      </c>
    </row>
    <row r="84" spans="1:26" x14ac:dyDescent="0.25">
      <c r="A84" s="9"/>
      <c r="B84" s="10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10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2" customFormat="1" ht="15.75" thickBot="1" x14ac:dyDescent="0.3">
      <c r="A85" s="10"/>
      <c r="B85" s="25" t="s">
        <v>4</v>
      </c>
      <c r="C85" s="25"/>
      <c r="D85" s="34">
        <f>+D81-D83</f>
        <v>-61116.929999999993</v>
      </c>
      <c r="E85" s="13"/>
      <c r="F85" s="30">
        <f>IF(D$12=0,0,D85/D$12)</f>
        <v>-3.1621059068953099</v>
      </c>
      <c r="G85" s="13"/>
      <c r="H85" s="34">
        <f>+H81-H83</f>
        <v>-99007.195813461527</v>
      </c>
      <c r="I85" s="13"/>
      <c r="J85" s="30">
        <f>IF(H$12=0,0,H85/H$12)</f>
        <v>0</v>
      </c>
      <c r="K85" s="15"/>
      <c r="L85" s="34">
        <f>D85-H85</f>
        <v>37890.265813461534</v>
      </c>
      <c r="M85" s="15"/>
      <c r="N85" s="30">
        <f>IF(H85=0,0,L85/H85)</f>
        <v>-0.38270214101256039</v>
      </c>
      <c r="O85" s="26"/>
      <c r="P85" s="34">
        <f>+P81-P83</f>
        <v>-61116.929999999993</v>
      </c>
      <c r="Q85" s="13"/>
      <c r="R85" s="30">
        <f>IF(P$12=0,0,P85/P$12)</f>
        <v>-3.1621059068953099</v>
      </c>
      <c r="S85" s="13"/>
      <c r="T85" s="34">
        <f>+T81-T83</f>
        <v>-99007.195813461527</v>
      </c>
      <c r="U85" s="13"/>
      <c r="V85" s="30">
        <f>IF(T$12=0,0,T85/T$12)</f>
        <v>0</v>
      </c>
      <c r="W85" s="15"/>
      <c r="X85" s="34">
        <f>P85-T85</f>
        <v>37890.265813461534</v>
      </c>
      <c r="Y85" s="15"/>
      <c r="Z85" s="30">
        <f>IF(T85=0,0,X85/T85)</f>
        <v>-0.38270214101256039</v>
      </c>
    </row>
    <row r="86" spans="1:26" ht="15.75" thickTop="1" x14ac:dyDescent="0.25">
      <c r="A86" s="9"/>
      <c r="B86" s="9"/>
      <c r="C86" s="9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x14ac:dyDescent="0.25">
      <c r="A87" s="9"/>
      <c r="B87" s="9"/>
      <c r="C87" s="9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2" customFormat="1" ht="15.75" thickBot="1" x14ac:dyDescent="0.3">
      <c r="A88" s="10"/>
      <c r="B88" s="25" t="s">
        <v>5</v>
      </c>
      <c r="C88" s="25"/>
      <c r="D88" s="32">
        <f>SUM(D85:D87)</f>
        <v>-61116.929999999993</v>
      </c>
      <c r="E88" s="13"/>
      <c r="F88" s="33">
        <f>IF(D$12=0,0,D88/D$12)</f>
        <v>-3.1621059068953099</v>
      </c>
      <c r="G88" s="13"/>
      <c r="H88" s="32">
        <f>SUM(H85:H87)</f>
        <v>-99007.195813461527</v>
      </c>
      <c r="I88" s="13"/>
      <c r="J88" s="33">
        <f>IF(H$12=0,0,H88/H$12)</f>
        <v>0</v>
      </c>
      <c r="K88" s="15"/>
      <c r="L88" s="32">
        <f>+D88-H88</f>
        <v>37890.265813461534</v>
      </c>
      <c r="M88" s="15"/>
      <c r="N88" s="33">
        <f>IF(H88=0,0,L88/H88)</f>
        <v>-0.38270214101256039</v>
      </c>
      <c r="O88" s="26"/>
      <c r="P88" s="32">
        <f>SUM(P85:P87)</f>
        <v>-61116.929999999993</v>
      </c>
      <c r="Q88" s="13"/>
      <c r="R88" s="33">
        <f>IF(P$12=0,0,P88/P$12)</f>
        <v>-3.1621059068953099</v>
      </c>
      <c r="S88" s="13"/>
      <c r="T88" s="32">
        <f>SUM(T85:T87)</f>
        <v>-99007.195813461527</v>
      </c>
      <c r="U88" s="13"/>
      <c r="V88" s="33">
        <f>IF(T$12=0,0,T88/T$12)</f>
        <v>0</v>
      </c>
      <c r="W88" s="15"/>
      <c r="X88" s="32">
        <f>+P88-T88</f>
        <v>37890.265813461534</v>
      </c>
      <c r="Y88" s="15"/>
      <c r="Z88" s="33">
        <f>IF(T88=0,0,X88/T88)</f>
        <v>-0.38270214101256039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8">
        <v>44104.686485335646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6" t="s">
        <v>314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62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","435", " - ", "Ground Floor Coffee House")</f>
        <v>Department 435 - Ground Floor Coffee House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75.5</v>
      </c>
      <c r="E18" s="19"/>
      <c r="F18" s="31">
        <f t="shared" ref="F18:F20" si="0">IF(D$12=0,0,D18/D$12)</f>
        <v>0</v>
      </c>
      <c r="G18" s="19"/>
      <c r="H18" s="19">
        <f>SUM(OSRRefH22x_0)</f>
        <v>0</v>
      </c>
      <c r="I18" s="19"/>
      <c r="J18" s="31">
        <f t="shared" ref="J18:J20" si="1">IF(H$12=0,0,H18/H$12)</f>
        <v>0</v>
      </c>
      <c r="K18" s="4"/>
      <c r="L18" s="19">
        <f t="shared" ref="L18:L20" si="2">+D18-H18</f>
        <v>75.5</v>
      </c>
      <c r="M18" s="4"/>
      <c r="N18" s="31">
        <f t="shared" ref="N18:N20" si="3">IF(H18=0,0,L18/H18)</f>
        <v>0</v>
      </c>
      <c r="O18" s="10"/>
      <c r="P18" s="19">
        <f>SUM(OSRRefP22x_0)</f>
        <v>75.5</v>
      </c>
      <c r="Q18" s="19"/>
      <c r="R18" s="31">
        <f t="shared" ref="R18:R20" si="4">IF(P$12=0,0,P18/P$12)</f>
        <v>0</v>
      </c>
      <c r="S18" s="19"/>
      <c r="T18" s="19">
        <f>SUM(OSRRefT22x_0)</f>
        <v>0</v>
      </c>
      <c r="U18" s="19"/>
      <c r="V18" s="31">
        <f t="shared" ref="V18:V20" si="5">IF(T$12=0,0,T18/T$12)</f>
        <v>0</v>
      </c>
      <c r="W18" s="4"/>
      <c r="X18" s="19">
        <f t="shared" ref="X18:X20" si="6">+P18-T18</f>
        <v>75.5</v>
      </c>
      <c r="Y18" s="4"/>
      <c r="Z18" s="31">
        <f t="shared" ref="Z18:Z20" si="7">IF(T18=0,0,X18/T18)</f>
        <v>0</v>
      </c>
    </row>
    <row r="19" spans="1:26" s="29" customFormat="1" outlineLevel="1" collapsed="1" x14ac:dyDescent="0.25">
      <c r="A19" s="28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75.5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75.5</v>
      </c>
      <c r="M19" s="1"/>
      <c r="N19" s="5">
        <f t="shared" si="3"/>
        <v>0</v>
      </c>
      <c r="O19" s="14"/>
      <c r="P19" s="1">
        <f>SUM(OSRRefP22_0x_0)</f>
        <v>75.5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75.5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2" t="str">
        <f>CONCATENATE("          ", "6309", " - ", "TELEPHONE")</f>
        <v xml:space="preserve">          6309 - TELEPHONE</v>
      </c>
      <c r="C20" s="12"/>
      <c r="D20" s="7">
        <v>75.5</v>
      </c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75.5</v>
      </c>
      <c r="M20" s="3"/>
      <c r="N20" s="8">
        <f t="shared" si="3"/>
        <v>0</v>
      </c>
      <c r="O20" s="12"/>
      <c r="P20" s="7">
        <v>75.5</v>
      </c>
      <c r="Q20" s="3"/>
      <c r="R20" s="8">
        <f t="shared" si="4"/>
        <v>0</v>
      </c>
      <c r="S20" s="3"/>
      <c r="T20" s="7"/>
      <c r="U20" s="3"/>
      <c r="V20" s="8">
        <f t="shared" si="5"/>
        <v>0</v>
      </c>
      <c r="W20" s="3"/>
      <c r="X20" s="7">
        <f t="shared" si="6"/>
        <v>75.5</v>
      </c>
      <c r="Y20" s="3"/>
      <c r="Z20" s="8">
        <f t="shared" si="7"/>
        <v>0</v>
      </c>
    </row>
    <row r="21" spans="1:26" s="54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2" customFormat="1" x14ac:dyDescent="0.25">
      <c r="A22" s="10"/>
      <c r="B22" s="26" t="s">
        <v>0</v>
      </c>
      <c r="C22" s="10"/>
      <c r="D22" s="4">
        <f>SUM(0)</f>
        <v>0</v>
      </c>
      <c r="E22" s="4"/>
      <c r="F22" s="11">
        <f>IF(D$12=0,0,D22/D$12)</f>
        <v>0</v>
      </c>
      <c r="G22" s="4"/>
      <c r="H22" s="4">
        <f>SUM(0)</f>
        <v>0</v>
      </c>
      <c r="I22" s="4"/>
      <c r="J22" s="11">
        <f>IF(H$12=0,0,H22/H$12)</f>
        <v>0</v>
      </c>
      <c r="K22" s="4"/>
      <c r="L22" s="4">
        <f>+D22-H22</f>
        <v>0</v>
      </c>
      <c r="M22" s="4"/>
      <c r="N22" s="11">
        <f>IF(H22=0,0,L22/H22)</f>
        <v>0</v>
      </c>
      <c r="O22" s="10"/>
      <c r="P22" s="4">
        <f>SUM(0)</f>
        <v>0</v>
      </c>
      <c r="Q22" s="4"/>
      <c r="R22" s="11">
        <f>IF(P$12=0,0,P22/P$12)</f>
        <v>0</v>
      </c>
      <c r="S22" s="4"/>
      <c r="T22" s="4">
        <f>SUM(0)</f>
        <v>0</v>
      </c>
      <c r="U22" s="4"/>
      <c r="V22" s="11">
        <f>IF(T$12=0,0,T22/T$12)</f>
        <v>0</v>
      </c>
      <c r="W22" s="4"/>
      <c r="X22" s="4">
        <f>+P22-T22</f>
        <v>0</v>
      </c>
      <c r="Y22" s="4"/>
      <c r="Z22" s="11">
        <f>IF(T22=0,0,X22/T22)</f>
        <v>0</v>
      </c>
    </row>
    <row r="23" spans="1:26" x14ac:dyDescent="0.25">
      <c r="A23" s="9"/>
      <c r="B23" s="10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10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2" customFormat="1" x14ac:dyDescent="0.25">
      <c r="A24" s="10"/>
      <c r="B24" s="25" t="s">
        <v>3</v>
      </c>
      <c r="C24" s="25"/>
      <c r="D24" s="21">
        <f>+D16-D18+D22</f>
        <v>-75.5</v>
      </c>
      <c r="E24" s="13"/>
      <c r="F24" s="20">
        <f>IF(D$12=0,0,D24/D$12)</f>
        <v>0</v>
      </c>
      <c r="G24" s="13"/>
      <c r="H24" s="21">
        <f>+H16-H18+H22</f>
        <v>0</v>
      </c>
      <c r="I24" s="13"/>
      <c r="J24" s="20">
        <f>IF(H$12=0,0,H24/H$12)</f>
        <v>0</v>
      </c>
      <c r="K24" s="15"/>
      <c r="L24" s="21">
        <f>+D24-H24</f>
        <v>-75.5</v>
      </c>
      <c r="M24" s="15"/>
      <c r="N24" s="20">
        <f>IF(H24=0,0,L24/H24)</f>
        <v>0</v>
      </c>
      <c r="O24" s="26"/>
      <c r="P24" s="21">
        <f>+P16-P18+P22</f>
        <v>-75.5</v>
      </c>
      <c r="Q24" s="13"/>
      <c r="R24" s="20">
        <f>IF(P$12=0,0,P24/P$12)</f>
        <v>0</v>
      </c>
      <c r="S24" s="13"/>
      <c r="T24" s="21">
        <f>+T16-T18+T22</f>
        <v>0</v>
      </c>
      <c r="U24" s="13"/>
      <c r="V24" s="20">
        <f>IF(T$12=0,0,T24/T$12)</f>
        <v>0</v>
      </c>
      <c r="W24" s="15"/>
      <c r="X24" s="21">
        <f>+P24-T24</f>
        <v>-75.5</v>
      </c>
      <c r="Y24" s="15"/>
      <c r="Z24" s="20">
        <f>IF(T24=0,0,X24/T24)</f>
        <v>0</v>
      </c>
    </row>
    <row r="25" spans="1:26" x14ac:dyDescent="0.25">
      <c r="A25" s="9"/>
      <c r="B25" s="10"/>
      <c r="C25" s="9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2" customFormat="1" x14ac:dyDescent="0.25">
      <c r="A26" s="52"/>
      <c r="B26" s="10" t="s">
        <v>14</v>
      </c>
      <c r="C26" s="10"/>
      <c r="D26" s="4"/>
      <c r="E26" s="4"/>
      <c r="F26" s="11">
        <f>IF(D$12=0,0,D26/D$12)</f>
        <v>0</v>
      </c>
      <c r="G26" s="4"/>
      <c r="H26" s="4"/>
      <c r="I26" s="4"/>
      <c r="J26" s="11">
        <f>IF(H$12=0,0,H26/H$12)</f>
        <v>0</v>
      </c>
      <c r="K26" s="4"/>
      <c r="L26" s="4">
        <f>+D26-H26</f>
        <v>0</v>
      </c>
      <c r="M26" s="4"/>
      <c r="N26" s="11">
        <f>IF(H26=0,0,L26/H26)</f>
        <v>0</v>
      </c>
      <c r="O26" s="10"/>
      <c r="P26" s="4"/>
      <c r="Q26" s="4"/>
      <c r="R26" s="11">
        <f>IF(P$12=0,0,P26/P$12)</f>
        <v>0</v>
      </c>
      <c r="S26" s="4"/>
      <c r="T26" s="4"/>
      <c r="U26" s="4"/>
      <c r="V26" s="11">
        <f>IF(T$12=0,0,T26/T$12)</f>
        <v>0</v>
      </c>
      <c r="W26" s="4"/>
      <c r="X26" s="4">
        <f>+P26-T26</f>
        <v>0</v>
      </c>
      <c r="Y26" s="4"/>
      <c r="Z26" s="11">
        <f>IF(T26=0,0,X26/T26)</f>
        <v>0</v>
      </c>
    </row>
    <row r="27" spans="1:26" x14ac:dyDescent="0.25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2" customFormat="1" ht="15.75" thickBot="1" x14ac:dyDescent="0.3">
      <c r="A28" s="10"/>
      <c r="B28" s="25" t="s">
        <v>4</v>
      </c>
      <c r="C28" s="25"/>
      <c r="D28" s="34">
        <f>+D24-D26</f>
        <v>-75.5</v>
      </c>
      <c r="E28" s="13"/>
      <c r="F28" s="30">
        <f>IF(D$12=0,0,D28/D$12)</f>
        <v>0</v>
      </c>
      <c r="G28" s="13"/>
      <c r="H28" s="34">
        <f>+H24-H26</f>
        <v>0</v>
      </c>
      <c r="I28" s="13"/>
      <c r="J28" s="30">
        <f>IF(H$12=0,0,H28/H$12)</f>
        <v>0</v>
      </c>
      <c r="K28" s="15"/>
      <c r="L28" s="34">
        <f>D28-H28</f>
        <v>-75.5</v>
      </c>
      <c r="M28" s="15"/>
      <c r="N28" s="30">
        <f>IF(H28=0,0,L28/H28)</f>
        <v>0</v>
      </c>
      <c r="O28" s="26"/>
      <c r="P28" s="34">
        <f>+P24-P26</f>
        <v>-75.5</v>
      </c>
      <c r="Q28" s="13"/>
      <c r="R28" s="30">
        <f>IF(P$12=0,0,P28/P$12)</f>
        <v>0</v>
      </c>
      <c r="S28" s="13"/>
      <c r="T28" s="34">
        <f>+T24-T26</f>
        <v>0</v>
      </c>
      <c r="U28" s="13"/>
      <c r="V28" s="30">
        <f>IF(T$12=0,0,T28/T$12)</f>
        <v>0</v>
      </c>
      <c r="W28" s="15"/>
      <c r="X28" s="34">
        <f>P28-T28</f>
        <v>-75.5</v>
      </c>
      <c r="Y28" s="15"/>
      <c r="Z28" s="30">
        <f>IF(T28=0,0,X28/T28)</f>
        <v>0</v>
      </c>
    </row>
    <row r="29" spans="1:26" ht="15.75" thickTop="1" x14ac:dyDescent="0.25">
      <c r="A29" s="9"/>
      <c r="B29" s="9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x14ac:dyDescent="0.25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5</v>
      </c>
      <c r="C31" s="25"/>
      <c r="D31" s="32">
        <f>SUM(D28:D30)</f>
        <v>-75.5</v>
      </c>
      <c r="E31" s="13"/>
      <c r="F31" s="33">
        <f>IF(D$12=0,0,D31/D$12)</f>
        <v>0</v>
      </c>
      <c r="G31" s="13"/>
      <c r="H31" s="32">
        <f>SUM(H28:H30)</f>
        <v>0</v>
      </c>
      <c r="I31" s="13"/>
      <c r="J31" s="33">
        <f>IF(H$12=0,0,H31/H$12)</f>
        <v>0</v>
      </c>
      <c r="K31" s="15"/>
      <c r="L31" s="32">
        <f>+D31-H31</f>
        <v>-75.5</v>
      </c>
      <c r="M31" s="15"/>
      <c r="N31" s="33">
        <f>IF(H31=0,0,L31/H31)</f>
        <v>0</v>
      </c>
      <c r="O31" s="26"/>
      <c r="P31" s="32">
        <f>SUM(P28:P30)</f>
        <v>-75.5</v>
      </c>
      <c r="Q31" s="13"/>
      <c r="R31" s="33">
        <f>IF(P$12=0,0,P31/P$12)</f>
        <v>0</v>
      </c>
      <c r="S31" s="13"/>
      <c r="T31" s="32">
        <f>SUM(T28:T30)</f>
        <v>0</v>
      </c>
      <c r="U31" s="13"/>
      <c r="V31" s="33">
        <f>IF(T$12=0,0,T31/T$12)</f>
        <v>0</v>
      </c>
      <c r="W31" s="15"/>
      <c r="X31" s="32">
        <f>+P31-T31</f>
        <v>-75.5</v>
      </c>
      <c r="Y31" s="15"/>
      <c r="Z31" s="33">
        <f>IF(T31=0,0,X31/T31)</f>
        <v>0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8">
        <v>44104.686498726849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6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","444", " - ", "Parkside Dining Hall")</f>
        <v>Department 444 - Parkside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64552.840000000004</v>
      </c>
      <c r="E18" s="19"/>
      <c r="F18" s="31">
        <f t="shared" ref="F18:F29" si="0">IF(D$12=0,0,D18/D$12)</f>
        <v>0</v>
      </c>
      <c r="G18" s="19"/>
      <c r="H18" s="19">
        <f>SUM(OSRRefH22x_0)</f>
        <v>97429.103880961527</v>
      </c>
      <c r="I18" s="19"/>
      <c r="J18" s="31">
        <f t="shared" ref="J18:J29" si="1">IF(H$12=0,0,H18/H$12)</f>
        <v>0</v>
      </c>
      <c r="K18" s="4"/>
      <c r="L18" s="19">
        <f t="shared" ref="L18:L29" si="2">+D18-H18</f>
        <v>-32876.263880961524</v>
      </c>
      <c r="M18" s="4"/>
      <c r="N18" s="31">
        <f t="shared" ref="N18:N29" si="3">IF(H18=0,0,L18/H18)</f>
        <v>-0.33743781448641469</v>
      </c>
      <c r="O18" s="10"/>
      <c r="P18" s="19">
        <f>SUM(OSRRefP22x_0)</f>
        <v>64552.840000000004</v>
      </c>
      <c r="Q18" s="19"/>
      <c r="R18" s="31">
        <f t="shared" ref="R18:R29" si="4">IF(P$12=0,0,P18/P$12)</f>
        <v>0</v>
      </c>
      <c r="S18" s="19"/>
      <c r="T18" s="19">
        <f>SUM(OSRRefT22x_0)</f>
        <v>97429.103880961527</v>
      </c>
      <c r="U18" s="19"/>
      <c r="V18" s="31">
        <f t="shared" ref="V18:V29" si="5">IF(T$12=0,0,T18/T$12)</f>
        <v>0</v>
      </c>
      <c r="W18" s="4"/>
      <c r="X18" s="19">
        <f t="shared" ref="X18:X29" si="6">+P18-T18</f>
        <v>-32876.263880961524</v>
      </c>
      <c r="Y18" s="4"/>
      <c r="Z18" s="31">
        <f t="shared" ref="Z18:Z29" si="7">IF(T18=0,0,X18/T18)</f>
        <v>-0.33743781448641469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28409.81</v>
      </c>
      <c r="E19" s="1"/>
      <c r="F19" s="5">
        <f t="shared" si="0"/>
        <v>0</v>
      </c>
      <c r="G19" s="1"/>
      <c r="H19" s="1">
        <f>SUM(OSRRefH22_0x_0)</f>
        <v>39795.963304038429</v>
      </c>
      <c r="I19" s="1"/>
      <c r="J19" s="5">
        <f t="shared" si="1"/>
        <v>0</v>
      </c>
      <c r="K19" s="1"/>
      <c r="L19" s="1">
        <f t="shared" si="2"/>
        <v>-11386.153304038427</v>
      </c>
      <c r="M19" s="1"/>
      <c r="N19" s="5">
        <f t="shared" si="3"/>
        <v>-0.28611327277214016</v>
      </c>
      <c r="O19" s="14"/>
      <c r="P19" s="1">
        <f>SUM(OSRRefP22_0x_0)</f>
        <v>28409.81</v>
      </c>
      <c r="Q19" s="1"/>
      <c r="R19" s="5">
        <f t="shared" si="4"/>
        <v>0</v>
      </c>
      <c r="S19" s="1"/>
      <c r="T19" s="1">
        <f>SUM(OSRRefT22_0x_0)</f>
        <v>39795.963304038429</v>
      </c>
      <c r="U19" s="1"/>
      <c r="V19" s="5">
        <f t="shared" si="5"/>
        <v>0</v>
      </c>
      <c r="W19" s="1"/>
      <c r="X19" s="1">
        <f t="shared" si="6"/>
        <v>-11386.153304038427</v>
      </c>
      <c r="Y19" s="1"/>
      <c r="Z19" s="5">
        <f t="shared" si="7"/>
        <v>-0.28611327277214016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2493.23</v>
      </c>
      <c r="E20" s="3"/>
      <c r="F20" s="8">
        <f t="shared" si="0"/>
        <v>0</v>
      </c>
      <c r="G20" s="3"/>
      <c r="H20" s="7">
        <v>3964.7352559615401</v>
      </c>
      <c r="I20" s="3"/>
      <c r="J20" s="8">
        <f t="shared" si="1"/>
        <v>0</v>
      </c>
      <c r="K20" s="3"/>
      <c r="L20" s="7">
        <f t="shared" si="2"/>
        <v>-1471.5052559615401</v>
      </c>
      <c r="M20" s="3"/>
      <c r="N20" s="8">
        <f t="shared" si="3"/>
        <v>-0.37114842756497396</v>
      </c>
      <c r="O20" s="12"/>
      <c r="P20" s="7">
        <v>2493.23</v>
      </c>
      <c r="Q20" s="3"/>
      <c r="R20" s="8">
        <f t="shared" si="4"/>
        <v>0</v>
      </c>
      <c r="S20" s="3"/>
      <c r="T20" s="7">
        <v>3964.7352559615401</v>
      </c>
      <c r="U20" s="3"/>
      <c r="V20" s="8">
        <f t="shared" si="5"/>
        <v>0</v>
      </c>
      <c r="W20" s="3"/>
      <c r="X20" s="7">
        <f t="shared" si="6"/>
        <v>-1471.5052559615401</v>
      </c>
      <c r="Y20" s="3"/>
      <c r="Z20" s="8">
        <f t="shared" si="7"/>
        <v>-0.37114842756497396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1396.92</v>
      </c>
      <c r="E21" s="3"/>
      <c r="F21" s="8">
        <f t="shared" si="0"/>
        <v>0</v>
      </c>
      <c r="G21" s="3"/>
      <c r="H21" s="7">
        <v>2222.489775</v>
      </c>
      <c r="I21" s="3"/>
      <c r="J21" s="8">
        <f t="shared" si="1"/>
        <v>0</v>
      </c>
      <c r="K21" s="3"/>
      <c r="L21" s="7">
        <f t="shared" si="2"/>
        <v>-825.56977499999994</v>
      </c>
      <c r="M21" s="3"/>
      <c r="N21" s="8">
        <f t="shared" si="3"/>
        <v>-0.37146167522862955</v>
      </c>
      <c r="O21" s="12"/>
      <c r="P21" s="7">
        <v>1396.92</v>
      </c>
      <c r="Q21" s="3"/>
      <c r="R21" s="8">
        <f t="shared" si="4"/>
        <v>0</v>
      </c>
      <c r="S21" s="3"/>
      <c r="T21" s="7">
        <v>2222.489775</v>
      </c>
      <c r="U21" s="3"/>
      <c r="V21" s="8">
        <f t="shared" si="5"/>
        <v>0</v>
      </c>
      <c r="W21" s="3"/>
      <c r="X21" s="7">
        <f t="shared" si="6"/>
        <v>-825.56977499999994</v>
      </c>
      <c r="Y21" s="3"/>
      <c r="Z21" s="8">
        <f t="shared" si="7"/>
        <v>-0.37146167522862955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16509.649999999998</v>
      </c>
      <c r="E22" s="3"/>
      <c r="F22" s="8">
        <f t="shared" si="0"/>
        <v>0</v>
      </c>
      <c r="G22" s="3"/>
      <c r="H22" s="7">
        <v>22630.769230769198</v>
      </c>
      <c r="I22" s="3"/>
      <c r="J22" s="8">
        <f t="shared" si="1"/>
        <v>0</v>
      </c>
      <c r="K22" s="3"/>
      <c r="L22" s="7">
        <f t="shared" si="2"/>
        <v>-6121.1192307691999</v>
      </c>
      <c r="M22" s="3"/>
      <c r="N22" s="8">
        <f t="shared" si="3"/>
        <v>-0.27047773623385357</v>
      </c>
      <c r="O22" s="12"/>
      <c r="P22" s="7">
        <v>16509.649999999998</v>
      </c>
      <c r="Q22" s="3"/>
      <c r="R22" s="8">
        <f t="shared" si="4"/>
        <v>0</v>
      </c>
      <c r="S22" s="3"/>
      <c r="T22" s="7">
        <v>22630.769230769198</v>
      </c>
      <c r="U22" s="3"/>
      <c r="V22" s="8">
        <f t="shared" si="5"/>
        <v>0</v>
      </c>
      <c r="W22" s="3"/>
      <c r="X22" s="7">
        <f t="shared" si="6"/>
        <v>-6121.1192307691999</v>
      </c>
      <c r="Y22" s="3"/>
      <c r="Z22" s="8">
        <f t="shared" si="7"/>
        <v>-0.27047773623385357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156.82</v>
      </c>
      <c r="E23" s="3"/>
      <c r="F23" s="8">
        <f t="shared" si="0"/>
        <v>0</v>
      </c>
      <c r="G23" s="3"/>
      <c r="H23" s="7">
        <v>134.69635</v>
      </c>
      <c r="I23" s="3"/>
      <c r="J23" s="8">
        <f t="shared" si="1"/>
        <v>0</v>
      </c>
      <c r="K23" s="3"/>
      <c r="L23" s="7">
        <f t="shared" si="2"/>
        <v>22.123649999999998</v>
      </c>
      <c r="M23" s="3"/>
      <c r="N23" s="8">
        <f t="shared" si="3"/>
        <v>0.1642483259568652</v>
      </c>
      <c r="O23" s="12"/>
      <c r="P23" s="7">
        <v>156.82</v>
      </c>
      <c r="Q23" s="3"/>
      <c r="R23" s="8">
        <f t="shared" si="4"/>
        <v>0</v>
      </c>
      <c r="S23" s="3"/>
      <c r="T23" s="7">
        <v>134.69635</v>
      </c>
      <c r="U23" s="3"/>
      <c r="V23" s="8">
        <f t="shared" si="5"/>
        <v>0</v>
      </c>
      <c r="W23" s="3"/>
      <c r="X23" s="7">
        <f t="shared" si="6"/>
        <v>22.123649999999998</v>
      </c>
      <c r="Y23" s="3"/>
      <c r="Z23" s="8">
        <f t="shared" si="7"/>
        <v>0.1642483259568652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2186.25</v>
      </c>
      <c r="E24" s="3"/>
      <c r="F24" s="8">
        <f t="shared" si="0"/>
        <v>0</v>
      </c>
      <c r="G24" s="3"/>
      <c r="H24" s="7">
        <v>2223.1248076923102</v>
      </c>
      <c r="I24" s="3"/>
      <c r="J24" s="8">
        <f t="shared" si="1"/>
        <v>0</v>
      </c>
      <c r="K24" s="3"/>
      <c r="L24" s="7">
        <f t="shared" si="2"/>
        <v>-36.874807692310242</v>
      </c>
      <c r="M24" s="3"/>
      <c r="N24" s="8">
        <f t="shared" si="3"/>
        <v>-1.6586926458073095E-2</v>
      </c>
      <c r="O24" s="12"/>
      <c r="P24" s="7">
        <v>2186.25</v>
      </c>
      <c r="Q24" s="3"/>
      <c r="R24" s="8">
        <f t="shared" si="4"/>
        <v>0</v>
      </c>
      <c r="S24" s="3"/>
      <c r="T24" s="7">
        <v>2223.1248076923102</v>
      </c>
      <c r="U24" s="3"/>
      <c r="V24" s="8">
        <f t="shared" si="5"/>
        <v>0</v>
      </c>
      <c r="W24" s="3"/>
      <c r="X24" s="7">
        <f t="shared" si="6"/>
        <v>-36.874807692310242</v>
      </c>
      <c r="Y24" s="3"/>
      <c r="Z24" s="8">
        <f t="shared" si="7"/>
        <v>-1.6586926458073095E-2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"6117", " - ", "RETIREMENT STAFF HOURLY")</f>
        <v xml:space="preserve">          6117 - RETIREMENT STAFF HOURLY</v>
      </c>
      <c r="C26" s="12"/>
      <c r="D26" s="7">
        <v>752.36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752.36</v>
      </c>
      <c r="M26" s="3"/>
      <c r="N26" s="8">
        <f t="shared" si="3"/>
        <v>0</v>
      </c>
      <c r="O26" s="12"/>
      <c r="P26" s="7">
        <v>752.36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752.36</v>
      </c>
      <c r="Y26" s="3"/>
      <c r="Z26" s="8">
        <f t="shared" si="7"/>
        <v>0</v>
      </c>
    </row>
    <row r="27" spans="1:26" s="24" customFormat="1" hidden="1" outlineLevel="2" x14ac:dyDescent="0.25">
      <c r="A27" s="27"/>
      <c r="B27" s="12" t="str">
        <f>CONCATENATE("          ", "6118", " - ", "VACATION")</f>
        <v xml:space="preserve">          6118 - VACATION</v>
      </c>
      <c r="C27" s="12"/>
      <c r="D27" s="7">
        <v>2366.1799999999998</v>
      </c>
      <c r="E27" s="3"/>
      <c r="F27" s="8">
        <f t="shared" si="0"/>
        <v>0</v>
      </c>
      <c r="G27" s="3"/>
      <c r="H27" s="7">
        <v>4104.8334615384592</v>
      </c>
      <c r="I27" s="3"/>
      <c r="J27" s="8">
        <f t="shared" si="1"/>
        <v>0</v>
      </c>
      <c r="K27" s="3"/>
      <c r="L27" s="7">
        <f t="shared" si="2"/>
        <v>-1738.6534615384594</v>
      </c>
      <c r="M27" s="3"/>
      <c r="N27" s="8">
        <f t="shared" si="3"/>
        <v>-0.42356248501414862</v>
      </c>
      <c r="O27" s="12"/>
      <c r="P27" s="7">
        <v>2366.1799999999998</v>
      </c>
      <c r="Q27" s="3"/>
      <c r="R27" s="8">
        <f t="shared" si="4"/>
        <v>0</v>
      </c>
      <c r="S27" s="3"/>
      <c r="T27" s="7">
        <v>4104.8334615384592</v>
      </c>
      <c r="U27" s="3"/>
      <c r="V27" s="8">
        <f t="shared" si="5"/>
        <v>0</v>
      </c>
      <c r="W27" s="3"/>
      <c r="X27" s="7">
        <f t="shared" si="6"/>
        <v>-1738.6534615384594</v>
      </c>
      <c r="Y27" s="3"/>
      <c r="Z27" s="8">
        <f t="shared" si="7"/>
        <v>-0.42356248501414862</v>
      </c>
    </row>
    <row r="28" spans="1:26" s="24" customFormat="1" hidden="1" outlineLevel="2" x14ac:dyDescent="0.25">
      <c r="A28" s="27"/>
      <c r="B28" s="12" t="str">
        <f>CONCATENATE("          ", "6119", " - ", "SICK LEAVE")</f>
        <v xml:space="preserve">          6119 - SICK LEAVE</v>
      </c>
      <c r="C28" s="12"/>
      <c r="D28" s="7">
        <v>1504</v>
      </c>
      <c r="E28" s="3"/>
      <c r="F28" s="8">
        <f t="shared" si="0"/>
        <v>0</v>
      </c>
      <c r="G28" s="3"/>
      <c r="H28" s="7">
        <v>2590.3144230769203</v>
      </c>
      <c r="I28" s="3"/>
      <c r="J28" s="8">
        <f t="shared" si="1"/>
        <v>0</v>
      </c>
      <c r="K28" s="3"/>
      <c r="L28" s="7">
        <f t="shared" si="2"/>
        <v>-1086.3144230769203</v>
      </c>
      <c r="M28" s="3"/>
      <c r="N28" s="8">
        <f t="shared" si="3"/>
        <v>-0.41937550646324057</v>
      </c>
      <c r="O28" s="12"/>
      <c r="P28" s="7">
        <v>1504</v>
      </c>
      <c r="Q28" s="3"/>
      <c r="R28" s="8">
        <f t="shared" si="4"/>
        <v>0</v>
      </c>
      <c r="S28" s="3"/>
      <c r="T28" s="7">
        <v>2590.3144230769203</v>
      </c>
      <c r="U28" s="3"/>
      <c r="V28" s="8">
        <f t="shared" si="5"/>
        <v>0</v>
      </c>
      <c r="W28" s="3"/>
      <c r="X28" s="7">
        <f t="shared" si="6"/>
        <v>-1086.3144230769203</v>
      </c>
      <c r="Y28" s="3"/>
      <c r="Z28" s="8">
        <f t="shared" si="7"/>
        <v>-0.41937550646324057</v>
      </c>
    </row>
    <row r="29" spans="1:26" s="24" customFormat="1" hidden="1" outlineLevel="2" x14ac:dyDescent="0.25">
      <c r="A29" s="27"/>
      <c r="B29" s="12" t="str">
        <f>CONCATENATE("          ", "6156", " - ", "EMPLOYEE MEALS")</f>
        <v xml:space="preserve">          6156 - EMPLOYEE MEALS</v>
      </c>
      <c r="C29" s="12"/>
      <c r="D29" s="7">
        <v>1044.4000000000001</v>
      </c>
      <c r="E29" s="3"/>
      <c r="F29" s="8">
        <f t="shared" si="0"/>
        <v>0</v>
      </c>
      <c r="G29" s="3"/>
      <c r="H29" s="7">
        <v>1925</v>
      </c>
      <c r="I29" s="3"/>
      <c r="J29" s="8">
        <f t="shared" si="1"/>
        <v>0</v>
      </c>
      <c r="K29" s="3"/>
      <c r="L29" s="7">
        <f t="shared" si="2"/>
        <v>-880.59999999999991</v>
      </c>
      <c r="M29" s="3"/>
      <c r="N29" s="8">
        <f t="shared" si="3"/>
        <v>-0.45745454545454539</v>
      </c>
      <c r="O29" s="12"/>
      <c r="P29" s="7">
        <v>1044.4000000000001</v>
      </c>
      <c r="Q29" s="3"/>
      <c r="R29" s="8">
        <f t="shared" si="4"/>
        <v>0</v>
      </c>
      <c r="S29" s="3"/>
      <c r="T29" s="7">
        <v>1925</v>
      </c>
      <c r="U29" s="3"/>
      <c r="V29" s="8">
        <f t="shared" si="5"/>
        <v>0</v>
      </c>
      <c r="W29" s="3"/>
      <c r="X29" s="7">
        <f t="shared" si="6"/>
        <v>-880.59999999999991</v>
      </c>
      <c r="Y29" s="3"/>
      <c r="Z29" s="8">
        <f t="shared" si="7"/>
        <v>-0.45745454545454539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33140.61</v>
      </c>
      <c r="E30" s="1"/>
      <c r="F30" s="5">
        <f t="shared" ref="F30:F40" si="8">IF(D$12=0,0,D30/D$12)</f>
        <v>0</v>
      </c>
      <c r="G30" s="1"/>
      <c r="H30" s="1">
        <f>SUM(OSRRefH22_1x_0)</f>
        <v>45111.140576923099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-11970.530576923098</v>
      </c>
      <c r="M30" s="1"/>
      <c r="N30" s="5">
        <f t="shared" ref="N30:N40" si="11">IF(H30=0,0,L30/H30)</f>
        <v>-0.26535641581730923</v>
      </c>
      <c r="O30" s="14"/>
      <c r="P30" s="1">
        <f>SUM(OSRRefP22_1x_0)</f>
        <v>33140.61</v>
      </c>
      <c r="Q30" s="1"/>
      <c r="R30" s="5">
        <f t="shared" ref="R30:R40" si="12">IF(P$12=0,0,P30/P$12)</f>
        <v>0</v>
      </c>
      <c r="S30" s="1"/>
      <c r="T30" s="1">
        <f>SUM(OSRRefT22_1x_0)</f>
        <v>45111.140576923099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-11970.530576923098</v>
      </c>
      <c r="Y30" s="1"/>
      <c r="Z30" s="5">
        <f t="shared" ref="Z30:Z40" si="15">IF(T30=0,0,X30/T30)</f>
        <v>-0.26535641581730923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/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0</v>
      </c>
      <c r="M31" s="3"/>
      <c r="N31" s="8">
        <f t="shared" si="11"/>
        <v>0</v>
      </c>
      <c r="O31" s="12"/>
      <c r="P31" s="7"/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0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>
        <v>18321.599999999999</v>
      </c>
      <c r="E32" s="3"/>
      <c r="F32" s="8">
        <f t="shared" si="8"/>
        <v>0</v>
      </c>
      <c r="G32" s="3"/>
      <c r="H32" s="7">
        <v>22269.8605769231</v>
      </c>
      <c r="I32" s="3"/>
      <c r="J32" s="8">
        <f t="shared" si="9"/>
        <v>0</v>
      </c>
      <c r="K32" s="3"/>
      <c r="L32" s="7">
        <f t="shared" si="10"/>
        <v>-3948.2605769231013</v>
      </c>
      <c r="M32" s="3"/>
      <c r="N32" s="8">
        <f t="shared" si="11"/>
        <v>-0.1772916612246079</v>
      </c>
      <c r="O32" s="12"/>
      <c r="P32" s="7">
        <v>18321.599999999999</v>
      </c>
      <c r="Q32" s="3"/>
      <c r="R32" s="8">
        <f t="shared" si="12"/>
        <v>0</v>
      </c>
      <c r="S32" s="3"/>
      <c r="T32" s="7">
        <v>22269.8605769231</v>
      </c>
      <c r="U32" s="3"/>
      <c r="V32" s="8">
        <f t="shared" si="13"/>
        <v>0</v>
      </c>
      <c r="W32" s="3"/>
      <c r="X32" s="7">
        <f t="shared" si="14"/>
        <v>-3948.2605769231013</v>
      </c>
      <c r="Y32" s="3"/>
      <c r="Z32" s="8">
        <f t="shared" si="15"/>
        <v>-0.1772916612246079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>
        <v>11965.01</v>
      </c>
      <c r="E34" s="3"/>
      <c r="F34" s="8">
        <f t="shared" si="8"/>
        <v>0</v>
      </c>
      <c r="G34" s="3"/>
      <c r="H34" s="7">
        <v>22841.279999999999</v>
      </c>
      <c r="I34" s="3"/>
      <c r="J34" s="8">
        <f t="shared" si="9"/>
        <v>0</v>
      </c>
      <c r="K34" s="3"/>
      <c r="L34" s="7">
        <f t="shared" si="10"/>
        <v>-10876.269999999999</v>
      </c>
      <c r="M34" s="3"/>
      <c r="N34" s="8">
        <f t="shared" si="11"/>
        <v>-0.47616727258717545</v>
      </c>
      <c r="O34" s="12"/>
      <c r="P34" s="7">
        <v>11965.01</v>
      </c>
      <c r="Q34" s="3"/>
      <c r="R34" s="8">
        <f t="shared" si="12"/>
        <v>0</v>
      </c>
      <c r="S34" s="3"/>
      <c r="T34" s="7">
        <v>22841.279999999999</v>
      </c>
      <c r="U34" s="3"/>
      <c r="V34" s="8">
        <f t="shared" si="13"/>
        <v>0</v>
      </c>
      <c r="W34" s="3"/>
      <c r="X34" s="7">
        <f t="shared" si="14"/>
        <v>-10876.269999999999</v>
      </c>
      <c r="Y34" s="3"/>
      <c r="Z34" s="8">
        <f t="shared" si="15"/>
        <v>-0.47616727258717545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>
        <v>2854</v>
      </c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2854</v>
      </c>
      <c r="M37" s="3"/>
      <c r="N37" s="8">
        <f t="shared" si="11"/>
        <v>0</v>
      </c>
      <c r="O37" s="12"/>
      <c r="P37" s="7">
        <v>2854</v>
      </c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2854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8"/>
        <v>0</v>
      </c>
      <c r="G40" s="3"/>
      <c r="H40" s="7">
        <v>0</v>
      </c>
      <c r="I40" s="3"/>
      <c r="J40" s="8">
        <f t="shared" si="9"/>
        <v>0</v>
      </c>
      <c r="K40" s="3"/>
      <c r="L40" s="7">
        <f t="shared" si="10"/>
        <v>0</v>
      </c>
      <c r="M40" s="3"/>
      <c r="N40" s="8">
        <f t="shared" si="11"/>
        <v>0</v>
      </c>
      <c r="O40" s="12"/>
      <c r="P40" s="7"/>
      <c r="Q40" s="3"/>
      <c r="R40" s="8">
        <f t="shared" si="12"/>
        <v>0</v>
      </c>
      <c r="S40" s="3"/>
      <c r="T40" s="7">
        <v>0</v>
      </c>
      <c r="U40" s="3"/>
      <c r="V40" s="8">
        <f t="shared" si="13"/>
        <v>0</v>
      </c>
      <c r="W40" s="3"/>
      <c r="X40" s="7">
        <f t="shared" si="14"/>
        <v>0</v>
      </c>
      <c r="Y40" s="3"/>
      <c r="Z40" s="8">
        <f t="shared" si="15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519.74</v>
      </c>
      <c r="E41" s="1"/>
      <c r="F41" s="5">
        <f t="shared" ref="F41:F50" si="16">IF(D$12=0,0,D41/D$12)</f>
        <v>0</v>
      </c>
      <c r="G41" s="1"/>
      <c r="H41" s="1">
        <f>SUM(OSRRefH22_2x_0)</f>
        <v>0</v>
      </c>
      <c r="I41" s="1"/>
      <c r="J41" s="5">
        <f t="shared" ref="J41:J50" si="17">IF(H$12=0,0,H41/H$12)</f>
        <v>0</v>
      </c>
      <c r="K41" s="1"/>
      <c r="L41" s="1">
        <f t="shared" ref="L41:L50" si="18">+D41-H41</f>
        <v>519.74</v>
      </c>
      <c r="M41" s="1"/>
      <c r="N41" s="5">
        <f t="shared" ref="N41:N50" si="19">IF(H41=0,0,L41/H41)</f>
        <v>0</v>
      </c>
      <c r="O41" s="14"/>
      <c r="P41" s="1">
        <f>SUM(OSRRefP22_2x_0)</f>
        <v>519.74</v>
      </c>
      <c r="Q41" s="1"/>
      <c r="R41" s="5">
        <f t="shared" ref="R41:R50" si="20">IF(P$12=0,0,P41/P$12)</f>
        <v>0</v>
      </c>
      <c r="S41" s="1"/>
      <c r="T41" s="1">
        <f>SUM(OSRRefT22_2x_0)</f>
        <v>0</v>
      </c>
      <c r="U41" s="1"/>
      <c r="V41" s="5">
        <f t="shared" ref="V41:V50" si="21">IF(T$12=0,0,T41/T$12)</f>
        <v>0</v>
      </c>
      <c r="W41" s="1"/>
      <c r="X41" s="1">
        <f t="shared" ref="X41:X50" si="22">+P41-T41</f>
        <v>519.74</v>
      </c>
      <c r="Y41" s="1"/>
      <c r="Z41" s="5">
        <f t="shared" ref="Z41:Z50" si="23">IF(T41=0,0,X41/T41)</f>
        <v>0</v>
      </c>
    </row>
    <row r="42" spans="1:26" s="24" customFormat="1" hidden="1" outlineLevel="2" x14ac:dyDescent="0.25">
      <c r="A42" s="27"/>
      <c r="B42" s="12" t="str">
        <f>CONCATENATE("          ", "6362", " - ", "ADVERTISING EXPENSE")</f>
        <v xml:space="preserve">          6362 - ADVERTISING EXPENSE</v>
      </c>
      <c r="C42" s="12"/>
      <c r="D42" s="7">
        <v>519.74</v>
      </c>
      <c r="E42" s="3"/>
      <c r="F42" s="8">
        <f t="shared" si="16"/>
        <v>0</v>
      </c>
      <c r="G42" s="3"/>
      <c r="H42" s="7"/>
      <c r="I42" s="3"/>
      <c r="J42" s="8">
        <f t="shared" si="17"/>
        <v>0</v>
      </c>
      <c r="K42" s="3"/>
      <c r="L42" s="7">
        <f t="shared" si="18"/>
        <v>519.74</v>
      </c>
      <c r="M42" s="3"/>
      <c r="N42" s="8">
        <f t="shared" si="19"/>
        <v>0</v>
      </c>
      <c r="O42" s="12"/>
      <c r="P42" s="7">
        <v>519.74</v>
      </c>
      <c r="Q42" s="3"/>
      <c r="R42" s="8">
        <f t="shared" si="20"/>
        <v>0</v>
      </c>
      <c r="S42" s="3"/>
      <c r="T42" s="7"/>
      <c r="U42" s="3"/>
      <c r="V42" s="8">
        <f t="shared" si="21"/>
        <v>0</v>
      </c>
      <c r="W42" s="3"/>
      <c r="X42" s="7">
        <f t="shared" si="22"/>
        <v>519.74</v>
      </c>
      <c r="Y42" s="3"/>
      <c r="Z42" s="8">
        <f t="shared" si="23"/>
        <v>0</v>
      </c>
    </row>
    <row r="43" spans="1:26" s="29" customFormat="1" outlineLevel="1" collapsed="1" x14ac:dyDescent="0.25">
      <c r="A43" s="28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SUM(OSRRefD22_3x_0)</f>
        <v>207.6</v>
      </c>
      <c r="E43" s="1"/>
      <c r="F43" s="5">
        <f t="shared" si="16"/>
        <v>0</v>
      </c>
      <c r="G43" s="1"/>
      <c r="H43" s="1">
        <f>SUM(OSRRefH22_3x_0)</f>
        <v>290</v>
      </c>
      <c r="I43" s="1"/>
      <c r="J43" s="5">
        <f t="shared" si="17"/>
        <v>0</v>
      </c>
      <c r="K43" s="1"/>
      <c r="L43" s="1">
        <f t="shared" si="18"/>
        <v>-82.4</v>
      </c>
      <c r="M43" s="1"/>
      <c r="N43" s="5">
        <f t="shared" si="19"/>
        <v>-0.28413793103448276</v>
      </c>
      <c r="O43" s="14"/>
      <c r="P43" s="1">
        <f>SUM(OSRRefP22_3x_0)</f>
        <v>207.6</v>
      </c>
      <c r="Q43" s="1"/>
      <c r="R43" s="5">
        <f t="shared" si="20"/>
        <v>0</v>
      </c>
      <c r="S43" s="1"/>
      <c r="T43" s="1">
        <f>SUM(OSRRefT22_3x_0)</f>
        <v>290</v>
      </c>
      <c r="U43" s="1"/>
      <c r="V43" s="5">
        <f t="shared" si="21"/>
        <v>0</v>
      </c>
      <c r="W43" s="1"/>
      <c r="X43" s="1">
        <f t="shared" si="22"/>
        <v>-82.4</v>
      </c>
      <c r="Y43" s="1"/>
      <c r="Z43" s="5">
        <f t="shared" si="23"/>
        <v>-0.28413793103448276</v>
      </c>
    </row>
    <row r="44" spans="1:26" s="24" customFormat="1" hidden="1" outlineLevel="2" x14ac:dyDescent="0.25">
      <c r="A44" s="27"/>
      <c r="B44" s="12" t="str">
        <f>CONCATENATE("          ", "6351", " - ", "EQUIPMENT RENTAL")</f>
        <v xml:space="preserve">          6351 - EQUIPMENT RENTAL</v>
      </c>
      <c r="C44" s="12"/>
      <c r="D44" s="7">
        <v>207.6</v>
      </c>
      <c r="E44" s="3"/>
      <c r="F44" s="8">
        <f t="shared" si="16"/>
        <v>0</v>
      </c>
      <c r="G44" s="3"/>
      <c r="H44" s="7">
        <v>290</v>
      </c>
      <c r="I44" s="3"/>
      <c r="J44" s="8">
        <f t="shared" si="17"/>
        <v>0</v>
      </c>
      <c r="K44" s="3"/>
      <c r="L44" s="7">
        <f t="shared" si="18"/>
        <v>-82.4</v>
      </c>
      <c r="M44" s="3"/>
      <c r="N44" s="8">
        <f t="shared" si="19"/>
        <v>-0.28413793103448276</v>
      </c>
      <c r="O44" s="12"/>
      <c r="P44" s="7">
        <v>207.6</v>
      </c>
      <c r="Q44" s="3"/>
      <c r="R44" s="8">
        <f t="shared" si="20"/>
        <v>0</v>
      </c>
      <c r="S44" s="3"/>
      <c r="T44" s="7">
        <v>290</v>
      </c>
      <c r="U44" s="3"/>
      <c r="V44" s="8">
        <f t="shared" si="21"/>
        <v>0</v>
      </c>
      <c r="W44" s="3"/>
      <c r="X44" s="7">
        <f t="shared" si="22"/>
        <v>-82.4</v>
      </c>
      <c r="Y44" s="3"/>
      <c r="Z44" s="8">
        <f t="shared" si="23"/>
        <v>-0.28413793103448276</v>
      </c>
    </row>
    <row r="45" spans="1:26" s="29" customFormat="1" outlineLevel="1" collapsed="1" x14ac:dyDescent="0.25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SUM(OSRRefD22_4x_0)</f>
        <v>1439.55</v>
      </c>
      <c r="E45" s="1"/>
      <c r="F45" s="5">
        <f t="shared" si="16"/>
        <v>0</v>
      </c>
      <c r="G45" s="1"/>
      <c r="H45" s="1">
        <f>SUM(OSRRefH22_4x_0)</f>
        <v>1750</v>
      </c>
      <c r="I45" s="1"/>
      <c r="J45" s="5">
        <f t="shared" si="17"/>
        <v>0</v>
      </c>
      <c r="K45" s="1"/>
      <c r="L45" s="1">
        <f t="shared" si="18"/>
        <v>-310.45000000000005</v>
      </c>
      <c r="M45" s="1"/>
      <c r="N45" s="5">
        <f t="shared" si="19"/>
        <v>-0.17740000000000003</v>
      </c>
      <c r="O45" s="14"/>
      <c r="P45" s="1">
        <f>SUM(OSRRefP22_4x_0)</f>
        <v>1439.55</v>
      </c>
      <c r="Q45" s="1"/>
      <c r="R45" s="5">
        <f t="shared" si="20"/>
        <v>0</v>
      </c>
      <c r="S45" s="1"/>
      <c r="T45" s="1">
        <f>SUM(OSRRefT22_4x_0)</f>
        <v>1750</v>
      </c>
      <c r="U45" s="1"/>
      <c r="V45" s="5">
        <f t="shared" si="21"/>
        <v>0</v>
      </c>
      <c r="W45" s="1"/>
      <c r="X45" s="1">
        <f t="shared" si="22"/>
        <v>-310.45000000000005</v>
      </c>
      <c r="Y45" s="1"/>
      <c r="Z45" s="5">
        <f t="shared" si="23"/>
        <v>-0.17740000000000003</v>
      </c>
    </row>
    <row r="46" spans="1:26" s="24" customFormat="1" hidden="1" outlineLevel="2" x14ac:dyDescent="0.25">
      <c r="A46" s="27"/>
      <c r="B46" s="12" t="str">
        <f>CONCATENATE("          ", "6279", " - ", "GENERAL EXPENSE")</f>
        <v xml:space="preserve">          6279 - GENERAL EXPENSE</v>
      </c>
      <c r="C46" s="12"/>
      <c r="D46" s="7">
        <v>1439.55</v>
      </c>
      <c r="E46" s="3"/>
      <c r="F46" s="8">
        <f t="shared" si="16"/>
        <v>0</v>
      </c>
      <c r="G46" s="3"/>
      <c r="H46" s="7">
        <v>1750</v>
      </c>
      <c r="I46" s="3"/>
      <c r="J46" s="8">
        <f t="shared" si="17"/>
        <v>0</v>
      </c>
      <c r="K46" s="3"/>
      <c r="L46" s="7">
        <f t="shared" si="18"/>
        <v>-310.45000000000005</v>
      </c>
      <c r="M46" s="3"/>
      <c r="N46" s="8">
        <f t="shared" si="19"/>
        <v>-0.17740000000000003</v>
      </c>
      <c r="O46" s="12"/>
      <c r="P46" s="7">
        <v>1439.55</v>
      </c>
      <c r="Q46" s="3"/>
      <c r="R46" s="8">
        <f t="shared" si="20"/>
        <v>0</v>
      </c>
      <c r="S46" s="3"/>
      <c r="T46" s="7">
        <v>1750</v>
      </c>
      <c r="U46" s="3"/>
      <c r="V46" s="8">
        <f t="shared" si="21"/>
        <v>0</v>
      </c>
      <c r="W46" s="3"/>
      <c r="X46" s="7">
        <f t="shared" si="22"/>
        <v>-310.45000000000005</v>
      </c>
      <c r="Y46" s="3"/>
      <c r="Z46" s="8">
        <f t="shared" si="23"/>
        <v>-0.17740000000000003</v>
      </c>
    </row>
    <row r="47" spans="1:26" s="29" customFormat="1" outlineLevel="1" collapsed="1" x14ac:dyDescent="0.25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1.65</v>
      </c>
      <c r="E47" s="1"/>
      <c r="F47" s="5">
        <f t="shared" si="16"/>
        <v>0</v>
      </c>
      <c r="G47" s="1"/>
      <c r="H47" s="1">
        <f>SUM(OSRRefH22_5x_0)</f>
        <v>3371</v>
      </c>
      <c r="I47" s="1"/>
      <c r="J47" s="5">
        <f t="shared" si="17"/>
        <v>0</v>
      </c>
      <c r="K47" s="1"/>
      <c r="L47" s="1">
        <f t="shared" si="18"/>
        <v>-3369.35</v>
      </c>
      <c r="M47" s="1"/>
      <c r="N47" s="5">
        <f t="shared" si="19"/>
        <v>-0.99951053099970333</v>
      </c>
      <c r="O47" s="14"/>
      <c r="P47" s="1">
        <f>SUM(OSRRefP22_5x_0)</f>
        <v>1.65</v>
      </c>
      <c r="Q47" s="1"/>
      <c r="R47" s="5">
        <f t="shared" si="20"/>
        <v>0</v>
      </c>
      <c r="S47" s="1"/>
      <c r="T47" s="1">
        <f>SUM(OSRRefT22_5x_0)</f>
        <v>3371</v>
      </c>
      <c r="U47" s="1"/>
      <c r="V47" s="5">
        <f t="shared" si="21"/>
        <v>0</v>
      </c>
      <c r="W47" s="1"/>
      <c r="X47" s="1">
        <f t="shared" si="22"/>
        <v>-3369.35</v>
      </c>
      <c r="Y47" s="1"/>
      <c r="Z47" s="5">
        <f t="shared" si="23"/>
        <v>-0.99951053099970333</v>
      </c>
    </row>
    <row r="48" spans="1:26" s="24" customFormat="1" hidden="1" outlineLevel="2" x14ac:dyDescent="0.25">
      <c r="A48" s="27"/>
      <c r="B48" s="12" t="str">
        <f>CONCATENATE("          ", "6372", " - ", "COMPUTER HARDWARE MAINTENANCE")</f>
        <v xml:space="preserve">          6372 - COMPUTER HARDWARE MAINTENANCE</v>
      </c>
      <c r="C48" s="12"/>
      <c r="D48" s="7"/>
      <c r="E48" s="3"/>
      <c r="F48" s="8">
        <f t="shared" si="16"/>
        <v>0</v>
      </c>
      <c r="G48" s="3"/>
      <c r="H48" s="7">
        <v>3083</v>
      </c>
      <c r="I48" s="3"/>
      <c r="J48" s="8">
        <f t="shared" si="17"/>
        <v>0</v>
      </c>
      <c r="K48" s="3"/>
      <c r="L48" s="7">
        <f t="shared" si="18"/>
        <v>-3083</v>
      </c>
      <c r="M48" s="3"/>
      <c r="N48" s="8">
        <f t="shared" si="19"/>
        <v>-1</v>
      </c>
      <c r="O48" s="12"/>
      <c r="P48" s="7"/>
      <c r="Q48" s="3"/>
      <c r="R48" s="8">
        <f t="shared" si="20"/>
        <v>0</v>
      </c>
      <c r="S48" s="3"/>
      <c r="T48" s="7">
        <v>3083</v>
      </c>
      <c r="U48" s="3"/>
      <c r="V48" s="8">
        <f t="shared" si="21"/>
        <v>0</v>
      </c>
      <c r="W48" s="3"/>
      <c r="X48" s="7">
        <f t="shared" si="22"/>
        <v>-3083</v>
      </c>
      <c r="Y48" s="3"/>
      <c r="Z48" s="8">
        <f t="shared" si="23"/>
        <v>-1</v>
      </c>
    </row>
    <row r="49" spans="1:26" s="24" customFormat="1" hidden="1" outlineLevel="2" x14ac:dyDescent="0.25">
      <c r="A49" s="27"/>
      <c r="B49" s="12" t="str">
        <f>CONCATENATE("          ", "6373", " - ", "MAINTENANCE CONTRACTS")</f>
        <v xml:space="preserve">          6373 - MAINTENANCE CONTRACTS</v>
      </c>
      <c r="C49" s="12"/>
      <c r="D49" s="7">
        <v>1.65</v>
      </c>
      <c r="E49" s="3"/>
      <c r="F49" s="8">
        <f t="shared" si="16"/>
        <v>0</v>
      </c>
      <c r="G49" s="3"/>
      <c r="H49" s="7">
        <v>38</v>
      </c>
      <c r="I49" s="3"/>
      <c r="J49" s="8">
        <f t="shared" si="17"/>
        <v>0</v>
      </c>
      <c r="K49" s="3"/>
      <c r="L49" s="7">
        <f t="shared" si="18"/>
        <v>-36.35</v>
      </c>
      <c r="M49" s="3"/>
      <c r="N49" s="8">
        <f t="shared" si="19"/>
        <v>-0.95657894736842108</v>
      </c>
      <c r="O49" s="12"/>
      <c r="P49" s="7">
        <v>1.65</v>
      </c>
      <c r="Q49" s="3"/>
      <c r="R49" s="8">
        <f t="shared" si="20"/>
        <v>0</v>
      </c>
      <c r="S49" s="3"/>
      <c r="T49" s="7">
        <v>38</v>
      </c>
      <c r="U49" s="3"/>
      <c r="V49" s="8">
        <f t="shared" si="21"/>
        <v>0</v>
      </c>
      <c r="W49" s="3"/>
      <c r="X49" s="7">
        <f t="shared" si="22"/>
        <v>-36.35</v>
      </c>
      <c r="Y49" s="3"/>
      <c r="Z49" s="8">
        <f t="shared" si="23"/>
        <v>-0.95657894736842108</v>
      </c>
    </row>
    <row r="50" spans="1:26" s="24" customFormat="1" hidden="1" outlineLevel="2" x14ac:dyDescent="0.25">
      <c r="A50" s="27"/>
      <c r="B50" s="12" t="str">
        <f>CONCATENATE("          ", "6375", " - ", "OUTSIDE REPAIRS &amp; MAINTENANCE")</f>
        <v xml:space="preserve">          6375 - OUTSIDE REPAIRS &amp; MAINTENANCE</v>
      </c>
      <c r="C50" s="12"/>
      <c r="D50" s="7"/>
      <c r="E50" s="3"/>
      <c r="F50" s="8">
        <f t="shared" si="16"/>
        <v>0</v>
      </c>
      <c r="G50" s="3"/>
      <c r="H50" s="7">
        <v>250</v>
      </c>
      <c r="I50" s="3"/>
      <c r="J50" s="8">
        <f t="shared" si="17"/>
        <v>0</v>
      </c>
      <c r="K50" s="3"/>
      <c r="L50" s="7">
        <f t="shared" si="18"/>
        <v>-250</v>
      </c>
      <c r="M50" s="3"/>
      <c r="N50" s="8">
        <f t="shared" si="19"/>
        <v>-1</v>
      </c>
      <c r="O50" s="12"/>
      <c r="P50" s="7"/>
      <c r="Q50" s="3"/>
      <c r="R50" s="8">
        <f t="shared" si="20"/>
        <v>0</v>
      </c>
      <c r="S50" s="3"/>
      <c r="T50" s="7">
        <v>250</v>
      </c>
      <c r="U50" s="3"/>
      <c r="V50" s="8">
        <f t="shared" si="21"/>
        <v>0</v>
      </c>
      <c r="W50" s="3"/>
      <c r="X50" s="7">
        <f t="shared" si="22"/>
        <v>-250</v>
      </c>
      <c r="Y50" s="3"/>
      <c r="Z50" s="8">
        <f t="shared" si="23"/>
        <v>-1</v>
      </c>
    </row>
    <row r="51" spans="1:26" s="29" customFormat="1" outlineLevel="1" collapsed="1" x14ac:dyDescent="0.25">
      <c r="A51" s="28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SUM(OSRRefD22_6x_0)</f>
        <v>574.88</v>
      </c>
      <c r="E51" s="1"/>
      <c r="F51" s="5">
        <f t="shared" ref="F51:F54" si="24">IF(D$12=0,0,D51/D$12)</f>
        <v>0</v>
      </c>
      <c r="G51" s="1"/>
      <c r="H51" s="1">
        <f>SUM(OSRRefH22_6x_0)</f>
        <v>6221</v>
      </c>
      <c r="I51" s="1"/>
      <c r="J51" s="5">
        <f t="shared" ref="J51:J54" si="25">IF(H$12=0,0,H51/H$12)</f>
        <v>0</v>
      </c>
      <c r="K51" s="1"/>
      <c r="L51" s="1">
        <f t="shared" ref="L51:L54" si="26">+D51-H51</f>
        <v>-5646.12</v>
      </c>
      <c r="M51" s="1"/>
      <c r="N51" s="5">
        <f t="shared" ref="N51:N54" si="27">IF(H51=0,0,L51/H51)</f>
        <v>-0.90759041954669661</v>
      </c>
      <c r="O51" s="14"/>
      <c r="P51" s="1">
        <f>SUM(OSRRefP22_6x_0)</f>
        <v>574.88</v>
      </c>
      <c r="Q51" s="1"/>
      <c r="R51" s="5">
        <f t="shared" ref="R51:R54" si="28">IF(P$12=0,0,P51/P$12)</f>
        <v>0</v>
      </c>
      <c r="S51" s="1"/>
      <c r="T51" s="1">
        <f>SUM(OSRRefT22_6x_0)</f>
        <v>6221</v>
      </c>
      <c r="U51" s="1"/>
      <c r="V51" s="5">
        <f t="shared" ref="V51:V54" si="29">IF(T$12=0,0,T51/T$12)</f>
        <v>0</v>
      </c>
      <c r="W51" s="1"/>
      <c r="X51" s="1">
        <f t="shared" ref="X51:X54" si="30">+P51-T51</f>
        <v>-5646.12</v>
      </c>
      <c r="Y51" s="1"/>
      <c r="Z51" s="5">
        <f t="shared" ref="Z51:Z54" si="31">IF(T51=0,0,X51/T51)</f>
        <v>-0.90759041954669661</v>
      </c>
    </row>
    <row r="52" spans="1:26" s="24" customFormat="1" hidden="1" outlineLevel="2" x14ac:dyDescent="0.25">
      <c r="A52" s="27"/>
      <c r="B52" s="12" t="str">
        <f>CONCATENATE("          ", "6282", " - ", "JANITORIAL/EXTERMINATOR EXPENS")</f>
        <v xml:space="preserve">          6282 - JANITORIAL/EXTERMINATOR EXPENS</v>
      </c>
      <c r="C52" s="12"/>
      <c r="D52" s="7">
        <v>421.34</v>
      </c>
      <c r="E52" s="3"/>
      <c r="F52" s="8">
        <f t="shared" si="24"/>
        <v>0</v>
      </c>
      <c r="G52" s="3"/>
      <c r="H52" s="7">
        <v>450</v>
      </c>
      <c r="I52" s="3"/>
      <c r="J52" s="8">
        <f t="shared" si="25"/>
        <v>0</v>
      </c>
      <c r="K52" s="3"/>
      <c r="L52" s="7">
        <f t="shared" si="26"/>
        <v>-28.660000000000025</v>
      </c>
      <c r="M52" s="3"/>
      <c r="N52" s="8">
        <f t="shared" si="27"/>
        <v>-6.3688888888888948E-2</v>
      </c>
      <c r="O52" s="12"/>
      <c r="P52" s="7">
        <v>421.34</v>
      </c>
      <c r="Q52" s="3"/>
      <c r="R52" s="8">
        <f t="shared" si="28"/>
        <v>0</v>
      </c>
      <c r="S52" s="3"/>
      <c r="T52" s="7">
        <v>450</v>
      </c>
      <c r="U52" s="3"/>
      <c r="V52" s="8">
        <f t="shared" si="29"/>
        <v>0</v>
      </c>
      <c r="W52" s="3"/>
      <c r="X52" s="7">
        <f t="shared" si="30"/>
        <v>-28.660000000000025</v>
      </c>
      <c r="Y52" s="3"/>
      <c r="Z52" s="8">
        <f t="shared" si="31"/>
        <v>-6.3688888888888948E-2</v>
      </c>
    </row>
    <row r="53" spans="1:26" s="24" customFormat="1" hidden="1" outlineLevel="2" x14ac:dyDescent="0.25">
      <c r="A53" s="27"/>
      <c r="B53" s="12" t="str">
        <f>CONCATENATE("          ", "6285", " - ", "JANITORIAL SERVICES")</f>
        <v xml:space="preserve">          6285 - JANITORIAL SERVICES</v>
      </c>
      <c r="C53" s="12"/>
      <c r="D53" s="7"/>
      <c r="E53" s="3"/>
      <c r="F53" s="8">
        <f t="shared" si="24"/>
        <v>0</v>
      </c>
      <c r="G53" s="3"/>
      <c r="H53" s="7">
        <v>4271</v>
      </c>
      <c r="I53" s="3"/>
      <c r="J53" s="8">
        <f t="shared" si="25"/>
        <v>0</v>
      </c>
      <c r="K53" s="3"/>
      <c r="L53" s="7">
        <f t="shared" si="26"/>
        <v>-4271</v>
      </c>
      <c r="M53" s="3"/>
      <c r="N53" s="8">
        <f t="shared" si="27"/>
        <v>-1</v>
      </c>
      <c r="O53" s="12"/>
      <c r="P53" s="7"/>
      <c r="Q53" s="3"/>
      <c r="R53" s="8">
        <f t="shared" si="28"/>
        <v>0</v>
      </c>
      <c r="S53" s="3"/>
      <c r="T53" s="7">
        <v>4271</v>
      </c>
      <c r="U53" s="3"/>
      <c r="V53" s="8">
        <f t="shared" si="29"/>
        <v>0</v>
      </c>
      <c r="W53" s="3"/>
      <c r="X53" s="7">
        <f t="shared" si="30"/>
        <v>-4271</v>
      </c>
      <c r="Y53" s="3"/>
      <c r="Z53" s="8">
        <f t="shared" si="31"/>
        <v>-1</v>
      </c>
    </row>
    <row r="54" spans="1:26" s="24" customFormat="1" hidden="1" outlineLevel="2" x14ac:dyDescent="0.25">
      <c r="A54" s="27"/>
      <c r="B54" s="12" t="str">
        <f>CONCATENATE("          ", "6286", " - ", "LAUNDRY EXPENSE")</f>
        <v xml:space="preserve">          6286 - LAUNDRY EXPENSE</v>
      </c>
      <c r="C54" s="12"/>
      <c r="D54" s="7">
        <v>153.54</v>
      </c>
      <c r="E54" s="3"/>
      <c r="F54" s="8">
        <f t="shared" si="24"/>
        <v>0</v>
      </c>
      <c r="G54" s="3"/>
      <c r="H54" s="7">
        <v>1500</v>
      </c>
      <c r="I54" s="3"/>
      <c r="J54" s="8">
        <f t="shared" si="25"/>
        <v>0</v>
      </c>
      <c r="K54" s="3"/>
      <c r="L54" s="7">
        <f t="shared" si="26"/>
        <v>-1346.46</v>
      </c>
      <c r="M54" s="3"/>
      <c r="N54" s="8">
        <f t="shared" si="27"/>
        <v>-0.89763999999999999</v>
      </c>
      <c r="O54" s="12"/>
      <c r="P54" s="7">
        <v>153.54</v>
      </c>
      <c r="Q54" s="3"/>
      <c r="R54" s="8">
        <f t="shared" si="28"/>
        <v>0</v>
      </c>
      <c r="S54" s="3"/>
      <c r="T54" s="7">
        <v>1500</v>
      </c>
      <c r="U54" s="3"/>
      <c r="V54" s="8">
        <f t="shared" si="29"/>
        <v>0</v>
      </c>
      <c r="W54" s="3"/>
      <c r="X54" s="7">
        <f t="shared" si="30"/>
        <v>-1346.46</v>
      </c>
      <c r="Y54" s="3"/>
      <c r="Z54" s="8">
        <f t="shared" si="31"/>
        <v>-0.89763999999999999</v>
      </c>
    </row>
    <row r="55" spans="1:26" s="29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SUM(OSRRefD22_7x_0)</f>
        <v>0</v>
      </c>
      <c r="E55" s="1"/>
      <c r="F55" s="5">
        <f t="shared" ref="F55:F58" si="32">IF(D$12=0,0,D55/D$12)</f>
        <v>0</v>
      </c>
      <c r="G55" s="1"/>
      <c r="H55" s="1">
        <f>SUM(OSRRefH22_7x_0)</f>
        <v>580</v>
      </c>
      <c r="I55" s="1"/>
      <c r="J55" s="5">
        <f t="shared" ref="J55:J58" si="33">IF(H$12=0,0,H55/H$12)</f>
        <v>0</v>
      </c>
      <c r="K55" s="1"/>
      <c r="L55" s="1">
        <f t="shared" ref="L55:L58" si="34">+D55-H55</f>
        <v>-580</v>
      </c>
      <c r="M55" s="1"/>
      <c r="N55" s="5">
        <f t="shared" ref="N55:N58" si="35">IF(H55=0,0,L55/H55)</f>
        <v>-1</v>
      </c>
      <c r="O55" s="14"/>
      <c r="P55" s="1">
        <f>SUM(OSRRefP22_7x_0)</f>
        <v>0</v>
      </c>
      <c r="Q55" s="1"/>
      <c r="R55" s="5">
        <f t="shared" ref="R55:R58" si="36">IF(P$12=0,0,P55/P$12)</f>
        <v>0</v>
      </c>
      <c r="S55" s="1"/>
      <c r="T55" s="1">
        <f>SUM(OSRRefT22_7x_0)</f>
        <v>580</v>
      </c>
      <c r="U55" s="1"/>
      <c r="V55" s="5">
        <f t="shared" ref="V55:V58" si="37">IF(T$12=0,0,T55/T$12)</f>
        <v>0</v>
      </c>
      <c r="W55" s="1"/>
      <c r="X55" s="1">
        <f t="shared" ref="X55:X58" si="38">+P55-T55</f>
        <v>-580</v>
      </c>
      <c r="Y55" s="1"/>
      <c r="Z55" s="5">
        <f t="shared" ref="Z55:Z58" si="39">IF(T55=0,0,X55/T55)</f>
        <v>-1</v>
      </c>
    </row>
    <row r="56" spans="1:26" s="24" customFormat="1" hidden="1" outlineLevel="2" x14ac:dyDescent="0.25">
      <c r="A56" s="27"/>
      <c r="B56" s="12" t="str">
        <f>CONCATENATE("          ", "6241", " - ", "OFFICE EXPENSE")</f>
        <v xml:space="preserve">          6241 - OFFICE EXPENSE</v>
      </c>
      <c r="C56" s="12"/>
      <c r="D56" s="7"/>
      <c r="E56" s="3"/>
      <c r="F56" s="8">
        <f t="shared" si="32"/>
        <v>0</v>
      </c>
      <c r="G56" s="3"/>
      <c r="H56" s="7">
        <v>150</v>
      </c>
      <c r="I56" s="3"/>
      <c r="J56" s="8">
        <f t="shared" si="33"/>
        <v>0</v>
      </c>
      <c r="K56" s="3"/>
      <c r="L56" s="7">
        <f t="shared" si="34"/>
        <v>-150</v>
      </c>
      <c r="M56" s="3"/>
      <c r="N56" s="8">
        <f t="shared" si="35"/>
        <v>-1</v>
      </c>
      <c r="O56" s="12"/>
      <c r="P56" s="7"/>
      <c r="Q56" s="3"/>
      <c r="R56" s="8">
        <f t="shared" si="36"/>
        <v>0</v>
      </c>
      <c r="S56" s="3"/>
      <c r="T56" s="7">
        <v>150</v>
      </c>
      <c r="U56" s="3"/>
      <c r="V56" s="8">
        <f t="shared" si="37"/>
        <v>0</v>
      </c>
      <c r="W56" s="3"/>
      <c r="X56" s="7">
        <f t="shared" si="38"/>
        <v>-150</v>
      </c>
      <c r="Y56" s="3"/>
      <c r="Z56" s="8">
        <f t="shared" si="39"/>
        <v>-1</v>
      </c>
    </row>
    <row r="57" spans="1:26" s="24" customFormat="1" hidden="1" outlineLevel="2" x14ac:dyDescent="0.25">
      <c r="A57" s="27"/>
      <c r="B57" s="12" t="str">
        <f>CONCATENATE("          ", "6244", " - ", "SAFETY SUPPLY EXPENSE")</f>
        <v xml:space="preserve">          6244 - SAFETY SUPPLY EXPENSE</v>
      </c>
      <c r="C57" s="12"/>
      <c r="D57" s="7"/>
      <c r="E57" s="3"/>
      <c r="F57" s="8">
        <f t="shared" si="32"/>
        <v>0</v>
      </c>
      <c r="G57" s="3"/>
      <c r="H57" s="7">
        <v>80</v>
      </c>
      <c r="I57" s="3"/>
      <c r="J57" s="8">
        <f t="shared" si="33"/>
        <v>0</v>
      </c>
      <c r="K57" s="3"/>
      <c r="L57" s="7">
        <f t="shared" si="34"/>
        <v>-80</v>
      </c>
      <c r="M57" s="3"/>
      <c r="N57" s="8">
        <f t="shared" si="35"/>
        <v>-1</v>
      </c>
      <c r="O57" s="12"/>
      <c r="P57" s="7"/>
      <c r="Q57" s="3"/>
      <c r="R57" s="8">
        <f t="shared" si="36"/>
        <v>0</v>
      </c>
      <c r="S57" s="3"/>
      <c r="T57" s="7">
        <v>80</v>
      </c>
      <c r="U57" s="3"/>
      <c r="V57" s="8">
        <f t="shared" si="37"/>
        <v>0</v>
      </c>
      <c r="W57" s="3"/>
      <c r="X57" s="7">
        <f t="shared" si="38"/>
        <v>-80</v>
      </c>
      <c r="Y57" s="3"/>
      <c r="Z57" s="8">
        <f t="shared" si="39"/>
        <v>-1</v>
      </c>
    </row>
    <row r="58" spans="1:26" s="24" customFormat="1" hidden="1" outlineLevel="2" x14ac:dyDescent="0.25">
      <c r="A58" s="27"/>
      <c r="B58" s="12" t="str">
        <f>CONCATENATE("          ", "6248", " - ", "UNIFORMS")</f>
        <v xml:space="preserve">          6248 - UNIFORMS</v>
      </c>
      <c r="C58" s="12"/>
      <c r="D58" s="7"/>
      <c r="E58" s="3"/>
      <c r="F58" s="8">
        <f t="shared" si="32"/>
        <v>0</v>
      </c>
      <c r="G58" s="3"/>
      <c r="H58" s="7">
        <v>350</v>
      </c>
      <c r="I58" s="3"/>
      <c r="J58" s="8">
        <f t="shared" si="33"/>
        <v>0</v>
      </c>
      <c r="K58" s="3"/>
      <c r="L58" s="7">
        <f t="shared" si="34"/>
        <v>-350</v>
      </c>
      <c r="M58" s="3"/>
      <c r="N58" s="8">
        <f t="shared" si="35"/>
        <v>-1</v>
      </c>
      <c r="O58" s="12"/>
      <c r="P58" s="7"/>
      <c r="Q58" s="3"/>
      <c r="R58" s="8">
        <f t="shared" si="36"/>
        <v>0</v>
      </c>
      <c r="S58" s="3"/>
      <c r="T58" s="7">
        <v>350</v>
      </c>
      <c r="U58" s="3"/>
      <c r="V58" s="8">
        <f t="shared" si="37"/>
        <v>0</v>
      </c>
      <c r="W58" s="3"/>
      <c r="X58" s="7">
        <f t="shared" si="38"/>
        <v>-350</v>
      </c>
      <c r="Y58" s="3"/>
      <c r="Z58" s="8">
        <f t="shared" si="39"/>
        <v>-1</v>
      </c>
    </row>
    <row r="59" spans="1:26" s="29" customFormat="1" outlineLevel="1" collapsed="1" x14ac:dyDescent="0.25">
      <c r="A59" s="28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SUM(OSRRefD22_8x_0)</f>
        <v>259</v>
      </c>
      <c r="E59" s="1"/>
      <c r="F59" s="5">
        <f t="shared" ref="F59:F61" si="40">IF(D$12=0,0,D59/D$12)</f>
        <v>0</v>
      </c>
      <c r="G59" s="1"/>
      <c r="H59" s="1">
        <f>SUM(OSRRefH22_8x_0)</f>
        <v>310</v>
      </c>
      <c r="I59" s="1"/>
      <c r="J59" s="5">
        <f t="shared" ref="J59:J61" si="41">IF(H$12=0,0,H59/H$12)</f>
        <v>0</v>
      </c>
      <c r="K59" s="1"/>
      <c r="L59" s="1">
        <f t="shared" ref="L59:L61" si="42">+D59-H59</f>
        <v>-51</v>
      </c>
      <c r="M59" s="1"/>
      <c r="N59" s="5">
        <f t="shared" ref="N59:N61" si="43">IF(H59=0,0,L59/H59)</f>
        <v>-0.16451612903225807</v>
      </c>
      <c r="O59" s="14"/>
      <c r="P59" s="1">
        <f>SUM(OSRRefP22_8x_0)</f>
        <v>259</v>
      </c>
      <c r="Q59" s="1"/>
      <c r="R59" s="5">
        <f t="shared" ref="R59:R61" si="44">IF(P$12=0,0,P59/P$12)</f>
        <v>0</v>
      </c>
      <c r="S59" s="1"/>
      <c r="T59" s="1">
        <f>SUM(OSRRefT22_8x_0)</f>
        <v>310</v>
      </c>
      <c r="U59" s="1"/>
      <c r="V59" s="5">
        <f t="shared" ref="V59:V61" si="45">IF(T$12=0,0,T59/T$12)</f>
        <v>0</v>
      </c>
      <c r="W59" s="1"/>
      <c r="X59" s="1">
        <f t="shared" ref="X59:X61" si="46">+P59-T59</f>
        <v>-51</v>
      </c>
      <c r="Y59" s="1"/>
      <c r="Z59" s="5">
        <f t="shared" ref="Z59:Z61" si="47">IF(T59=0,0,X59/T59)</f>
        <v>-0.16451612903225807</v>
      </c>
    </row>
    <row r="60" spans="1:26" s="24" customFormat="1" hidden="1" outlineLevel="2" x14ac:dyDescent="0.25">
      <c r="A60" s="27"/>
      <c r="B60" s="12" t="str">
        <f>CONCATENATE("          ", "6303", " - ", "DATA PHONE LINES")</f>
        <v xml:space="preserve">          6303 - DATA PHONE LINES</v>
      </c>
      <c r="C60" s="12"/>
      <c r="D60" s="7"/>
      <c r="E60" s="3"/>
      <c r="F60" s="8">
        <f t="shared" si="40"/>
        <v>0</v>
      </c>
      <c r="G60" s="3"/>
      <c r="H60" s="7">
        <v>310</v>
      </c>
      <c r="I60" s="3"/>
      <c r="J60" s="8">
        <f t="shared" si="41"/>
        <v>0</v>
      </c>
      <c r="K60" s="3"/>
      <c r="L60" s="7">
        <f t="shared" si="42"/>
        <v>-310</v>
      </c>
      <c r="M60" s="3"/>
      <c r="N60" s="8">
        <f t="shared" si="43"/>
        <v>-1</v>
      </c>
      <c r="O60" s="12"/>
      <c r="P60" s="7"/>
      <c r="Q60" s="3"/>
      <c r="R60" s="8">
        <f t="shared" si="44"/>
        <v>0</v>
      </c>
      <c r="S60" s="3"/>
      <c r="T60" s="7">
        <v>310</v>
      </c>
      <c r="U60" s="3"/>
      <c r="V60" s="8">
        <f t="shared" si="45"/>
        <v>0</v>
      </c>
      <c r="W60" s="3"/>
      <c r="X60" s="7">
        <f t="shared" si="46"/>
        <v>-310</v>
      </c>
      <c r="Y60" s="3"/>
      <c r="Z60" s="8">
        <f t="shared" si="47"/>
        <v>-1</v>
      </c>
    </row>
    <row r="61" spans="1:26" s="24" customFormat="1" hidden="1" outlineLevel="2" x14ac:dyDescent="0.25">
      <c r="A61" s="27"/>
      <c r="B61" s="12" t="str">
        <f>CONCATENATE("          ", "6309", " - ", "TELEPHONE")</f>
        <v xml:space="preserve">          6309 - TELEPHONE</v>
      </c>
      <c r="C61" s="12"/>
      <c r="D61" s="7">
        <v>259</v>
      </c>
      <c r="E61" s="3"/>
      <c r="F61" s="8">
        <f t="shared" si="40"/>
        <v>0</v>
      </c>
      <c r="G61" s="3"/>
      <c r="H61" s="7"/>
      <c r="I61" s="3"/>
      <c r="J61" s="8">
        <f t="shared" si="41"/>
        <v>0</v>
      </c>
      <c r="K61" s="3"/>
      <c r="L61" s="7">
        <f t="shared" si="42"/>
        <v>259</v>
      </c>
      <c r="M61" s="3"/>
      <c r="N61" s="8">
        <f t="shared" si="43"/>
        <v>0</v>
      </c>
      <c r="O61" s="12"/>
      <c r="P61" s="7">
        <v>259</v>
      </c>
      <c r="Q61" s="3"/>
      <c r="R61" s="8">
        <f t="shared" si="44"/>
        <v>0</v>
      </c>
      <c r="S61" s="3"/>
      <c r="T61" s="7"/>
      <c r="U61" s="3"/>
      <c r="V61" s="8">
        <f t="shared" si="45"/>
        <v>0</v>
      </c>
      <c r="W61" s="3"/>
      <c r="X61" s="7">
        <f t="shared" si="46"/>
        <v>259</v>
      </c>
      <c r="Y61" s="3"/>
      <c r="Z61" s="8">
        <f t="shared" si="47"/>
        <v>0</v>
      </c>
    </row>
    <row r="62" spans="1:26" s="54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2" customFormat="1" x14ac:dyDescent="0.25">
      <c r="A63" s="10"/>
      <c r="B63" s="26" t="s">
        <v>0</v>
      </c>
      <c r="C63" s="10"/>
      <c r="D63" s="4">
        <f>SUM(0)</f>
        <v>0</v>
      </c>
      <c r="E63" s="4"/>
      <c r="F63" s="11">
        <f>IF(D$12=0,0,D63/D$12)</f>
        <v>0</v>
      </c>
      <c r="G63" s="4"/>
      <c r="H63" s="4">
        <f>SUM(0)</f>
        <v>0</v>
      </c>
      <c r="I63" s="4"/>
      <c r="J63" s="11">
        <f>IF(H$12=0,0,H63/H$12)</f>
        <v>0</v>
      </c>
      <c r="K63" s="4"/>
      <c r="L63" s="4">
        <f>+D63-H63</f>
        <v>0</v>
      </c>
      <c r="M63" s="4"/>
      <c r="N63" s="11">
        <f>IF(H63=0,0,L63/H63)</f>
        <v>0</v>
      </c>
      <c r="O63" s="10"/>
      <c r="P63" s="4">
        <f>SUM(0)</f>
        <v>0</v>
      </c>
      <c r="Q63" s="4"/>
      <c r="R63" s="11">
        <f>IF(P$12=0,0,P63/P$12)</f>
        <v>0</v>
      </c>
      <c r="S63" s="4"/>
      <c r="T63" s="4">
        <f>SUM(0)</f>
        <v>0</v>
      </c>
      <c r="U63" s="4"/>
      <c r="V63" s="11">
        <f>IF(T$12=0,0,T63/T$12)</f>
        <v>0</v>
      </c>
      <c r="W63" s="4"/>
      <c r="X63" s="4">
        <f>+P63-T63</f>
        <v>0</v>
      </c>
      <c r="Y63" s="4"/>
      <c r="Z63" s="11">
        <f>IF(T63=0,0,X63/T63)</f>
        <v>0</v>
      </c>
    </row>
    <row r="64" spans="1:26" x14ac:dyDescent="0.25">
      <c r="A64" s="9"/>
      <c r="B64" s="10"/>
      <c r="C64" s="10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10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2" customFormat="1" x14ac:dyDescent="0.25">
      <c r="A65" s="10"/>
      <c r="B65" s="25" t="s">
        <v>3</v>
      </c>
      <c r="C65" s="25"/>
      <c r="D65" s="21">
        <f>+D16-D18+D63</f>
        <v>-64552.840000000004</v>
      </c>
      <c r="E65" s="13"/>
      <c r="F65" s="20">
        <f>IF(D$12=0,0,D65/D$12)</f>
        <v>0</v>
      </c>
      <c r="G65" s="13"/>
      <c r="H65" s="21">
        <f>+H16-H18+H63</f>
        <v>-97429.103880961527</v>
      </c>
      <c r="I65" s="13"/>
      <c r="J65" s="20">
        <f>IF(H$12=0,0,H65/H$12)</f>
        <v>0</v>
      </c>
      <c r="K65" s="15"/>
      <c r="L65" s="21">
        <f>+D65-H65</f>
        <v>32876.263880961524</v>
      </c>
      <c r="M65" s="15"/>
      <c r="N65" s="20">
        <f>IF(H65=0,0,L65/H65)</f>
        <v>-0.33743781448641469</v>
      </c>
      <c r="O65" s="26"/>
      <c r="P65" s="21">
        <f>+P16-P18+P63</f>
        <v>-64552.840000000004</v>
      </c>
      <c r="Q65" s="13"/>
      <c r="R65" s="20">
        <f>IF(P$12=0,0,P65/P$12)</f>
        <v>0</v>
      </c>
      <c r="S65" s="13"/>
      <c r="T65" s="21">
        <f>+T16-T18+T63</f>
        <v>-97429.103880961527</v>
      </c>
      <c r="U65" s="13"/>
      <c r="V65" s="20">
        <f>IF(T$12=0,0,T65/T$12)</f>
        <v>0</v>
      </c>
      <c r="W65" s="15"/>
      <c r="X65" s="21">
        <f>+P65-T65</f>
        <v>32876.263880961524</v>
      </c>
      <c r="Y65" s="15"/>
      <c r="Z65" s="20">
        <f>IF(T65=0,0,X65/T65)</f>
        <v>-0.33743781448641469</v>
      </c>
    </row>
    <row r="66" spans="1:26" x14ac:dyDescent="0.25">
      <c r="A66" s="9"/>
      <c r="B66" s="10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2" customFormat="1" x14ac:dyDescent="0.25">
      <c r="A67" s="52"/>
      <c r="B67" s="10" t="s">
        <v>14</v>
      </c>
      <c r="C67" s="10"/>
      <c r="D67" s="4"/>
      <c r="E67" s="4"/>
      <c r="F67" s="11">
        <f>IF(D$12=0,0,D67/D$12)</f>
        <v>0</v>
      </c>
      <c r="G67" s="4"/>
      <c r="H67" s="4">
        <v>0</v>
      </c>
      <c r="I67" s="4"/>
      <c r="J67" s="11">
        <f>IF(H$12=0,0,H67/H$12)</f>
        <v>0</v>
      </c>
      <c r="K67" s="4"/>
      <c r="L67" s="4">
        <f>+D67-H67</f>
        <v>0</v>
      </c>
      <c r="M67" s="4"/>
      <c r="N67" s="11">
        <f>IF(H67=0,0,L67/H67)</f>
        <v>0</v>
      </c>
      <c r="O67" s="10"/>
      <c r="P67" s="4"/>
      <c r="Q67" s="4"/>
      <c r="R67" s="11">
        <f>IF(P$12=0,0,P67/P$12)</f>
        <v>0</v>
      </c>
      <c r="S67" s="4"/>
      <c r="T67" s="4">
        <v>0</v>
      </c>
      <c r="U67" s="4"/>
      <c r="V67" s="11">
        <f>IF(T$12=0,0,T67/T$12)</f>
        <v>0</v>
      </c>
      <c r="W67" s="4"/>
      <c r="X67" s="4">
        <f>+P67-T67</f>
        <v>0</v>
      </c>
      <c r="Y67" s="4"/>
      <c r="Z67" s="11">
        <f>IF(T67=0,0,X67/T67)</f>
        <v>0</v>
      </c>
    </row>
    <row r="68" spans="1:26" x14ac:dyDescent="0.25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2" customFormat="1" ht="15.75" thickBot="1" x14ac:dyDescent="0.3">
      <c r="A69" s="10"/>
      <c r="B69" s="25" t="s">
        <v>4</v>
      </c>
      <c r="C69" s="25"/>
      <c r="D69" s="34">
        <f>+D65-D67</f>
        <v>-64552.840000000004</v>
      </c>
      <c r="E69" s="13"/>
      <c r="F69" s="30">
        <f>IF(D$12=0,0,D69/D$12)</f>
        <v>0</v>
      </c>
      <c r="G69" s="13"/>
      <c r="H69" s="34">
        <f>+H65-H67</f>
        <v>-97429.103880961527</v>
      </c>
      <c r="I69" s="13"/>
      <c r="J69" s="30">
        <f>IF(H$12=0,0,H69/H$12)</f>
        <v>0</v>
      </c>
      <c r="K69" s="15"/>
      <c r="L69" s="34">
        <f>D69-H69</f>
        <v>32876.263880961524</v>
      </c>
      <c r="M69" s="15"/>
      <c r="N69" s="30">
        <f>IF(H69=0,0,L69/H69)</f>
        <v>-0.33743781448641469</v>
      </c>
      <c r="O69" s="26"/>
      <c r="P69" s="34">
        <f>+P65-P67</f>
        <v>-64552.840000000004</v>
      </c>
      <c r="Q69" s="13"/>
      <c r="R69" s="30">
        <f>IF(P$12=0,0,P69/P$12)</f>
        <v>0</v>
      </c>
      <c r="S69" s="13"/>
      <c r="T69" s="34">
        <f>+T65-T67</f>
        <v>-97429.103880961527</v>
      </c>
      <c r="U69" s="13"/>
      <c r="V69" s="30">
        <f>IF(T$12=0,0,T69/T$12)</f>
        <v>0</v>
      </c>
      <c r="W69" s="15"/>
      <c r="X69" s="34">
        <f>P69-T69</f>
        <v>32876.263880961524</v>
      </c>
      <c r="Y69" s="15"/>
      <c r="Z69" s="30">
        <f>IF(T69=0,0,X69/T69)</f>
        <v>-0.33743781448641469</v>
      </c>
    </row>
    <row r="70" spans="1:26" ht="15.75" thickTop="1" x14ac:dyDescent="0.25">
      <c r="A70" s="9"/>
      <c r="B70" s="9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x14ac:dyDescent="0.25">
      <c r="A71" s="9"/>
      <c r="B71" s="9"/>
      <c r="C71" s="9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2" customFormat="1" ht="15.75" thickBot="1" x14ac:dyDescent="0.3">
      <c r="A72" s="10"/>
      <c r="B72" s="25" t="s">
        <v>5</v>
      </c>
      <c r="C72" s="25"/>
      <c r="D72" s="32">
        <f>SUM(D69:D71)</f>
        <v>-64552.840000000004</v>
      </c>
      <c r="E72" s="13"/>
      <c r="F72" s="33">
        <f>IF(D$12=0,0,D72/D$12)</f>
        <v>0</v>
      </c>
      <c r="G72" s="13"/>
      <c r="H72" s="32">
        <f>SUM(H69:H71)</f>
        <v>-97429.103880961527</v>
      </c>
      <c r="I72" s="13"/>
      <c r="J72" s="33">
        <f>IF(H$12=0,0,H72/H$12)</f>
        <v>0</v>
      </c>
      <c r="K72" s="15"/>
      <c r="L72" s="32">
        <f>+D72-H72</f>
        <v>32876.263880961524</v>
      </c>
      <c r="M72" s="15"/>
      <c r="N72" s="33">
        <f>IF(H72=0,0,L72/H72)</f>
        <v>-0.33743781448641469</v>
      </c>
      <c r="O72" s="26"/>
      <c r="P72" s="32">
        <f>SUM(P69:P71)</f>
        <v>-64552.840000000004</v>
      </c>
      <c r="Q72" s="13"/>
      <c r="R72" s="33">
        <f>IF(P$12=0,0,P72/P$12)</f>
        <v>0</v>
      </c>
      <c r="S72" s="13"/>
      <c r="T72" s="32">
        <f>SUM(T69:T71)</f>
        <v>-97429.103880961527</v>
      </c>
      <c r="U72" s="13"/>
      <c r="V72" s="33">
        <f>IF(T$12=0,0,T72/T$12)</f>
        <v>0</v>
      </c>
      <c r="W72" s="15"/>
      <c r="X72" s="32">
        <f>+P72-T72</f>
        <v>32876.263880961524</v>
      </c>
      <c r="Y72" s="15"/>
      <c r="Z72" s="33">
        <f>IF(T72=0,0,X72/T72)</f>
        <v>-0.33743781448641469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8">
        <v>44104.686514502311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56" t="s">
        <v>314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62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","450", " - ", "Beachside Dining Hall")</f>
        <v>Department 450 - Beachside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x14ac:dyDescent="0.25">
      <c r="A12" s="10"/>
      <c r="B12" s="26" t="s">
        <v>7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2" customFormat="1" x14ac:dyDescent="0.25">
      <c r="A14" s="10"/>
      <c r="B14" s="26" t="s">
        <v>8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2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6" t="s">
        <v>9</v>
      </c>
      <c r="C18" s="10"/>
      <c r="D18" s="19">
        <f>SUM(OSRRefD22x_0)</f>
        <v>40360.14</v>
      </c>
      <c r="E18" s="19"/>
      <c r="F18" s="31">
        <f t="shared" ref="F18:F29" si="0">IF(D$12=0,0,D18/D$12)</f>
        <v>0</v>
      </c>
      <c r="G18" s="19"/>
      <c r="H18" s="19">
        <f>SUM(OSRRefH22x_0)</f>
        <v>81726.488494484554</v>
      </c>
      <c r="I18" s="19"/>
      <c r="J18" s="31">
        <f t="shared" ref="J18:J29" si="1">IF(H$12=0,0,H18/H$12)</f>
        <v>0</v>
      </c>
      <c r="K18" s="4"/>
      <c r="L18" s="19">
        <f t="shared" ref="L18:L29" si="2">+D18-H18</f>
        <v>-41366.348494484555</v>
      </c>
      <c r="M18" s="4"/>
      <c r="N18" s="31">
        <f t="shared" ref="N18:N29" si="3">IF(H18=0,0,L18/H18)</f>
        <v>-0.50615595086134446</v>
      </c>
      <c r="O18" s="10"/>
      <c r="P18" s="19">
        <f>SUM(OSRRefP22x_0)</f>
        <v>40360.14</v>
      </c>
      <c r="Q18" s="19"/>
      <c r="R18" s="31">
        <f t="shared" ref="R18:R29" si="4">IF(P$12=0,0,P18/P$12)</f>
        <v>0</v>
      </c>
      <c r="S18" s="19"/>
      <c r="T18" s="19">
        <f>SUM(OSRRefT22x_0)</f>
        <v>81726.488494484554</v>
      </c>
      <c r="U18" s="19"/>
      <c r="V18" s="31">
        <f t="shared" ref="V18:V29" si="5">IF(T$12=0,0,T18/T$12)</f>
        <v>0</v>
      </c>
      <c r="W18" s="4"/>
      <c r="X18" s="19">
        <f t="shared" ref="X18:X29" si="6">+P18-T18</f>
        <v>-41366.348494484555</v>
      </c>
      <c r="Y18" s="4"/>
      <c r="Z18" s="31">
        <f t="shared" ref="Z18:Z29" si="7">IF(T18=0,0,X18/T18)</f>
        <v>-0.50615595086134446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19179.73</v>
      </c>
      <c r="E19" s="1"/>
      <c r="F19" s="5">
        <f t="shared" si="0"/>
        <v>0</v>
      </c>
      <c r="G19" s="1"/>
      <c r="H19" s="1">
        <f>SUM(OSRRefH22_0x_0)</f>
        <v>33247.566671407651</v>
      </c>
      <c r="I19" s="1"/>
      <c r="J19" s="5">
        <f t="shared" si="1"/>
        <v>0</v>
      </c>
      <c r="K19" s="1"/>
      <c r="L19" s="1">
        <f t="shared" si="2"/>
        <v>-14067.836671407651</v>
      </c>
      <c r="M19" s="1"/>
      <c r="N19" s="5">
        <f t="shared" si="3"/>
        <v>-0.42312379761330787</v>
      </c>
      <c r="O19" s="14"/>
      <c r="P19" s="1">
        <f>SUM(OSRRefP22_0x_0)</f>
        <v>19179.73</v>
      </c>
      <c r="Q19" s="1"/>
      <c r="R19" s="5">
        <f t="shared" si="4"/>
        <v>0</v>
      </c>
      <c r="S19" s="1"/>
      <c r="T19" s="1">
        <f>SUM(OSRRefT22_0x_0)</f>
        <v>33247.566671407651</v>
      </c>
      <c r="U19" s="1"/>
      <c r="V19" s="5">
        <f t="shared" si="5"/>
        <v>0</v>
      </c>
      <c r="W19" s="1"/>
      <c r="X19" s="1">
        <f t="shared" si="6"/>
        <v>-14067.836671407651</v>
      </c>
      <c r="Y19" s="1"/>
      <c r="Z19" s="5">
        <f t="shared" si="7"/>
        <v>-0.42312379761330787</v>
      </c>
    </row>
    <row r="20" spans="1:26" s="24" customFormat="1" hidden="1" outlineLevel="2" x14ac:dyDescent="0.25">
      <c r="A20" s="27"/>
      <c r="B20" s="12" t="str">
        <f>CONCATENATE("          ", "6111", " - ", "F.I.C.A.")</f>
        <v xml:space="preserve">          6111 - F.I.C.A.</v>
      </c>
      <c r="C20" s="12"/>
      <c r="D20" s="7">
        <v>1327.41</v>
      </c>
      <c r="E20" s="3"/>
      <c r="F20" s="8">
        <f t="shared" si="0"/>
        <v>0</v>
      </c>
      <c r="G20" s="3"/>
      <c r="H20" s="7">
        <v>3297.1691287153799</v>
      </c>
      <c r="I20" s="3"/>
      <c r="J20" s="8">
        <f t="shared" si="1"/>
        <v>0</v>
      </c>
      <c r="K20" s="3"/>
      <c r="L20" s="7">
        <f t="shared" si="2"/>
        <v>-1969.7591287153798</v>
      </c>
      <c r="M20" s="3"/>
      <c r="N20" s="8">
        <f t="shared" si="3"/>
        <v>-0.59740918703882917</v>
      </c>
      <c r="O20" s="12"/>
      <c r="P20" s="7">
        <v>1327.41</v>
      </c>
      <c r="Q20" s="3"/>
      <c r="R20" s="8">
        <f t="shared" si="4"/>
        <v>0</v>
      </c>
      <c r="S20" s="3"/>
      <c r="T20" s="7">
        <v>3297.1691287153799</v>
      </c>
      <c r="U20" s="3"/>
      <c r="V20" s="8">
        <f t="shared" si="5"/>
        <v>0</v>
      </c>
      <c r="W20" s="3"/>
      <c r="X20" s="7">
        <f t="shared" si="6"/>
        <v>-1969.7591287153798</v>
      </c>
      <c r="Y20" s="3"/>
      <c r="Z20" s="8">
        <f t="shared" si="7"/>
        <v>-0.59740918703882917</v>
      </c>
    </row>
    <row r="21" spans="1:26" s="24" customFormat="1" hidden="1" outlineLevel="2" x14ac:dyDescent="0.25">
      <c r="A21" s="27"/>
      <c r="B21" s="12" t="str">
        <f>CONCATENATE("          ", "6112", " - ", "COMPENSATION INSURANCE")</f>
        <v xml:space="preserve">          6112 - COMPENSATION INSURANCE</v>
      </c>
      <c r="C21" s="12"/>
      <c r="D21" s="7">
        <v>727.63</v>
      </c>
      <c r="E21" s="3"/>
      <c r="F21" s="8">
        <f t="shared" si="0"/>
        <v>0</v>
      </c>
      <c r="G21" s="3"/>
      <c r="H21" s="7">
        <v>1848.2759129999999</v>
      </c>
      <c r="I21" s="3"/>
      <c r="J21" s="8">
        <f t="shared" si="1"/>
        <v>0</v>
      </c>
      <c r="K21" s="3"/>
      <c r="L21" s="7">
        <f t="shared" si="2"/>
        <v>-1120.6459129999998</v>
      </c>
      <c r="M21" s="3"/>
      <c r="N21" s="8">
        <f t="shared" si="3"/>
        <v>-0.60631960040048405</v>
      </c>
      <c r="O21" s="12"/>
      <c r="P21" s="7">
        <v>727.63</v>
      </c>
      <c r="Q21" s="3"/>
      <c r="R21" s="8">
        <f t="shared" si="4"/>
        <v>0</v>
      </c>
      <c r="S21" s="3"/>
      <c r="T21" s="7">
        <v>1848.2759129999999</v>
      </c>
      <c r="U21" s="3"/>
      <c r="V21" s="8">
        <f t="shared" si="5"/>
        <v>0</v>
      </c>
      <c r="W21" s="3"/>
      <c r="X21" s="7">
        <f t="shared" si="6"/>
        <v>-1120.6459129999998</v>
      </c>
      <c r="Y21" s="3"/>
      <c r="Z21" s="8">
        <f t="shared" si="7"/>
        <v>-0.60631960040048405</v>
      </c>
    </row>
    <row r="22" spans="1:26" s="24" customFormat="1" hidden="1" outlineLevel="2" x14ac:dyDescent="0.25">
      <c r="A22" s="27"/>
      <c r="B22" s="12" t="str">
        <f>CONCATENATE("          ", "6113", " - ", "GROUP INSURANCE")</f>
        <v xml:space="preserve">          6113 - GROUP INSURANCE</v>
      </c>
      <c r="C22" s="12"/>
      <c r="D22" s="7">
        <v>12616.96</v>
      </c>
      <c r="E22" s="3"/>
      <c r="F22" s="8">
        <f t="shared" si="0"/>
        <v>0</v>
      </c>
      <c r="G22" s="3"/>
      <c r="H22" s="7">
        <v>23148.461538461499</v>
      </c>
      <c r="I22" s="3"/>
      <c r="J22" s="8">
        <f t="shared" si="1"/>
        <v>0</v>
      </c>
      <c r="K22" s="3"/>
      <c r="L22" s="7">
        <f t="shared" si="2"/>
        <v>-10531.5015384615</v>
      </c>
      <c r="M22" s="3"/>
      <c r="N22" s="8">
        <f t="shared" si="3"/>
        <v>-0.45495470707473412</v>
      </c>
      <c r="O22" s="12"/>
      <c r="P22" s="7">
        <v>12616.96</v>
      </c>
      <c r="Q22" s="3"/>
      <c r="R22" s="8">
        <f t="shared" si="4"/>
        <v>0</v>
      </c>
      <c r="S22" s="3"/>
      <c r="T22" s="7">
        <v>23148.461538461499</v>
      </c>
      <c r="U22" s="3"/>
      <c r="V22" s="8">
        <f t="shared" si="5"/>
        <v>0</v>
      </c>
      <c r="W22" s="3"/>
      <c r="X22" s="7">
        <f t="shared" si="6"/>
        <v>-10531.5015384615</v>
      </c>
      <c r="Y22" s="3"/>
      <c r="Z22" s="8">
        <f t="shared" si="7"/>
        <v>-0.45495470707473412</v>
      </c>
    </row>
    <row r="23" spans="1:26" s="24" customFormat="1" hidden="1" outlineLevel="2" x14ac:dyDescent="0.25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7">
        <v>48.13</v>
      </c>
      <c r="E23" s="3"/>
      <c r="F23" s="8">
        <f t="shared" si="0"/>
        <v>0</v>
      </c>
      <c r="G23" s="3"/>
      <c r="H23" s="7">
        <v>112.016722</v>
      </c>
      <c r="I23" s="3"/>
      <c r="J23" s="8">
        <f t="shared" si="1"/>
        <v>0</v>
      </c>
      <c r="K23" s="3"/>
      <c r="L23" s="7">
        <f t="shared" si="2"/>
        <v>-63.886721999999999</v>
      </c>
      <c r="M23" s="3"/>
      <c r="N23" s="8">
        <f t="shared" si="3"/>
        <v>-0.57033200810857509</v>
      </c>
      <c r="O23" s="12"/>
      <c r="P23" s="7">
        <v>48.13</v>
      </c>
      <c r="Q23" s="3"/>
      <c r="R23" s="8">
        <f t="shared" si="4"/>
        <v>0</v>
      </c>
      <c r="S23" s="3"/>
      <c r="T23" s="7">
        <v>112.016722</v>
      </c>
      <c r="U23" s="3"/>
      <c r="V23" s="8">
        <f t="shared" si="5"/>
        <v>0</v>
      </c>
      <c r="W23" s="3"/>
      <c r="X23" s="7">
        <f t="shared" si="6"/>
        <v>-63.886721999999999</v>
      </c>
      <c r="Y23" s="3"/>
      <c r="Z23" s="8">
        <f t="shared" si="7"/>
        <v>-0.57033200810857509</v>
      </c>
    </row>
    <row r="24" spans="1:26" s="24" customFormat="1" hidden="1" outlineLevel="2" x14ac:dyDescent="0.25">
      <c r="A24" s="27"/>
      <c r="B24" s="12" t="str">
        <f>CONCATENATE("          ", "6115", " - ", "P.E.R.S.")</f>
        <v xml:space="preserve">          6115 - P.E.R.S.</v>
      </c>
      <c r="C24" s="12"/>
      <c r="D24" s="7">
        <v>727.6</v>
      </c>
      <c r="E24" s="3"/>
      <c r="F24" s="8">
        <f t="shared" si="0"/>
        <v>0</v>
      </c>
      <c r="G24" s="3"/>
      <c r="H24" s="7">
        <v>1010.2105769230799</v>
      </c>
      <c r="I24" s="3"/>
      <c r="J24" s="8">
        <f t="shared" si="1"/>
        <v>0</v>
      </c>
      <c r="K24" s="3"/>
      <c r="L24" s="7">
        <f t="shared" si="2"/>
        <v>-282.61057692307986</v>
      </c>
      <c r="M24" s="3"/>
      <c r="N24" s="8">
        <f t="shared" si="3"/>
        <v>-0.27975412590101856</v>
      </c>
      <c r="O24" s="12"/>
      <c r="P24" s="7">
        <v>727.6</v>
      </c>
      <c r="Q24" s="3"/>
      <c r="R24" s="8">
        <f t="shared" si="4"/>
        <v>0</v>
      </c>
      <c r="S24" s="3"/>
      <c r="T24" s="7">
        <v>1010.2105769230799</v>
      </c>
      <c r="U24" s="3"/>
      <c r="V24" s="8">
        <f t="shared" si="5"/>
        <v>0</v>
      </c>
      <c r="W24" s="3"/>
      <c r="X24" s="7">
        <f t="shared" si="6"/>
        <v>-282.61057692307986</v>
      </c>
      <c r="Y24" s="3"/>
      <c r="Z24" s="8">
        <f t="shared" si="7"/>
        <v>-0.27975412590101856</v>
      </c>
    </row>
    <row r="25" spans="1:26" s="24" customFormat="1" hidden="1" outlineLevel="2" x14ac:dyDescent="0.25">
      <c r="A25" s="27"/>
      <c r="B25" s="12" t="str">
        <f>CONCATENATE("          ", "6116", " - ", 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24" customFormat="1" hidden="1" outlineLevel="2" x14ac:dyDescent="0.25">
      <c r="A26" s="27"/>
      <c r="B26" s="12" t="str">
        <f>CONCATENATE("          ", "6117", " - ", "RETIREMENT STAFF HOURLY")</f>
        <v xml:space="preserve">          6117 - RETIREMENT STAFF HOURLY</v>
      </c>
      <c r="C26" s="12"/>
      <c r="D26" s="7">
        <v>691.86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691.86</v>
      </c>
      <c r="M26" s="3"/>
      <c r="N26" s="8">
        <f t="shared" si="3"/>
        <v>0</v>
      </c>
      <c r="O26" s="12"/>
      <c r="P26" s="7">
        <v>691.86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691.86</v>
      </c>
      <c r="Y26" s="3"/>
      <c r="Z26" s="8">
        <f t="shared" si="7"/>
        <v>0</v>
      </c>
    </row>
    <row r="27" spans="1:26" s="24" customFormat="1" hidden="1" outlineLevel="2" x14ac:dyDescent="0.25">
      <c r="A27" s="27"/>
      <c r="B27" s="12" t="str">
        <f>CONCATENATE("          ", "6118", " - ", "VACATION")</f>
        <v xml:space="preserve">          6118 - VACATION</v>
      </c>
      <c r="C27" s="12"/>
      <c r="D27" s="7">
        <v>1199.6199999999999</v>
      </c>
      <c r="E27" s="3"/>
      <c r="F27" s="8">
        <f t="shared" si="0"/>
        <v>0</v>
      </c>
      <c r="G27" s="3"/>
      <c r="H27" s="7">
        <v>2428.9994615384599</v>
      </c>
      <c r="I27" s="3"/>
      <c r="J27" s="8">
        <f t="shared" si="1"/>
        <v>0</v>
      </c>
      <c r="K27" s="3"/>
      <c r="L27" s="7">
        <f t="shared" si="2"/>
        <v>-1229.37946153846</v>
      </c>
      <c r="M27" s="3"/>
      <c r="N27" s="8">
        <f t="shared" si="3"/>
        <v>-0.50612586828644479</v>
      </c>
      <c r="O27" s="12"/>
      <c r="P27" s="7">
        <v>1199.6199999999999</v>
      </c>
      <c r="Q27" s="3"/>
      <c r="R27" s="8">
        <f t="shared" si="4"/>
        <v>0</v>
      </c>
      <c r="S27" s="3"/>
      <c r="T27" s="7">
        <v>2428.9994615384599</v>
      </c>
      <c r="U27" s="3"/>
      <c r="V27" s="8">
        <f t="shared" si="5"/>
        <v>0</v>
      </c>
      <c r="W27" s="3"/>
      <c r="X27" s="7">
        <f t="shared" si="6"/>
        <v>-1229.37946153846</v>
      </c>
      <c r="Y27" s="3"/>
      <c r="Z27" s="8">
        <f t="shared" si="7"/>
        <v>-0.50612586828644479</v>
      </c>
    </row>
    <row r="28" spans="1:26" s="24" customFormat="1" hidden="1" outlineLevel="2" x14ac:dyDescent="0.25">
      <c r="A28" s="27"/>
      <c r="B28" s="12" t="str">
        <f>CONCATENATE("          ", "6119", " - ", "SICK LEAVE")</f>
        <v xml:space="preserve">          6119 - SICK LEAVE</v>
      </c>
      <c r="C28" s="12"/>
      <c r="D28" s="7">
        <v>946.52</v>
      </c>
      <c r="E28" s="3"/>
      <c r="F28" s="8">
        <f t="shared" si="0"/>
        <v>0</v>
      </c>
      <c r="G28" s="3"/>
      <c r="H28" s="7">
        <v>1402.43333076923</v>
      </c>
      <c r="I28" s="3"/>
      <c r="J28" s="8">
        <f t="shared" si="1"/>
        <v>0</v>
      </c>
      <c r="K28" s="3"/>
      <c r="L28" s="7">
        <f t="shared" si="2"/>
        <v>-455.91333076923001</v>
      </c>
      <c r="M28" s="3"/>
      <c r="N28" s="8">
        <f t="shared" si="3"/>
        <v>-0.32508734694658398</v>
      </c>
      <c r="O28" s="12"/>
      <c r="P28" s="7">
        <v>946.52</v>
      </c>
      <c r="Q28" s="3"/>
      <c r="R28" s="8">
        <f t="shared" si="4"/>
        <v>0</v>
      </c>
      <c r="S28" s="3"/>
      <c r="T28" s="7">
        <v>1402.43333076923</v>
      </c>
      <c r="U28" s="3"/>
      <c r="V28" s="8">
        <f t="shared" si="5"/>
        <v>0</v>
      </c>
      <c r="W28" s="3"/>
      <c r="X28" s="7">
        <f t="shared" si="6"/>
        <v>-455.91333076923001</v>
      </c>
      <c r="Y28" s="3"/>
      <c r="Z28" s="8">
        <f t="shared" si="7"/>
        <v>-0.32508734694658398</v>
      </c>
    </row>
    <row r="29" spans="1:26" s="24" customFormat="1" hidden="1" outlineLevel="2" x14ac:dyDescent="0.25">
      <c r="A29" s="27"/>
      <c r="B29" s="12" t="str">
        <f>CONCATENATE("          ", "6156", " - ", "EMPLOYEE MEALS")</f>
        <v xml:space="preserve">          6156 - EMPLOYEE MEALS</v>
      </c>
      <c r="C29" s="12"/>
      <c r="D29" s="7">
        <v>894</v>
      </c>
      <c r="E29" s="3"/>
      <c r="F29" s="8">
        <f t="shared" si="0"/>
        <v>0</v>
      </c>
      <c r="G29" s="3"/>
      <c r="H29" s="7"/>
      <c r="I29" s="3"/>
      <c r="J29" s="8">
        <f t="shared" si="1"/>
        <v>0</v>
      </c>
      <c r="K29" s="3"/>
      <c r="L29" s="7">
        <f t="shared" si="2"/>
        <v>894</v>
      </c>
      <c r="M29" s="3"/>
      <c r="N29" s="8">
        <f t="shared" si="3"/>
        <v>0</v>
      </c>
      <c r="O29" s="12"/>
      <c r="P29" s="7">
        <v>894</v>
      </c>
      <c r="Q29" s="3"/>
      <c r="R29" s="8">
        <f t="shared" si="4"/>
        <v>0</v>
      </c>
      <c r="S29" s="3"/>
      <c r="T29" s="7"/>
      <c r="U29" s="3"/>
      <c r="V29" s="8">
        <f t="shared" si="5"/>
        <v>0</v>
      </c>
      <c r="W29" s="3"/>
      <c r="X29" s="7">
        <f t="shared" si="6"/>
        <v>894</v>
      </c>
      <c r="Y29" s="3"/>
      <c r="Z29" s="8">
        <f t="shared" si="7"/>
        <v>0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18743.3</v>
      </c>
      <c r="E30" s="1"/>
      <c r="F30" s="5">
        <f t="shared" ref="F30:F40" si="8">IF(D$12=0,0,D30/D$12)</f>
        <v>0</v>
      </c>
      <c r="G30" s="1"/>
      <c r="H30" s="1">
        <f>SUM(OSRRefH22_1x_0)</f>
        <v>39251.921823076904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-20508.621823076905</v>
      </c>
      <c r="M30" s="1"/>
      <c r="N30" s="5">
        <f t="shared" ref="N30:N40" si="11">IF(H30=0,0,L30/H30)</f>
        <v>-0.52248707504098613</v>
      </c>
      <c r="O30" s="14"/>
      <c r="P30" s="1">
        <f>SUM(OSRRefP22_1x_0)</f>
        <v>18743.3</v>
      </c>
      <c r="Q30" s="1"/>
      <c r="R30" s="5">
        <f t="shared" ref="R30:R40" si="12">IF(P$12=0,0,P30/P$12)</f>
        <v>0</v>
      </c>
      <c r="S30" s="1"/>
      <c r="T30" s="1">
        <f>SUM(OSRRefT22_1x_0)</f>
        <v>39251.921823076904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-20508.621823076905</v>
      </c>
      <c r="Y30" s="1"/>
      <c r="Z30" s="5">
        <f t="shared" ref="Z30:Z40" si="15">IF(T30=0,0,X30/T30)</f>
        <v>-0.52248707504098613</v>
      </c>
    </row>
    <row r="31" spans="1:26" s="24" customFormat="1" hidden="1" outlineLevel="2" x14ac:dyDescent="0.25">
      <c r="A31" s="27"/>
      <c r="B31" s="12" t="str">
        <f>CONCATENATE("          ", "6001", " - ", "ADMINISTRATIVE SALARIES")</f>
        <v xml:space="preserve">          6001 - ADMINISTRATIVE SALARIES</v>
      </c>
      <c r="C31" s="12"/>
      <c r="D31" s="7"/>
      <c r="E31" s="3"/>
      <c r="F31" s="8">
        <f t="shared" si="8"/>
        <v>0</v>
      </c>
      <c r="G31" s="3"/>
      <c r="H31" s="7">
        <v>0</v>
      </c>
      <c r="I31" s="3"/>
      <c r="J31" s="8">
        <f t="shared" si="9"/>
        <v>0</v>
      </c>
      <c r="K31" s="3"/>
      <c r="L31" s="7">
        <f t="shared" si="10"/>
        <v>0</v>
      </c>
      <c r="M31" s="3"/>
      <c r="N31" s="8">
        <f t="shared" si="11"/>
        <v>0</v>
      </c>
      <c r="O31" s="12"/>
      <c r="P31" s="7"/>
      <c r="Q31" s="3"/>
      <c r="R31" s="8">
        <f t="shared" si="12"/>
        <v>0</v>
      </c>
      <c r="S31" s="3"/>
      <c r="T31" s="7">
        <v>0</v>
      </c>
      <c r="U31" s="3"/>
      <c r="V31" s="8">
        <f t="shared" si="13"/>
        <v>0</v>
      </c>
      <c r="W31" s="3"/>
      <c r="X31" s="7">
        <f t="shared" si="14"/>
        <v>0</v>
      </c>
      <c r="Y31" s="3"/>
      <c r="Z31" s="8">
        <f t="shared" si="15"/>
        <v>0</v>
      </c>
    </row>
    <row r="32" spans="1:26" s="24" customFormat="1" hidden="1" outlineLevel="2" x14ac:dyDescent="0.25">
      <c r="A32" s="27"/>
      <c r="B32" s="12" t="str">
        <f>CONCATENATE("          ", "6002", " - ", "STAFF SALARIES")</f>
        <v xml:space="preserve">          6002 - STAFF SALARIES</v>
      </c>
      <c r="C32" s="12"/>
      <c r="D32" s="7">
        <v>4836.72</v>
      </c>
      <c r="E32" s="3"/>
      <c r="F32" s="8">
        <f t="shared" si="8"/>
        <v>0</v>
      </c>
      <c r="G32" s="3"/>
      <c r="H32" s="7">
        <v>10422.1394230769</v>
      </c>
      <c r="I32" s="3"/>
      <c r="J32" s="8">
        <f t="shared" si="9"/>
        <v>0</v>
      </c>
      <c r="K32" s="3"/>
      <c r="L32" s="7">
        <f t="shared" si="10"/>
        <v>-5585.4194230768999</v>
      </c>
      <c r="M32" s="3"/>
      <c r="N32" s="8">
        <f t="shared" si="11"/>
        <v>-0.53591870117468943</v>
      </c>
      <c r="O32" s="12"/>
      <c r="P32" s="7">
        <v>4836.72</v>
      </c>
      <c r="Q32" s="3"/>
      <c r="R32" s="8">
        <f t="shared" si="12"/>
        <v>0</v>
      </c>
      <c r="S32" s="3"/>
      <c r="T32" s="7">
        <v>10422.1394230769</v>
      </c>
      <c r="U32" s="3"/>
      <c r="V32" s="8">
        <f t="shared" si="13"/>
        <v>0</v>
      </c>
      <c r="W32" s="3"/>
      <c r="X32" s="7">
        <f t="shared" si="14"/>
        <v>-5585.4194230768999</v>
      </c>
      <c r="Y32" s="3"/>
      <c r="Z32" s="8">
        <f t="shared" si="15"/>
        <v>-0.53591870117468943</v>
      </c>
    </row>
    <row r="33" spans="1:26" s="24" customFormat="1" hidden="1" outlineLevel="2" x14ac:dyDescent="0.25">
      <c r="A33" s="27"/>
      <c r="B33" s="12" t="str">
        <f>CONCATENATE("          ", "6003", " - ", "STAFF HOURLY-9 MONTH")</f>
        <v xml:space="preserve">          6003 - STAFF HOURLY-9 MONTH</v>
      </c>
      <c r="C33" s="12"/>
      <c r="D33" s="7"/>
      <c r="E33" s="3"/>
      <c r="F33" s="8">
        <f t="shared" si="8"/>
        <v>0</v>
      </c>
      <c r="G33" s="3"/>
      <c r="H33" s="7">
        <v>0</v>
      </c>
      <c r="I33" s="3"/>
      <c r="J33" s="8">
        <f t="shared" si="9"/>
        <v>0</v>
      </c>
      <c r="K33" s="3"/>
      <c r="L33" s="7">
        <f t="shared" si="10"/>
        <v>0</v>
      </c>
      <c r="M33" s="3"/>
      <c r="N33" s="8">
        <f t="shared" si="11"/>
        <v>0</v>
      </c>
      <c r="O33" s="12"/>
      <c r="P33" s="7"/>
      <c r="Q33" s="3"/>
      <c r="R33" s="8">
        <f t="shared" si="12"/>
        <v>0</v>
      </c>
      <c r="S33" s="3"/>
      <c r="T33" s="7">
        <v>0</v>
      </c>
      <c r="U33" s="3"/>
      <c r="V33" s="8">
        <f t="shared" si="13"/>
        <v>0</v>
      </c>
      <c r="W33" s="3"/>
      <c r="X33" s="7">
        <f t="shared" si="14"/>
        <v>0</v>
      </c>
      <c r="Y33" s="3"/>
      <c r="Z33" s="8">
        <f t="shared" si="15"/>
        <v>0</v>
      </c>
    </row>
    <row r="34" spans="1:26" s="24" customFormat="1" hidden="1" outlineLevel="2" x14ac:dyDescent="0.25">
      <c r="A34" s="27"/>
      <c r="B34" s="12" t="str">
        <f>CONCATENATE("          ", "6004", " - ", "STAFF HOURLY")</f>
        <v xml:space="preserve">          6004 - STAFF HOURLY</v>
      </c>
      <c r="C34" s="12"/>
      <c r="D34" s="7">
        <v>10493.58</v>
      </c>
      <c r="E34" s="3"/>
      <c r="F34" s="8">
        <f t="shared" si="8"/>
        <v>0</v>
      </c>
      <c r="G34" s="3"/>
      <c r="H34" s="7">
        <v>28829.7824</v>
      </c>
      <c r="I34" s="3"/>
      <c r="J34" s="8">
        <f t="shared" si="9"/>
        <v>0</v>
      </c>
      <c r="K34" s="3"/>
      <c r="L34" s="7">
        <f t="shared" si="10"/>
        <v>-18336.202400000002</v>
      </c>
      <c r="M34" s="3"/>
      <c r="N34" s="8">
        <f t="shared" si="11"/>
        <v>-0.63601598324932218</v>
      </c>
      <c r="O34" s="12"/>
      <c r="P34" s="7">
        <v>10493.58</v>
      </c>
      <c r="Q34" s="3"/>
      <c r="R34" s="8">
        <f t="shared" si="12"/>
        <v>0</v>
      </c>
      <c r="S34" s="3"/>
      <c r="T34" s="7">
        <v>28829.7824</v>
      </c>
      <c r="U34" s="3"/>
      <c r="V34" s="8">
        <f t="shared" si="13"/>
        <v>0</v>
      </c>
      <c r="W34" s="3"/>
      <c r="X34" s="7">
        <f t="shared" si="14"/>
        <v>-18336.202400000002</v>
      </c>
      <c r="Y34" s="3"/>
      <c r="Z34" s="8">
        <f t="shared" si="15"/>
        <v>-0.63601598324932218</v>
      </c>
    </row>
    <row r="35" spans="1:26" s="24" customFormat="1" hidden="1" outlineLevel="2" x14ac:dyDescent="0.25">
      <c r="A35" s="27"/>
      <c r="B35" s="12" t="str">
        <f>CONCATENATE("          ", "6005", " - ", "TEMPORARY WAGES-HOURLY")</f>
        <v xml:space="preserve">          6005 - TEMPORARY WAGES-HOURLY</v>
      </c>
      <c r="C35" s="12"/>
      <c r="D35" s="7"/>
      <c r="E35" s="3"/>
      <c r="F35" s="8">
        <f t="shared" si="8"/>
        <v>0</v>
      </c>
      <c r="G35" s="3"/>
      <c r="H35" s="7">
        <v>0</v>
      </c>
      <c r="I35" s="3"/>
      <c r="J35" s="8">
        <f t="shared" si="9"/>
        <v>0</v>
      </c>
      <c r="K35" s="3"/>
      <c r="L35" s="7">
        <f t="shared" si="10"/>
        <v>0</v>
      </c>
      <c r="M35" s="3"/>
      <c r="N35" s="8">
        <f t="shared" si="11"/>
        <v>0</v>
      </c>
      <c r="O35" s="12"/>
      <c r="P35" s="7"/>
      <c r="Q35" s="3"/>
      <c r="R35" s="8">
        <f t="shared" si="12"/>
        <v>0</v>
      </c>
      <c r="S35" s="3"/>
      <c r="T35" s="7">
        <v>0</v>
      </c>
      <c r="U35" s="3"/>
      <c r="V35" s="8">
        <f t="shared" si="13"/>
        <v>0</v>
      </c>
      <c r="W35" s="3"/>
      <c r="X35" s="7">
        <f t="shared" si="14"/>
        <v>0</v>
      </c>
      <c r="Y35" s="3"/>
      <c r="Z35" s="8">
        <f t="shared" si="15"/>
        <v>0</v>
      </c>
    </row>
    <row r="36" spans="1:26" s="24" customFormat="1" hidden="1" outlineLevel="2" x14ac:dyDescent="0.25">
      <c r="A36" s="27"/>
      <c r="B36" s="12" t="str">
        <f>CONCATENATE("          ", "6006", " - ", "TEMPORARY PART TIME")</f>
        <v xml:space="preserve">          6006 - TEMPORARY PART TIME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24" customFormat="1" hidden="1" outlineLevel="2" x14ac:dyDescent="0.25">
      <c r="A37" s="27"/>
      <c r="B37" s="12" t="str">
        <f>CONCATENATE("          ", "6007", " - ", "STUDENT HOURLY")</f>
        <v xml:space="preserve">          6007 - STUDENT HOURLY</v>
      </c>
      <c r="C37" s="12"/>
      <c r="D37" s="7">
        <v>3413</v>
      </c>
      <c r="E37" s="3"/>
      <c r="F37" s="8">
        <f t="shared" si="8"/>
        <v>0</v>
      </c>
      <c r="G37" s="3"/>
      <c r="H37" s="7">
        <v>0</v>
      </c>
      <c r="I37" s="3"/>
      <c r="J37" s="8">
        <f t="shared" si="9"/>
        <v>0</v>
      </c>
      <c r="K37" s="3"/>
      <c r="L37" s="7">
        <f t="shared" si="10"/>
        <v>3413</v>
      </c>
      <c r="M37" s="3"/>
      <c r="N37" s="8">
        <f t="shared" si="11"/>
        <v>0</v>
      </c>
      <c r="O37" s="12"/>
      <c r="P37" s="7">
        <v>3413</v>
      </c>
      <c r="Q37" s="3"/>
      <c r="R37" s="8">
        <f t="shared" si="12"/>
        <v>0</v>
      </c>
      <c r="S37" s="3"/>
      <c r="T37" s="7">
        <v>0</v>
      </c>
      <c r="U37" s="3"/>
      <c r="V37" s="8">
        <f t="shared" si="13"/>
        <v>0</v>
      </c>
      <c r="W37" s="3"/>
      <c r="X37" s="7">
        <f t="shared" si="14"/>
        <v>3413</v>
      </c>
      <c r="Y37" s="3"/>
      <c r="Z37" s="8">
        <f t="shared" si="15"/>
        <v>0</v>
      </c>
    </row>
    <row r="38" spans="1:26" s="24" customFormat="1" hidden="1" outlineLevel="2" x14ac:dyDescent="0.25">
      <c r="A38" s="27"/>
      <c r="B38" s="12" t="str">
        <f>CONCATENATE("          ", "6008", " - ", "STUDENT HOURLY-FICA EXEMPT")</f>
        <v xml:space="preserve">          6008 - STUDENT HOURLY-FICA EXEMPT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24" customFormat="1" hidden="1" outlineLevel="2" x14ac:dyDescent="0.25">
      <c r="A39" s="27"/>
      <c r="B39" s="12" t="str">
        <f>CONCATENATE("          ", "6009", " - ", "TEMPORARY-SEASONAL")</f>
        <v xml:space="preserve">          6009 - TEMPORARY-SEASONAL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24" customFormat="1" hidden="1" outlineLevel="2" x14ac:dyDescent="0.25">
      <c r="A40" s="27"/>
      <c r="B40" s="12" t="str">
        <f>CONCATENATE("          ", "6010", " - ", "GRATUITY")</f>
        <v xml:space="preserve">          6010 - GRATUITY</v>
      </c>
      <c r="C40" s="12"/>
      <c r="D40" s="7"/>
      <c r="E40" s="3"/>
      <c r="F40" s="8">
        <f t="shared" si="8"/>
        <v>0</v>
      </c>
      <c r="G40" s="3"/>
      <c r="H40" s="7">
        <v>0</v>
      </c>
      <c r="I40" s="3"/>
      <c r="J40" s="8">
        <f t="shared" si="9"/>
        <v>0</v>
      </c>
      <c r="K40" s="3"/>
      <c r="L40" s="7">
        <f t="shared" si="10"/>
        <v>0</v>
      </c>
      <c r="M40" s="3"/>
      <c r="N40" s="8">
        <f t="shared" si="11"/>
        <v>0</v>
      </c>
      <c r="O40" s="12"/>
      <c r="P40" s="7"/>
      <c r="Q40" s="3"/>
      <c r="R40" s="8">
        <f t="shared" si="12"/>
        <v>0</v>
      </c>
      <c r="S40" s="3"/>
      <c r="T40" s="7">
        <v>0</v>
      </c>
      <c r="U40" s="3"/>
      <c r="V40" s="8">
        <f t="shared" si="13"/>
        <v>0</v>
      </c>
      <c r="W40" s="3"/>
      <c r="X40" s="7">
        <f t="shared" si="14"/>
        <v>0</v>
      </c>
      <c r="Y40" s="3"/>
      <c r="Z40" s="8">
        <f t="shared" si="15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4" si="16">IF(D$12=0,0,D41/D$12)</f>
        <v>0</v>
      </c>
      <c r="G41" s="1"/>
      <c r="H41" s="1">
        <f>SUM(OSRRefH22_2x_0)</f>
        <v>300</v>
      </c>
      <c r="I41" s="1"/>
      <c r="J41" s="5">
        <f t="shared" ref="J41:J54" si="17">IF(H$12=0,0,H41/H$12)</f>
        <v>0</v>
      </c>
      <c r="K41" s="1"/>
      <c r="L41" s="1">
        <f t="shared" ref="L41:L54" si="18">+D41-H41</f>
        <v>-300</v>
      </c>
      <c r="M41" s="1"/>
      <c r="N41" s="5">
        <f t="shared" ref="N41:N54" si="19">IF(H41=0,0,L41/H41)</f>
        <v>-1</v>
      </c>
      <c r="O41" s="14"/>
      <c r="P41" s="1">
        <f>SUM(OSRRefP22_2x_0)</f>
        <v>0</v>
      </c>
      <c r="Q41" s="1"/>
      <c r="R41" s="5">
        <f t="shared" ref="R41:R54" si="20">IF(P$12=0,0,P41/P$12)</f>
        <v>0</v>
      </c>
      <c r="S41" s="1"/>
      <c r="T41" s="1">
        <f>SUM(OSRRefT22_2x_0)</f>
        <v>300</v>
      </c>
      <c r="U41" s="1"/>
      <c r="V41" s="5">
        <f t="shared" ref="V41:V54" si="21">IF(T$12=0,0,T41/T$12)</f>
        <v>0</v>
      </c>
      <c r="W41" s="1"/>
      <c r="X41" s="1">
        <f t="shared" ref="X41:X54" si="22">+P41-T41</f>
        <v>-300</v>
      </c>
      <c r="Y41" s="1"/>
      <c r="Z41" s="5">
        <f t="shared" ref="Z41:Z54" si="23">IF(T41=0,0,X41/T41)</f>
        <v>-1</v>
      </c>
    </row>
    <row r="42" spans="1:26" s="24" customFormat="1" hidden="1" outlineLevel="2" x14ac:dyDescent="0.25">
      <c r="A42" s="27"/>
      <c r="B42" s="12" t="str">
        <f>CONCATENATE("          ", "6362", " - ", "ADVERTISING EXPENSE")</f>
        <v xml:space="preserve">          6362 - ADVERTISING EXPENSE</v>
      </c>
      <c r="C42" s="12"/>
      <c r="D42" s="7"/>
      <c r="E42" s="3"/>
      <c r="F42" s="8">
        <f t="shared" si="16"/>
        <v>0</v>
      </c>
      <c r="G42" s="3"/>
      <c r="H42" s="7">
        <v>300</v>
      </c>
      <c r="I42" s="3"/>
      <c r="J42" s="8">
        <f t="shared" si="17"/>
        <v>0</v>
      </c>
      <c r="K42" s="3"/>
      <c r="L42" s="7">
        <f t="shared" si="18"/>
        <v>-300</v>
      </c>
      <c r="M42" s="3"/>
      <c r="N42" s="8">
        <f t="shared" si="19"/>
        <v>-1</v>
      </c>
      <c r="O42" s="12"/>
      <c r="P42" s="7"/>
      <c r="Q42" s="3"/>
      <c r="R42" s="8">
        <f t="shared" si="20"/>
        <v>0</v>
      </c>
      <c r="S42" s="3"/>
      <c r="T42" s="7">
        <v>300</v>
      </c>
      <c r="U42" s="3"/>
      <c r="V42" s="8">
        <f t="shared" si="21"/>
        <v>0</v>
      </c>
      <c r="W42" s="3"/>
      <c r="X42" s="7">
        <f t="shared" si="22"/>
        <v>-300</v>
      </c>
      <c r="Y42" s="3"/>
      <c r="Z42" s="8">
        <f t="shared" si="23"/>
        <v>-1</v>
      </c>
    </row>
    <row r="43" spans="1:26" s="29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213.02</v>
      </c>
      <c r="E43" s="1"/>
      <c r="F43" s="5">
        <f t="shared" si="16"/>
        <v>0</v>
      </c>
      <c r="G43" s="1"/>
      <c r="H43" s="1">
        <f>SUM(OSRRefH22_3x_0)</f>
        <v>213</v>
      </c>
      <c r="I43" s="1"/>
      <c r="J43" s="5">
        <f t="shared" si="17"/>
        <v>0</v>
      </c>
      <c r="K43" s="1"/>
      <c r="L43" s="1">
        <f t="shared" si="18"/>
        <v>2.0000000000010232E-2</v>
      </c>
      <c r="M43" s="1"/>
      <c r="N43" s="5">
        <f t="shared" si="19"/>
        <v>9.3896713615071505E-5</v>
      </c>
      <c r="O43" s="14"/>
      <c r="P43" s="1">
        <f>SUM(OSRRefP22_3x_0)</f>
        <v>213.02</v>
      </c>
      <c r="Q43" s="1"/>
      <c r="R43" s="5">
        <f t="shared" si="20"/>
        <v>0</v>
      </c>
      <c r="S43" s="1"/>
      <c r="T43" s="1">
        <f>SUM(OSRRefT22_3x_0)</f>
        <v>213</v>
      </c>
      <c r="U43" s="1"/>
      <c r="V43" s="5">
        <f t="shared" si="21"/>
        <v>0</v>
      </c>
      <c r="W43" s="1"/>
      <c r="X43" s="1">
        <f t="shared" si="22"/>
        <v>2.0000000000010232E-2</v>
      </c>
      <c r="Y43" s="1"/>
      <c r="Z43" s="5">
        <f t="shared" si="23"/>
        <v>9.3896713615071505E-5</v>
      </c>
    </row>
    <row r="44" spans="1:26" s="24" customFormat="1" hidden="1" outlineLevel="2" x14ac:dyDescent="0.25">
      <c r="A44" s="27"/>
      <c r="B44" s="12" t="str">
        <f>CONCATENATE("          ", "6322", " - ", "EQUIPMENT DEPRECIATION EXPENSE")</f>
        <v xml:space="preserve">          6322 - EQUIPMENT DEPRECIATION EXPENSE</v>
      </c>
      <c r="C44" s="12"/>
      <c r="D44" s="7">
        <v>213.02</v>
      </c>
      <c r="E44" s="3"/>
      <c r="F44" s="8">
        <f t="shared" si="16"/>
        <v>0</v>
      </c>
      <c r="G44" s="3"/>
      <c r="H44" s="7">
        <v>213</v>
      </c>
      <c r="I44" s="3"/>
      <c r="J44" s="8">
        <f t="shared" si="17"/>
        <v>0</v>
      </c>
      <c r="K44" s="3"/>
      <c r="L44" s="7">
        <f t="shared" si="18"/>
        <v>2.0000000000010232E-2</v>
      </c>
      <c r="M44" s="3"/>
      <c r="N44" s="8">
        <f t="shared" si="19"/>
        <v>9.3896713615071505E-5</v>
      </c>
      <c r="O44" s="12"/>
      <c r="P44" s="7">
        <v>213.02</v>
      </c>
      <c r="Q44" s="3"/>
      <c r="R44" s="8">
        <f t="shared" si="20"/>
        <v>0</v>
      </c>
      <c r="S44" s="3"/>
      <c r="T44" s="7">
        <v>213</v>
      </c>
      <c r="U44" s="3"/>
      <c r="V44" s="8">
        <f t="shared" si="21"/>
        <v>0</v>
      </c>
      <c r="W44" s="3"/>
      <c r="X44" s="7">
        <f t="shared" si="22"/>
        <v>2.0000000000010232E-2</v>
      </c>
      <c r="Y44" s="3"/>
      <c r="Z44" s="8">
        <f t="shared" si="23"/>
        <v>9.3896713615071505E-5</v>
      </c>
    </row>
    <row r="45" spans="1:26" s="29" customFormat="1" outlineLevel="1" collapsed="1" x14ac:dyDescent="0.25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SUM(OSRRefD22_4x_0)</f>
        <v>1439.55</v>
      </c>
      <c r="E45" s="1"/>
      <c r="F45" s="5">
        <f t="shared" si="16"/>
        <v>0</v>
      </c>
      <c r="G45" s="1"/>
      <c r="H45" s="1">
        <f>SUM(OSRRefH22_4x_0)</f>
        <v>1600</v>
      </c>
      <c r="I45" s="1"/>
      <c r="J45" s="5">
        <f t="shared" si="17"/>
        <v>0</v>
      </c>
      <c r="K45" s="1"/>
      <c r="L45" s="1">
        <f t="shared" si="18"/>
        <v>-160.45000000000005</v>
      </c>
      <c r="M45" s="1"/>
      <c r="N45" s="5">
        <f t="shared" si="19"/>
        <v>-0.10028125000000003</v>
      </c>
      <c r="O45" s="14"/>
      <c r="P45" s="1">
        <f>SUM(OSRRefP22_4x_0)</f>
        <v>1439.55</v>
      </c>
      <c r="Q45" s="1"/>
      <c r="R45" s="5">
        <f t="shared" si="20"/>
        <v>0</v>
      </c>
      <c r="S45" s="1"/>
      <c r="T45" s="1">
        <f>SUM(OSRRefT22_4x_0)</f>
        <v>1600</v>
      </c>
      <c r="U45" s="1"/>
      <c r="V45" s="5">
        <f t="shared" si="21"/>
        <v>0</v>
      </c>
      <c r="W45" s="1"/>
      <c r="X45" s="1">
        <f t="shared" si="22"/>
        <v>-160.45000000000005</v>
      </c>
      <c r="Y45" s="1"/>
      <c r="Z45" s="5">
        <f t="shared" si="23"/>
        <v>-0.10028125000000003</v>
      </c>
    </row>
    <row r="46" spans="1:26" s="24" customFormat="1" hidden="1" outlineLevel="2" x14ac:dyDescent="0.25">
      <c r="A46" s="27"/>
      <c r="B46" s="12" t="str">
        <f>CONCATENATE("          ", "6279", " - ", "GENERAL EXPENSE")</f>
        <v xml:space="preserve">          6279 - GENERAL EXPENSE</v>
      </c>
      <c r="C46" s="12"/>
      <c r="D46" s="7">
        <v>1439.55</v>
      </c>
      <c r="E46" s="3"/>
      <c r="F46" s="8">
        <f t="shared" si="16"/>
        <v>0</v>
      </c>
      <c r="G46" s="3"/>
      <c r="H46" s="7">
        <v>1600</v>
      </c>
      <c r="I46" s="3"/>
      <c r="J46" s="8">
        <f t="shared" si="17"/>
        <v>0</v>
      </c>
      <c r="K46" s="3"/>
      <c r="L46" s="7">
        <f t="shared" si="18"/>
        <v>-160.45000000000005</v>
      </c>
      <c r="M46" s="3"/>
      <c r="N46" s="8">
        <f t="shared" si="19"/>
        <v>-0.10028125000000003</v>
      </c>
      <c r="O46" s="12"/>
      <c r="P46" s="7">
        <v>1439.55</v>
      </c>
      <c r="Q46" s="3"/>
      <c r="R46" s="8">
        <f t="shared" si="20"/>
        <v>0</v>
      </c>
      <c r="S46" s="3"/>
      <c r="T46" s="7">
        <v>1600</v>
      </c>
      <c r="U46" s="3"/>
      <c r="V46" s="8">
        <f t="shared" si="21"/>
        <v>0</v>
      </c>
      <c r="W46" s="3"/>
      <c r="X46" s="7">
        <f t="shared" si="22"/>
        <v>-160.45000000000005</v>
      </c>
      <c r="Y46" s="3"/>
      <c r="Z46" s="8">
        <f t="shared" si="23"/>
        <v>-0.10028125000000003</v>
      </c>
    </row>
    <row r="47" spans="1:26" s="29" customFormat="1" outlineLevel="1" collapsed="1" x14ac:dyDescent="0.25">
      <c r="A47" s="28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SUM(OSRRefD22_5x_0)</f>
        <v>5.9</v>
      </c>
      <c r="E47" s="1"/>
      <c r="F47" s="5">
        <f t="shared" si="16"/>
        <v>0</v>
      </c>
      <c r="G47" s="1"/>
      <c r="H47" s="1">
        <f>SUM(OSRRefH22_5x_0)</f>
        <v>7</v>
      </c>
      <c r="I47" s="1"/>
      <c r="J47" s="5">
        <f t="shared" si="17"/>
        <v>0</v>
      </c>
      <c r="K47" s="1"/>
      <c r="L47" s="1">
        <f t="shared" si="18"/>
        <v>-1.0999999999999996</v>
      </c>
      <c r="M47" s="1"/>
      <c r="N47" s="5">
        <f t="shared" si="19"/>
        <v>-0.15714285714285708</v>
      </c>
      <c r="O47" s="14"/>
      <c r="P47" s="1">
        <f>SUM(OSRRefP22_5x_0)</f>
        <v>5.9</v>
      </c>
      <c r="Q47" s="1"/>
      <c r="R47" s="5">
        <f t="shared" si="20"/>
        <v>0</v>
      </c>
      <c r="S47" s="1"/>
      <c r="T47" s="1">
        <f>SUM(OSRRefT22_5x_0)</f>
        <v>7</v>
      </c>
      <c r="U47" s="1"/>
      <c r="V47" s="5">
        <f t="shared" si="21"/>
        <v>0</v>
      </c>
      <c r="W47" s="1"/>
      <c r="X47" s="1">
        <f t="shared" si="22"/>
        <v>-1.0999999999999996</v>
      </c>
      <c r="Y47" s="1"/>
      <c r="Z47" s="5">
        <f t="shared" si="23"/>
        <v>-0.15714285714285708</v>
      </c>
    </row>
    <row r="48" spans="1:26" s="24" customFormat="1" hidden="1" outlineLevel="2" x14ac:dyDescent="0.25">
      <c r="A48" s="27"/>
      <c r="B48" s="12" t="str">
        <f>CONCATENATE("          ", "6314", " - ", "LIABILITY INSURANCE")</f>
        <v xml:space="preserve">          6314 - LIABILITY INSURANCE</v>
      </c>
      <c r="C48" s="12"/>
      <c r="D48" s="7">
        <v>5.9</v>
      </c>
      <c r="E48" s="3"/>
      <c r="F48" s="8">
        <f t="shared" si="16"/>
        <v>0</v>
      </c>
      <c r="G48" s="3"/>
      <c r="H48" s="7">
        <v>7</v>
      </c>
      <c r="I48" s="3"/>
      <c r="J48" s="8">
        <f t="shared" si="17"/>
        <v>0</v>
      </c>
      <c r="K48" s="3"/>
      <c r="L48" s="7">
        <f t="shared" si="18"/>
        <v>-1.0999999999999996</v>
      </c>
      <c r="M48" s="3"/>
      <c r="N48" s="8">
        <f t="shared" si="19"/>
        <v>-0.15714285714285708</v>
      </c>
      <c r="O48" s="12"/>
      <c r="P48" s="7">
        <v>5.9</v>
      </c>
      <c r="Q48" s="3"/>
      <c r="R48" s="8">
        <f t="shared" si="20"/>
        <v>0</v>
      </c>
      <c r="S48" s="3"/>
      <c r="T48" s="7">
        <v>7</v>
      </c>
      <c r="U48" s="3"/>
      <c r="V48" s="8">
        <f t="shared" si="21"/>
        <v>0</v>
      </c>
      <c r="W48" s="3"/>
      <c r="X48" s="7">
        <f t="shared" si="22"/>
        <v>-1.0999999999999996</v>
      </c>
      <c r="Y48" s="3"/>
      <c r="Z48" s="8">
        <f t="shared" si="23"/>
        <v>-0.15714285714285708</v>
      </c>
    </row>
    <row r="49" spans="1:26" s="29" customFormat="1" outlineLevel="1" collapsed="1" x14ac:dyDescent="0.25">
      <c r="A49" s="28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SUM(OSRRefD22_6x_0)</f>
        <v>0</v>
      </c>
      <c r="E49" s="1"/>
      <c r="F49" s="5">
        <f t="shared" si="16"/>
        <v>0</v>
      </c>
      <c r="G49" s="1"/>
      <c r="H49" s="1">
        <f>SUM(OSRRefH22_6x_0)</f>
        <v>20</v>
      </c>
      <c r="I49" s="1"/>
      <c r="J49" s="5">
        <f t="shared" si="17"/>
        <v>0</v>
      </c>
      <c r="K49" s="1"/>
      <c r="L49" s="1">
        <f t="shared" si="18"/>
        <v>-20</v>
      </c>
      <c r="M49" s="1"/>
      <c r="N49" s="5">
        <f t="shared" si="19"/>
        <v>-1</v>
      </c>
      <c r="O49" s="14"/>
      <c r="P49" s="1">
        <f>SUM(OSRRefP22_6x_0)</f>
        <v>0</v>
      </c>
      <c r="Q49" s="1"/>
      <c r="R49" s="5">
        <f t="shared" si="20"/>
        <v>0</v>
      </c>
      <c r="S49" s="1"/>
      <c r="T49" s="1">
        <f>SUM(OSRRefT22_6x_0)</f>
        <v>20</v>
      </c>
      <c r="U49" s="1"/>
      <c r="V49" s="5">
        <f t="shared" si="21"/>
        <v>0</v>
      </c>
      <c r="W49" s="1"/>
      <c r="X49" s="1">
        <f t="shared" si="22"/>
        <v>-20</v>
      </c>
      <c r="Y49" s="1"/>
      <c r="Z49" s="5">
        <f t="shared" si="23"/>
        <v>-1</v>
      </c>
    </row>
    <row r="50" spans="1:26" s="24" customFormat="1" hidden="1" outlineLevel="2" x14ac:dyDescent="0.25">
      <c r="A50" s="27"/>
      <c r="B50" s="12" t="str">
        <f>CONCATENATE("          ", "6373", " - ", "MAINTENANCE CONTRACTS")</f>
        <v xml:space="preserve">          6373 - MAINTENANCE CONTRACTS</v>
      </c>
      <c r="C50" s="12"/>
      <c r="D50" s="7"/>
      <c r="E50" s="3"/>
      <c r="F50" s="8">
        <f t="shared" si="16"/>
        <v>0</v>
      </c>
      <c r="G50" s="3"/>
      <c r="H50" s="7">
        <v>20</v>
      </c>
      <c r="I50" s="3"/>
      <c r="J50" s="8">
        <f t="shared" si="17"/>
        <v>0</v>
      </c>
      <c r="K50" s="3"/>
      <c r="L50" s="7">
        <f t="shared" si="18"/>
        <v>-20</v>
      </c>
      <c r="M50" s="3"/>
      <c r="N50" s="8">
        <f t="shared" si="19"/>
        <v>-1</v>
      </c>
      <c r="O50" s="12"/>
      <c r="P50" s="7"/>
      <c r="Q50" s="3"/>
      <c r="R50" s="8">
        <f t="shared" si="20"/>
        <v>0</v>
      </c>
      <c r="S50" s="3"/>
      <c r="T50" s="7">
        <v>20</v>
      </c>
      <c r="U50" s="3"/>
      <c r="V50" s="8">
        <f t="shared" si="21"/>
        <v>0</v>
      </c>
      <c r="W50" s="3"/>
      <c r="X50" s="7">
        <f t="shared" si="22"/>
        <v>-20</v>
      </c>
      <c r="Y50" s="3"/>
      <c r="Z50" s="8">
        <f t="shared" si="23"/>
        <v>-1</v>
      </c>
    </row>
    <row r="51" spans="1:26" s="29" customFormat="1" outlineLevel="1" collapsed="1" x14ac:dyDescent="0.25">
      <c r="A51" s="28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SUM(OSRRefD22_7x_0)</f>
        <v>669.64</v>
      </c>
      <c r="E51" s="1"/>
      <c r="F51" s="5">
        <f t="shared" si="16"/>
        <v>0</v>
      </c>
      <c r="G51" s="1"/>
      <c r="H51" s="1">
        <f>SUM(OSRRefH22_7x_0)</f>
        <v>6247</v>
      </c>
      <c r="I51" s="1"/>
      <c r="J51" s="5">
        <f t="shared" si="17"/>
        <v>0</v>
      </c>
      <c r="K51" s="1"/>
      <c r="L51" s="1">
        <f t="shared" si="18"/>
        <v>-5577.36</v>
      </c>
      <c r="M51" s="1"/>
      <c r="N51" s="5">
        <f t="shared" si="19"/>
        <v>-0.89280614695053617</v>
      </c>
      <c r="O51" s="14"/>
      <c r="P51" s="1">
        <f>SUM(OSRRefP22_7x_0)</f>
        <v>669.64</v>
      </c>
      <c r="Q51" s="1"/>
      <c r="R51" s="5">
        <f t="shared" si="20"/>
        <v>0</v>
      </c>
      <c r="S51" s="1"/>
      <c r="T51" s="1">
        <f>SUM(OSRRefT22_7x_0)</f>
        <v>6247</v>
      </c>
      <c r="U51" s="1"/>
      <c r="V51" s="5">
        <f t="shared" si="21"/>
        <v>0</v>
      </c>
      <c r="W51" s="1"/>
      <c r="X51" s="1">
        <f t="shared" si="22"/>
        <v>-5577.36</v>
      </c>
      <c r="Y51" s="1"/>
      <c r="Z51" s="5">
        <f t="shared" si="23"/>
        <v>-0.89280614695053617</v>
      </c>
    </row>
    <row r="52" spans="1:26" s="24" customFormat="1" hidden="1" outlineLevel="2" x14ac:dyDescent="0.25">
      <c r="A52" s="27"/>
      <c r="B52" s="12" t="str">
        <f>CONCATENATE("          ", "6282", " - ", "JANITORIAL/EXTERMINATOR EXPENS")</f>
        <v xml:space="preserve">          6282 - JANITORIAL/EXTERMINATOR EXPENS</v>
      </c>
      <c r="C52" s="12"/>
      <c r="D52" s="7">
        <v>669.64</v>
      </c>
      <c r="E52" s="3"/>
      <c r="F52" s="8">
        <f t="shared" si="16"/>
        <v>0</v>
      </c>
      <c r="G52" s="3"/>
      <c r="H52" s="7">
        <v>850</v>
      </c>
      <c r="I52" s="3"/>
      <c r="J52" s="8">
        <f t="shared" si="17"/>
        <v>0</v>
      </c>
      <c r="K52" s="3"/>
      <c r="L52" s="7">
        <f t="shared" si="18"/>
        <v>-180.36</v>
      </c>
      <c r="M52" s="3"/>
      <c r="N52" s="8">
        <f t="shared" si="19"/>
        <v>-0.21218823529411765</v>
      </c>
      <c r="O52" s="12"/>
      <c r="P52" s="7">
        <v>669.64</v>
      </c>
      <c r="Q52" s="3"/>
      <c r="R52" s="8">
        <f t="shared" si="20"/>
        <v>0</v>
      </c>
      <c r="S52" s="3"/>
      <c r="T52" s="7">
        <v>850</v>
      </c>
      <c r="U52" s="3"/>
      <c r="V52" s="8">
        <f t="shared" si="21"/>
        <v>0</v>
      </c>
      <c r="W52" s="3"/>
      <c r="X52" s="7">
        <f t="shared" si="22"/>
        <v>-180.36</v>
      </c>
      <c r="Y52" s="3"/>
      <c r="Z52" s="8">
        <f t="shared" si="23"/>
        <v>-0.21218823529411765</v>
      </c>
    </row>
    <row r="53" spans="1:26" s="24" customFormat="1" hidden="1" outlineLevel="2" x14ac:dyDescent="0.25">
      <c r="A53" s="27"/>
      <c r="B53" s="12" t="str">
        <f>CONCATENATE("          ", "6285", " - ", "JANITORIAL SERVICES")</f>
        <v xml:space="preserve">          6285 - JANITORIAL SERVICES</v>
      </c>
      <c r="C53" s="12"/>
      <c r="D53" s="7"/>
      <c r="E53" s="3"/>
      <c r="F53" s="8">
        <f t="shared" si="16"/>
        <v>0</v>
      </c>
      <c r="G53" s="3"/>
      <c r="H53" s="7">
        <v>3897</v>
      </c>
      <c r="I53" s="3"/>
      <c r="J53" s="8">
        <f t="shared" si="17"/>
        <v>0</v>
      </c>
      <c r="K53" s="3"/>
      <c r="L53" s="7">
        <f t="shared" si="18"/>
        <v>-3897</v>
      </c>
      <c r="M53" s="3"/>
      <c r="N53" s="8">
        <f t="shared" si="19"/>
        <v>-1</v>
      </c>
      <c r="O53" s="12"/>
      <c r="P53" s="7"/>
      <c r="Q53" s="3"/>
      <c r="R53" s="8">
        <f t="shared" si="20"/>
        <v>0</v>
      </c>
      <c r="S53" s="3"/>
      <c r="T53" s="7">
        <v>3897</v>
      </c>
      <c r="U53" s="3"/>
      <c r="V53" s="8">
        <f t="shared" si="21"/>
        <v>0</v>
      </c>
      <c r="W53" s="3"/>
      <c r="X53" s="7">
        <f t="shared" si="22"/>
        <v>-3897</v>
      </c>
      <c r="Y53" s="3"/>
      <c r="Z53" s="8">
        <f t="shared" si="23"/>
        <v>-1</v>
      </c>
    </row>
    <row r="54" spans="1:26" s="24" customFormat="1" hidden="1" outlineLevel="2" x14ac:dyDescent="0.25">
      <c r="A54" s="27"/>
      <c r="B54" s="12" t="str">
        <f>CONCATENATE("          ", "6286", " - ", "LAUNDRY EXPENSE")</f>
        <v xml:space="preserve">          6286 - LAUNDRY EXPENSE</v>
      </c>
      <c r="C54" s="12"/>
      <c r="D54" s="7"/>
      <c r="E54" s="3"/>
      <c r="F54" s="8">
        <f t="shared" si="16"/>
        <v>0</v>
      </c>
      <c r="G54" s="3"/>
      <c r="H54" s="7">
        <v>1500</v>
      </c>
      <c r="I54" s="3"/>
      <c r="J54" s="8">
        <f t="shared" si="17"/>
        <v>0</v>
      </c>
      <c r="K54" s="3"/>
      <c r="L54" s="7">
        <f t="shared" si="18"/>
        <v>-1500</v>
      </c>
      <c r="M54" s="3"/>
      <c r="N54" s="8">
        <f t="shared" si="19"/>
        <v>-1</v>
      </c>
      <c r="O54" s="12"/>
      <c r="P54" s="7"/>
      <c r="Q54" s="3"/>
      <c r="R54" s="8">
        <f t="shared" si="20"/>
        <v>0</v>
      </c>
      <c r="S54" s="3"/>
      <c r="T54" s="7">
        <v>1500</v>
      </c>
      <c r="U54" s="3"/>
      <c r="V54" s="8">
        <f t="shared" si="21"/>
        <v>0</v>
      </c>
      <c r="W54" s="3"/>
      <c r="X54" s="7">
        <f t="shared" si="22"/>
        <v>-1500</v>
      </c>
      <c r="Y54" s="3"/>
      <c r="Z54" s="8">
        <f t="shared" si="23"/>
        <v>-1</v>
      </c>
    </row>
    <row r="55" spans="1:26" s="29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SUM(OSRRefD22_8x_0)</f>
        <v>0</v>
      </c>
      <c r="E55" s="1"/>
      <c r="F55" s="5">
        <f t="shared" ref="F55:F59" si="24">IF(D$12=0,0,D55/D$12)</f>
        <v>0</v>
      </c>
      <c r="G55" s="1"/>
      <c r="H55" s="1">
        <f>SUM(OSRRefH22_8x_0)</f>
        <v>500</v>
      </c>
      <c r="I55" s="1"/>
      <c r="J55" s="5">
        <f t="shared" ref="J55:J59" si="25">IF(H$12=0,0,H55/H$12)</f>
        <v>0</v>
      </c>
      <c r="K55" s="1"/>
      <c r="L55" s="1">
        <f t="shared" ref="L55:L59" si="26">+D55-H55</f>
        <v>-500</v>
      </c>
      <c r="M55" s="1"/>
      <c r="N55" s="5">
        <f t="shared" ref="N55:N59" si="27">IF(H55=0,0,L55/H55)</f>
        <v>-1</v>
      </c>
      <c r="O55" s="14"/>
      <c r="P55" s="1">
        <f>SUM(OSRRefP22_8x_0)</f>
        <v>0</v>
      </c>
      <c r="Q55" s="1"/>
      <c r="R55" s="5">
        <f t="shared" ref="R55:R59" si="28">IF(P$12=0,0,P55/P$12)</f>
        <v>0</v>
      </c>
      <c r="S55" s="1"/>
      <c r="T55" s="1">
        <f>SUM(OSRRefT22_8x_0)</f>
        <v>500</v>
      </c>
      <c r="U55" s="1"/>
      <c r="V55" s="5">
        <f t="shared" ref="V55:V59" si="29">IF(T$12=0,0,T55/T$12)</f>
        <v>0</v>
      </c>
      <c r="W55" s="1"/>
      <c r="X55" s="1">
        <f t="shared" ref="X55:X59" si="30">+P55-T55</f>
        <v>-500</v>
      </c>
      <c r="Y55" s="1"/>
      <c r="Z55" s="5">
        <f t="shared" ref="Z55:Z59" si="31">IF(T55=0,0,X55/T55)</f>
        <v>-1</v>
      </c>
    </row>
    <row r="56" spans="1:26" s="24" customFormat="1" hidden="1" outlineLevel="2" x14ac:dyDescent="0.25">
      <c r="A56" s="27"/>
      <c r="B56" s="12" t="str">
        <f>CONCATENATE("          ", "6245", " - ", "PRINTING")</f>
        <v xml:space="preserve">          6245 - PRINTING</v>
      </c>
      <c r="C56" s="12"/>
      <c r="D56" s="7"/>
      <c r="E56" s="3"/>
      <c r="F56" s="8">
        <f t="shared" si="24"/>
        <v>0</v>
      </c>
      <c r="G56" s="3"/>
      <c r="H56" s="7">
        <v>500</v>
      </c>
      <c r="I56" s="3"/>
      <c r="J56" s="8">
        <f t="shared" si="25"/>
        <v>0</v>
      </c>
      <c r="K56" s="3"/>
      <c r="L56" s="7">
        <f t="shared" si="26"/>
        <v>-500</v>
      </c>
      <c r="M56" s="3"/>
      <c r="N56" s="8">
        <f t="shared" si="27"/>
        <v>-1</v>
      </c>
      <c r="O56" s="12"/>
      <c r="P56" s="7"/>
      <c r="Q56" s="3"/>
      <c r="R56" s="8">
        <f t="shared" si="28"/>
        <v>0</v>
      </c>
      <c r="S56" s="3"/>
      <c r="T56" s="7">
        <v>500</v>
      </c>
      <c r="U56" s="3"/>
      <c r="V56" s="8">
        <f t="shared" si="29"/>
        <v>0</v>
      </c>
      <c r="W56" s="3"/>
      <c r="X56" s="7">
        <f t="shared" si="30"/>
        <v>-500</v>
      </c>
      <c r="Y56" s="3"/>
      <c r="Z56" s="8">
        <f t="shared" si="31"/>
        <v>-1</v>
      </c>
    </row>
    <row r="57" spans="1:26" s="29" customFormat="1" outlineLevel="1" collapsed="1" x14ac:dyDescent="0.25">
      <c r="A57" s="28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SUM(OSRRefD22_9x_0)</f>
        <v>109</v>
      </c>
      <c r="E57" s="1"/>
      <c r="F57" s="5">
        <f t="shared" si="24"/>
        <v>0</v>
      </c>
      <c r="G57" s="1"/>
      <c r="H57" s="1">
        <f>SUM(OSRRefH22_9x_0)</f>
        <v>140</v>
      </c>
      <c r="I57" s="1"/>
      <c r="J57" s="5">
        <f t="shared" si="25"/>
        <v>0</v>
      </c>
      <c r="K57" s="1"/>
      <c r="L57" s="1">
        <f t="shared" si="26"/>
        <v>-31</v>
      </c>
      <c r="M57" s="1"/>
      <c r="N57" s="5">
        <f t="shared" si="27"/>
        <v>-0.22142857142857142</v>
      </c>
      <c r="O57" s="14"/>
      <c r="P57" s="1">
        <f>SUM(OSRRefP22_9x_0)</f>
        <v>109</v>
      </c>
      <c r="Q57" s="1"/>
      <c r="R57" s="5">
        <f t="shared" si="28"/>
        <v>0</v>
      </c>
      <c r="S57" s="1"/>
      <c r="T57" s="1">
        <f>SUM(OSRRefT22_9x_0)</f>
        <v>140</v>
      </c>
      <c r="U57" s="1"/>
      <c r="V57" s="5">
        <f t="shared" si="29"/>
        <v>0</v>
      </c>
      <c r="W57" s="1"/>
      <c r="X57" s="1">
        <f t="shared" si="30"/>
        <v>-31</v>
      </c>
      <c r="Y57" s="1"/>
      <c r="Z57" s="5">
        <f t="shared" si="31"/>
        <v>-0.22142857142857142</v>
      </c>
    </row>
    <row r="58" spans="1:26" s="24" customFormat="1" hidden="1" outlineLevel="2" x14ac:dyDescent="0.25">
      <c r="A58" s="27"/>
      <c r="B58" s="12" t="str">
        <f>CONCATENATE("          ", "6303", " - ", "DATA PHONE LINES")</f>
        <v xml:space="preserve">          6303 - DATA PHONE LINES</v>
      </c>
      <c r="C58" s="12"/>
      <c r="D58" s="7"/>
      <c r="E58" s="3"/>
      <c r="F58" s="8">
        <f t="shared" si="24"/>
        <v>0</v>
      </c>
      <c r="G58" s="3"/>
      <c r="H58" s="7">
        <v>140</v>
      </c>
      <c r="I58" s="3"/>
      <c r="J58" s="8">
        <f t="shared" si="25"/>
        <v>0</v>
      </c>
      <c r="K58" s="3"/>
      <c r="L58" s="7">
        <f t="shared" si="26"/>
        <v>-140</v>
      </c>
      <c r="M58" s="3"/>
      <c r="N58" s="8">
        <f t="shared" si="27"/>
        <v>-1</v>
      </c>
      <c r="O58" s="12"/>
      <c r="P58" s="7"/>
      <c r="Q58" s="3"/>
      <c r="R58" s="8">
        <f t="shared" si="28"/>
        <v>0</v>
      </c>
      <c r="S58" s="3"/>
      <c r="T58" s="7">
        <v>140</v>
      </c>
      <c r="U58" s="3"/>
      <c r="V58" s="8">
        <f t="shared" si="29"/>
        <v>0</v>
      </c>
      <c r="W58" s="3"/>
      <c r="X58" s="7">
        <f t="shared" si="30"/>
        <v>-140</v>
      </c>
      <c r="Y58" s="3"/>
      <c r="Z58" s="8">
        <f t="shared" si="31"/>
        <v>-1</v>
      </c>
    </row>
    <row r="59" spans="1:26" s="24" customFormat="1" hidden="1" outlineLevel="2" x14ac:dyDescent="0.25">
      <c r="A59" s="27"/>
      <c r="B59" s="12" t="str">
        <f>CONCATENATE("          ", "6309", " - ", "TELEPHONE")</f>
        <v xml:space="preserve">          6309 - TELEPHONE</v>
      </c>
      <c r="C59" s="12"/>
      <c r="D59" s="7">
        <v>109</v>
      </c>
      <c r="E59" s="3"/>
      <c r="F59" s="8">
        <f t="shared" si="24"/>
        <v>0</v>
      </c>
      <c r="G59" s="3"/>
      <c r="H59" s="7"/>
      <c r="I59" s="3"/>
      <c r="J59" s="8">
        <f t="shared" si="25"/>
        <v>0</v>
      </c>
      <c r="K59" s="3"/>
      <c r="L59" s="7">
        <f t="shared" si="26"/>
        <v>109</v>
      </c>
      <c r="M59" s="3"/>
      <c r="N59" s="8">
        <f t="shared" si="27"/>
        <v>0</v>
      </c>
      <c r="O59" s="12"/>
      <c r="P59" s="7">
        <v>109</v>
      </c>
      <c r="Q59" s="3"/>
      <c r="R59" s="8">
        <f t="shared" si="28"/>
        <v>0</v>
      </c>
      <c r="S59" s="3"/>
      <c r="T59" s="7"/>
      <c r="U59" s="3"/>
      <c r="V59" s="8">
        <f t="shared" si="29"/>
        <v>0</v>
      </c>
      <c r="W59" s="3"/>
      <c r="X59" s="7">
        <f t="shared" si="30"/>
        <v>109</v>
      </c>
      <c r="Y59" s="3"/>
      <c r="Z59" s="8">
        <f t="shared" si="31"/>
        <v>0</v>
      </c>
    </row>
    <row r="60" spans="1:26" s="29" customFormat="1" outlineLevel="1" collapsed="1" x14ac:dyDescent="0.25">
      <c r="A60" s="28"/>
      <c r="B60" s="14" t="str">
        <f>CONCATENATE("     ","Training                                          ")</f>
        <v xml:space="preserve">     Training                                          </v>
      </c>
      <c r="C60" s="14"/>
      <c r="D60" s="1">
        <f>SUM(OSRRefD22_10x_0)</f>
        <v>0</v>
      </c>
      <c r="E60" s="1"/>
      <c r="F60" s="5">
        <f t="shared" ref="F60:F61" si="32">IF(D$12=0,0,D60/D$12)</f>
        <v>0</v>
      </c>
      <c r="G60" s="1"/>
      <c r="H60" s="1">
        <f>SUM(OSRRefH22_10x_0)</f>
        <v>200</v>
      </c>
      <c r="I60" s="1"/>
      <c r="J60" s="5">
        <f t="shared" ref="J60:J61" si="33">IF(H$12=0,0,H60/H$12)</f>
        <v>0</v>
      </c>
      <c r="K60" s="1"/>
      <c r="L60" s="1">
        <f t="shared" ref="L60:L61" si="34">+D60-H60</f>
        <v>-200</v>
      </c>
      <c r="M60" s="1"/>
      <c r="N60" s="5">
        <f t="shared" ref="N60:N61" si="35">IF(H60=0,0,L60/H60)</f>
        <v>-1</v>
      </c>
      <c r="O60" s="14"/>
      <c r="P60" s="1">
        <f>SUM(OSRRefP22_10x_0)</f>
        <v>0</v>
      </c>
      <c r="Q60" s="1"/>
      <c r="R60" s="5">
        <f t="shared" ref="R60:R61" si="36">IF(P$12=0,0,P60/P$12)</f>
        <v>0</v>
      </c>
      <c r="S60" s="1"/>
      <c r="T60" s="1">
        <f>SUM(OSRRefT22_10x_0)</f>
        <v>200</v>
      </c>
      <c r="U60" s="1"/>
      <c r="V60" s="5">
        <f t="shared" ref="V60:V61" si="37">IF(T$12=0,0,T60/T$12)</f>
        <v>0</v>
      </c>
      <c r="W60" s="1"/>
      <c r="X60" s="1">
        <f t="shared" ref="X60:X61" si="38">+P60-T60</f>
        <v>-200</v>
      </c>
      <c r="Y60" s="1"/>
      <c r="Z60" s="5">
        <f t="shared" ref="Z60:Z61" si="39">IF(T60=0,0,X60/T60)</f>
        <v>-1</v>
      </c>
    </row>
    <row r="61" spans="1:26" s="24" customFormat="1" hidden="1" outlineLevel="2" x14ac:dyDescent="0.25">
      <c r="A61" s="27"/>
      <c r="B61" s="12" t="str">
        <f>CONCATENATE("          ", "6376", " - ", "TRAINING")</f>
        <v xml:space="preserve">          6376 - TRAINING</v>
      </c>
      <c r="C61" s="12"/>
      <c r="D61" s="7"/>
      <c r="E61" s="3"/>
      <c r="F61" s="8">
        <f t="shared" si="32"/>
        <v>0</v>
      </c>
      <c r="G61" s="3"/>
      <c r="H61" s="7">
        <v>200</v>
      </c>
      <c r="I61" s="3"/>
      <c r="J61" s="8">
        <f t="shared" si="33"/>
        <v>0</v>
      </c>
      <c r="K61" s="3"/>
      <c r="L61" s="7">
        <f t="shared" si="34"/>
        <v>-200</v>
      </c>
      <c r="M61" s="3"/>
      <c r="N61" s="8">
        <f t="shared" si="35"/>
        <v>-1</v>
      </c>
      <c r="O61" s="12"/>
      <c r="P61" s="7"/>
      <c r="Q61" s="3"/>
      <c r="R61" s="8">
        <f t="shared" si="36"/>
        <v>0</v>
      </c>
      <c r="S61" s="3"/>
      <c r="T61" s="7">
        <v>200</v>
      </c>
      <c r="U61" s="3"/>
      <c r="V61" s="8">
        <f t="shared" si="37"/>
        <v>0</v>
      </c>
      <c r="W61" s="3"/>
      <c r="X61" s="7">
        <f t="shared" si="38"/>
        <v>-200</v>
      </c>
      <c r="Y61" s="3"/>
      <c r="Z61" s="8">
        <f t="shared" si="39"/>
        <v>-1</v>
      </c>
    </row>
    <row r="62" spans="1:26" s="54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2" customFormat="1" x14ac:dyDescent="0.25">
      <c r="A63" s="10"/>
      <c r="B63" s="26" t="s">
        <v>0</v>
      </c>
      <c r="C63" s="10"/>
      <c r="D63" s="4">
        <f>SUM(0)</f>
        <v>0</v>
      </c>
      <c r="E63" s="4"/>
      <c r="F63" s="11">
        <f>IF(D$12=0,0,D63/D$12)</f>
        <v>0</v>
      </c>
      <c r="G63" s="4"/>
      <c r="H63" s="4">
        <f>SUM(0)</f>
        <v>0</v>
      </c>
      <c r="I63" s="4"/>
      <c r="J63" s="11">
        <f>IF(H$12=0,0,H63/H$12)</f>
        <v>0</v>
      </c>
      <c r="K63" s="4"/>
      <c r="L63" s="4">
        <f>+D63-H63</f>
        <v>0</v>
      </c>
      <c r="M63" s="4"/>
      <c r="N63" s="11">
        <f>IF(H63=0,0,L63/H63)</f>
        <v>0</v>
      </c>
      <c r="O63" s="10"/>
      <c r="P63" s="4">
        <f>SUM(0)</f>
        <v>0</v>
      </c>
      <c r="Q63" s="4"/>
      <c r="R63" s="11">
        <f>IF(P$12=0,0,P63/P$12)</f>
        <v>0</v>
      </c>
      <c r="S63" s="4"/>
      <c r="T63" s="4">
        <f>SUM(0)</f>
        <v>0</v>
      </c>
      <c r="U63" s="4"/>
      <c r="V63" s="11">
        <f>IF(T$12=0,0,T63/T$12)</f>
        <v>0</v>
      </c>
      <c r="W63" s="4"/>
      <c r="X63" s="4">
        <f>+P63-T63</f>
        <v>0</v>
      </c>
      <c r="Y63" s="4"/>
      <c r="Z63" s="11">
        <f>IF(T63=0,0,X63/T63)</f>
        <v>0</v>
      </c>
    </row>
    <row r="64" spans="1:26" x14ac:dyDescent="0.25">
      <c r="A64" s="9"/>
      <c r="B64" s="10"/>
      <c r="C64" s="10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10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2" customFormat="1" x14ac:dyDescent="0.25">
      <c r="A65" s="10"/>
      <c r="B65" s="25" t="s">
        <v>3</v>
      </c>
      <c r="C65" s="25"/>
      <c r="D65" s="21">
        <f>+D16-D18+D63</f>
        <v>-40360.14</v>
      </c>
      <c r="E65" s="13"/>
      <c r="F65" s="20">
        <f>IF(D$12=0,0,D65/D$12)</f>
        <v>0</v>
      </c>
      <c r="G65" s="13"/>
      <c r="H65" s="21">
        <f>+H16-H18+H63</f>
        <v>-81726.488494484554</v>
      </c>
      <c r="I65" s="13"/>
      <c r="J65" s="20">
        <f>IF(H$12=0,0,H65/H$12)</f>
        <v>0</v>
      </c>
      <c r="K65" s="15"/>
      <c r="L65" s="21">
        <f>+D65-H65</f>
        <v>41366.348494484555</v>
      </c>
      <c r="M65" s="15"/>
      <c r="N65" s="20">
        <f>IF(H65=0,0,L65/H65)</f>
        <v>-0.50615595086134446</v>
      </c>
      <c r="O65" s="26"/>
      <c r="P65" s="21">
        <f>+P16-P18+P63</f>
        <v>-40360.14</v>
      </c>
      <c r="Q65" s="13"/>
      <c r="R65" s="20">
        <f>IF(P$12=0,0,P65/P$12)</f>
        <v>0</v>
      </c>
      <c r="S65" s="13"/>
      <c r="T65" s="21">
        <f>+T16-T18+T63</f>
        <v>-81726.488494484554</v>
      </c>
      <c r="U65" s="13"/>
      <c r="V65" s="20">
        <f>IF(T$12=0,0,T65/T$12)</f>
        <v>0</v>
      </c>
      <c r="W65" s="15"/>
      <c r="X65" s="21">
        <f>+P65-T65</f>
        <v>41366.348494484555</v>
      </c>
      <c r="Y65" s="15"/>
      <c r="Z65" s="20">
        <f>IF(T65=0,0,X65/T65)</f>
        <v>-0.50615595086134446</v>
      </c>
    </row>
    <row r="66" spans="1:26" x14ac:dyDescent="0.25">
      <c r="A66" s="9"/>
      <c r="B66" s="10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2" customFormat="1" x14ac:dyDescent="0.25">
      <c r="A67" s="52"/>
      <c r="B67" s="10" t="s">
        <v>14</v>
      </c>
      <c r="C67" s="10"/>
      <c r="D67" s="4"/>
      <c r="E67" s="4"/>
      <c r="F67" s="11">
        <f>IF(D$12=0,0,D67/D$12)</f>
        <v>0</v>
      </c>
      <c r="G67" s="4"/>
      <c r="H67" s="4"/>
      <c r="I67" s="4"/>
      <c r="J67" s="11">
        <f>IF(H$12=0,0,H67/H$12)</f>
        <v>0</v>
      </c>
      <c r="K67" s="4"/>
      <c r="L67" s="4">
        <f>+D67-H67</f>
        <v>0</v>
      </c>
      <c r="M67" s="4"/>
      <c r="N67" s="11">
        <f>IF(H67=0,0,L67/H67)</f>
        <v>0</v>
      </c>
      <c r="O67" s="10"/>
      <c r="P67" s="4"/>
      <c r="Q67" s="4"/>
      <c r="R67" s="11">
        <f>IF(P$12=0,0,P67/P$12)</f>
        <v>0</v>
      </c>
      <c r="S67" s="4"/>
      <c r="T67" s="4"/>
      <c r="U67" s="4"/>
      <c r="V67" s="11">
        <f>IF(T$12=0,0,T67/T$12)</f>
        <v>0</v>
      </c>
      <c r="W67" s="4"/>
      <c r="X67" s="4">
        <f>+P67-T67</f>
        <v>0</v>
      </c>
      <c r="Y67" s="4"/>
      <c r="Z67" s="11">
        <f>IF(T67=0,0,X67/T67)</f>
        <v>0</v>
      </c>
    </row>
    <row r="68" spans="1:26" x14ac:dyDescent="0.25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2" customFormat="1" ht="15.75" thickBot="1" x14ac:dyDescent="0.3">
      <c r="A69" s="10"/>
      <c r="B69" s="25" t="s">
        <v>4</v>
      </c>
      <c r="C69" s="25"/>
      <c r="D69" s="34">
        <f>+D65-D67</f>
        <v>-40360.14</v>
      </c>
      <c r="E69" s="13"/>
      <c r="F69" s="30">
        <f>IF(D$12=0,0,D69/D$12)</f>
        <v>0</v>
      </c>
      <c r="G69" s="13"/>
      <c r="H69" s="34">
        <f>+H65-H67</f>
        <v>-81726.488494484554</v>
      </c>
      <c r="I69" s="13"/>
      <c r="J69" s="30">
        <f>IF(H$12=0,0,H69/H$12)</f>
        <v>0</v>
      </c>
      <c r="K69" s="15"/>
      <c r="L69" s="34">
        <f>D69-H69</f>
        <v>41366.348494484555</v>
      </c>
      <c r="M69" s="15"/>
      <c r="N69" s="30">
        <f>IF(H69=0,0,L69/H69)</f>
        <v>-0.50615595086134446</v>
      </c>
      <c r="O69" s="26"/>
      <c r="P69" s="34">
        <f>+P65-P67</f>
        <v>-40360.14</v>
      </c>
      <c r="Q69" s="13"/>
      <c r="R69" s="30">
        <f>IF(P$12=0,0,P69/P$12)</f>
        <v>0</v>
      </c>
      <c r="S69" s="13"/>
      <c r="T69" s="34">
        <f>+T65-T67</f>
        <v>-81726.488494484554</v>
      </c>
      <c r="U69" s="13"/>
      <c r="V69" s="30">
        <f>IF(T$12=0,0,T69/T$12)</f>
        <v>0</v>
      </c>
      <c r="W69" s="15"/>
      <c r="X69" s="34">
        <f>P69-T69</f>
        <v>41366.348494484555</v>
      </c>
      <c r="Y69" s="15"/>
      <c r="Z69" s="30">
        <f>IF(T69=0,0,X69/T69)</f>
        <v>-0.50615595086134446</v>
      </c>
    </row>
    <row r="70" spans="1:26" ht="15.75" thickTop="1" x14ac:dyDescent="0.25">
      <c r="A70" s="9"/>
      <c r="B70" s="9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x14ac:dyDescent="0.25">
      <c r="A71" s="9"/>
      <c r="B71" s="9"/>
      <c r="C71" s="9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2" customFormat="1" ht="15.75" thickBot="1" x14ac:dyDescent="0.3">
      <c r="A72" s="10"/>
      <c r="B72" s="25" t="s">
        <v>5</v>
      </c>
      <c r="C72" s="25"/>
      <c r="D72" s="32">
        <f>SUM(D69:D71)</f>
        <v>-40360.14</v>
      </c>
      <c r="E72" s="13"/>
      <c r="F72" s="33">
        <f>IF(D$12=0,0,D72/D$12)</f>
        <v>0</v>
      </c>
      <c r="G72" s="13"/>
      <c r="H72" s="32">
        <f>SUM(H69:H71)</f>
        <v>-81726.488494484554</v>
      </c>
      <c r="I72" s="13"/>
      <c r="J72" s="33">
        <f>IF(H$12=0,0,H72/H$12)</f>
        <v>0</v>
      </c>
      <c r="K72" s="15"/>
      <c r="L72" s="32">
        <f>+D72-H72</f>
        <v>41366.348494484555</v>
      </c>
      <c r="M72" s="15"/>
      <c r="N72" s="33">
        <f>IF(H72=0,0,L72/H72)</f>
        <v>-0.50615595086134446</v>
      </c>
      <c r="O72" s="26"/>
      <c r="P72" s="32">
        <f>SUM(P69:P71)</f>
        <v>-40360.14</v>
      </c>
      <c r="Q72" s="13"/>
      <c r="R72" s="33">
        <f>IF(P$12=0,0,P72/P$12)</f>
        <v>0</v>
      </c>
      <c r="S72" s="13"/>
      <c r="T72" s="32">
        <f>SUM(T69:T71)</f>
        <v>-81726.488494484554</v>
      </c>
      <c r="U72" s="13"/>
      <c r="V72" s="33">
        <f>IF(T$12=0,0,T72/T$12)</f>
        <v>0</v>
      </c>
      <c r="W72" s="15"/>
      <c r="X72" s="32">
        <f>+P72-T72</f>
        <v>41366.348494484555</v>
      </c>
      <c r="Y72" s="15"/>
      <c r="Z72" s="33">
        <f>IF(T72=0,0,X72/T72)</f>
        <v>-0.50615595086134446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8">
        <v>44104.68654826389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56" t="s">
        <v>314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62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">
        <v>298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20971</v>
      </c>
      <c r="E12" s="4"/>
      <c r="F12" s="11"/>
      <c r="G12" s="4"/>
      <c r="H12" s="4">
        <f>SUM(OSRRefH13x_0)</f>
        <v>50677</v>
      </c>
      <c r="I12" s="4"/>
      <c r="J12" s="11"/>
      <c r="K12" s="4"/>
      <c r="L12" s="4">
        <f t="shared" ref="L12:L13" si="0">+D12-H12</f>
        <v>-29706</v>
      </c>
      <c r="M12" s="4"/>
      <c r="N12" s="11">
        <f t="shared" ref="N12:N13" si="1">IF(H12=0,0,L12/H12)</f>
        <v>-0.58618308108214767</v>
      </c>
      <c r="O12" s="10"/>
      <c r="P12" s="4">
        <f>SUM(OSRRefP13x_0)</f>
        <v>20971</v>
      </c>
      <c r="Q12" s="4"/>
      <c r="R12" s="11"/>
      <c r="S12" s="4"/>
      <c r="T12" s="4">
        <f>SUM(OSRRefT13x_0)</f>
        <v>50677</v>
      </c>
      <c r="U12" s="4"/>
      <c r="V12" s="11"/>
      <c r="W12" s="4"/>
      <c r="X12" s="4">
        <f t="shared" ref="X12:X13" si="2">+P12-T12</f>
        <v>-29706</v>
      </c>
      <c r="Y12" s="4"/>
      <c r="Z12" s="11">
        <f t="shared" ref="Z12:Z13" si="3">IF(T12=0,0,X12/T12)</f>
        <v>-0.58618308108214767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--20971</f>
        <v>20971</v>
      </c>
      <c r="E13" s="3"/>
      <c r="F13" s="23"/>
      <c r="G13" s="3"/>
      <c r="H13" s="3">
        <v>50677</v>
      </c>
      <c r="I13" s="3"/>
      <c r="J13" s="23"/>
      <c r="K13" s="3"/>
      <c r="L13" s="3">
        <f t="shared" si="0"/>
        <v>-29706</v>
      </c>
      <c r="M13" s="3"/>
      <c r="N13" s="23">
        <f t="shared" si="1"/>
        <v>-0.58618308108214767</v>
      </c>
      <c r="O13" s="12"/>
      <c r="P13" s="3">
        <f>--20971</f>
        <v>20971</v>
      </c>
      <c r="Q13" s="3"/>
      <c r="R13" s="23"/>
      <c r="S13" s="3"/>
      <c r="T13" s="3">
        <v>50677</v>
      </c>
      <c r="U13" s="3"/>
      <c r="V13" s="23"/>
      <c r="W13" s="3"/>
      <c r="X13" s="3">
        <f t="shared" si="2"/>
        <v>-29706</v>
      </c>
      <c r="Y13" s="3"/>
      <c r="Z13" s="23">
        <f t="shared" si="3"/>
        <v>-0.58618308108214767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x14ac:dyDescent="0.25">
      <c r="A15" s="10"/>
      <c r="B15" s="26" t="s">
        <v>8</v>
      </c>
      <c r="C15" s="10"/>
      <c r="D15" s="4">
        <f>SUM(0)</f>
        <v>0</v>
      </c>
      <c r="E15" s="4"/>
      <c r="F15" s="11">
        <f>IF(D$12=0,0,D15/D$12)</f>
        <v>0</v>
      </c>
      <c r="G15" s="4"/>
      <c r="H15" s="4">
        <f>SUM(0)</f>
        <v>0</v>
      </c>
      <c r="I15" s="4"/>
      <c r="J15" s="11">
        <f>IF(H$12=0,0,H15/H$12)</f>
        <v>0</v>
      </c>
      <c r="K15" s="4"/>
      <c r="L15" s="4">
        <f>+D15-H15</f>
        <v>0</v>
      </c>
      <c r="M15" s="4"/>
      <c r="N15" s="11">
        <f>IF(H15=0,0,L15/H15)</f>
        <v>0</v>
      </c>
      <c r="O15" s="10"/>
      <c r="P15" s="4">
        <f>SUM(0)</f>
        <v>0</v>
      </c>
      <c r="Q15" s="4"/>
      <c r="R15" s="11">
        <f>IF(P$12=0,0,P15/P$12)</f>
        <v>0</v>
      </c>
      <c r="S15" s="4"/>
      <c r="T15" s="4">
        <f>SUM(0)</f>
        <v>0</v>
      </c>
      <c r="U15" s="4"/>
      <c r="V15" s="11">
        <f>IF(T$12=0,0,T15/T$12)</f>
        <v>0</v>
      </c>
      <c r="W15" s="4"/>
      <c r="X15" s="4">
        <f>+P15-T15</f>
        <v>0</v>
      </c>
      <c r="Y15" s="4"/>
      <c r="Z15" s="11">
        <f>IF(T15=0,0,X15/T15)</f>
        <v>0</v>
      </c>
    </row>
    <row r="16" spans="1:26" x14ac:dyDescent="0.25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x14ac:dyDescent="0.25">
      <c r="A17" s="10"/>
      <c r="B17" s="25" t="s">
        <v>6</v>
      </c>
      <c r="C17" s="25"/>
      <c r="D17" s="21">
        <f>D12-D15</f>
        <v>20971</v>
      </c>
      <c r="E17" s="13"/>
      <c r="F17" s="20">
        <f>IF(D$12=0,0,D17/D$12)</f>
        <v>1</v>
      </c>
      <c r="G17" s="13"/>
      <c r="H17" s="21">
        <f>H12-H15</f>
        <v>50677</v>
      </c>
      <c r="I17" s="13"/>
      <c r="J17" s="20">
        <f>IF(H$12=0,0,H17/H$12)</f>
        <v>1</v>
      </c>
      <c r="K17" s="15"/>
      <c r="L17" s="21">
        <f>+D17-H17</f>
        <v>-29706</v>
      </c>
      <c r="M17" s="15"/>
      <c r="N17" s="20">
        <f>IF(H17=0,0,L17/H17)</f>
        <v>-0.58618308108214767</v>
      </c>
      <c r="O17" s="26"/>
      <c r="P17" s="21">
        <f>P12-P15</f>
        <v>20971</v>
      </c>
      <c r="Q17" s="13"/>
      <c r="R17" s="20">
        <f>IF(P$12=0,0,P17/P$12)</f>
        <v>1</v>
      </c>
      <c r="S17" s="13"/>
      <c r="T17" s="21">
        <f>T12-T15</f>
        <v>50677</v>
      </c>
      <c r="U17" s="13"/>
      <c r="V17" s="20">
        <f>IF(T$12=0,0,T17/T$12)</f>
        <v>1</v>
      </c>
      <c r="W17" s="15"/>
      <c r="X17" s="21">
        <f>+P17-T17</f>
        <v>-29706</v>
      </c>
      <c r="Y17" s="15"/>
      <c r="Z17" s="20">
        <f>IF(T17=0,0,X17/T17)</f>
        <v>-0.58618308108214767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6" t="s">
        <v>9</v>
      </c>
      <c r="C19" s="10"/>
      <c r="D19" s="19">
        <f>SUM(OSRRefD22x_0)</f>
        <v>21135.86</v>
      </c>
      <c r="E19" s="19"/>
      <c r="F19" s="31">
        <f t="shared" ref="F19:F30" si="4">IF(D$12=0,0,D19/D$12)</f>
        <v>1.0078613323160555</v>
      </c>
      <c r="G19" s="19"/>
      <c r="H19" s="19">
        <f>SUM(OSRRefH22x_0)</f>
        <v>44412.758003269228</v>
      </c>
      <c r="I19" s="19"/>
      <c r="J19" s="31">
        <f t="shared" ref="J19:J30" si="5">IF(H$12=0,0,H19/H$12)</f>
        <v>0.8763888549691029</v>
      </c>
      <c r="K19" s="4"/>
      <c r="L19" s="19">
        <f t="shared" ref="L19:L30" si="6">+D19-H19</f>
        <v>-23276.898003269227</v>
      </c>
      <c r="M19" s="4"/>
      <c r="N19" s="31">
        <f t="shared" ref="N19:N30" si="7">IF(H19=0,0,L19/H19)</f>
        <v>-0.52410386226308692</v>
      </c>
      <c r="O19" s="10"/>
      <c r="P19" s="19">
        <f>SUM(OSRRefP22x_0)</f>
        <v>21135.86</v>
      </c>
      <c r="Q19" s="19"/>
      <c r="R19" s="31">
        <f t="shared" ref="R19:R30" si="8">IF(P$12=0,0,P19/P$12)</f>
        <v>1.0078613323160555</v>
      </c>
      <c r="S19" s="19"/>
      <c r="T19" s="19">
        <f>SUM(OSRRefT22x_0)</f>
        <v>44412.758003269228</v>
      </c>
      <c r="U19" s="19"/>
      <c r="V19" s="31">
        <f t="shared" ref="V19:V30" si="9">IF(T$12=0,0,T19/T$12)</f>
        <v>0.8763888549691029</v>
      </c>
      <c r="W19" s="4"/>
      <c r="X19" s="19">
        <f t="shared" ref="X19:X30" si="10">+P19-T19</f>
        <v>-23276.898003269227</v>
      </c>
      <c r="Y19" s="4"/>
      <c r="Z19" s="31">
        <f t="shared" ref="Z19:Z30" si="11">IF(T19=0,0,X19/T19)</f>
        <v>-0.52410386226308692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4207.82</v>
      </c>
      <c r="E20" s="1"/>
      <c r="F20" s="5">
        <f t="shared" si="4"/>
        <v>0.20064946831338515</v>
      </c>
      <c r="G20" s="1"/>
      <c r="H20" s="1">
        <f>SUM(OSRRefH22_0x_0)</f>
        <v>6366.6570417307676</v>
      </c>
      <c r="I20" s="1"/>
      <c r="J20" s="5">
        <f t="shared" si="5"/>
        <v>0.12563208243839943</v>
      </c>
      <c r="K20" s="1"/>
      <c r="L20" s="1">
        <f t="shared" si="6"/>
        <v>-2158.8370417307679</v>
      </c>
      <c r="M20" s="1"/>
      <c r="N20" s="5">
        <f t="shared" si="7"/>
        <v>-0.33908486472264743</v>
      </c>
      <c r="O20" s="14"/>
      <c r="P20" s="1">
        <f>SUM(OSRRefP22_0x_0)</f>
        <v>4207.82</v>
      </c>
      <c r="Q20" s="1"/>
      <c r="R20" s="5">
        <f t="shared" si="8"/>
        <v>0.20064946831338515</v>
      </c>
      <c r="S20" s="1"/>
      <c r="T20" s="1">
        <f>SUM(OSRRefT22_0x_0)</f>
        <v>6366.6570417307676</v>
      </c>
      <c r="U20" s="1"/>
      <c r="V20" s="5">
        <f t="shared" si="9"/>
        <v>0.12563208243839943</v>
      </c>
      <c r="W20" s="1"/>
      <c r="X20" s="1">
        <f t="shared" si="10"/>
        <v>-2158.8370417307679</v>
      </c>
      <c r="Y20" s="1"/>
      <c r="Z20" s="5">
        <f t="shared" si="11"/>
        <v>-0.33908486472264743</v>
      </c>
    </row>
    <row r="21" spans="1:26" s="24" customFormat="1" hidden="1" outlineLevel="2" x14ac:dyDescent="0.25">
      <c r="A21" s="27"/>
      <c r="B21" s="12" t="str">
        <f>CONCATENATE("          ", "6111", " - ", "F.I.C.A.")</f>
        <v xml:space="preserve">          6111 - F.I.C.A.</v>
      </c>
      <c r="C21" s="12"/>
      <c r="D21" s="7">
        <v>1006.58</v>
      </c>
      <c r="E21" s="3"/>
      <c r="F21" s="8">
        <f t="shared" si="4"/>
        <v>4.7998664822850604E-2</v>
      </c>
      <c r="G21" s="3"/>
      <c r="H21" s="7">
        <v>2094.9484090384599</v>
      </c>
      <c r="I21" s="3"/>
      <c r="J21" s="8">
        <f t="shared" si="5"/>
        <v>4.1339234939685852E-2</v>
      </c>
      <c r="K21" s="3"/>
      <c r="L21" s="7">
        <f t="shared" si="6"/>
        <v>-1088.36840903846</v>
      </c>
      <c r="M21" s="3"/>
      <c r="N21" s="8">
        <f t="shared" si="7"/>
        <v>-0.51952038739607898</v>
      </c>
      <c r="O21" s="12"/>
      <c r="P21" s="7">
        <v>1006.58</v>
      </c>
      <c r="Q21" s="3"/>
      <c r="R21" s="8">
        <f t="shared" si="8"/>
        <v>4.7998664822850604E-2</v>
      </c>
      <c r="S21" s="3"/>
      <c r="T21" s="7">
        <v>2094.9484090384599</v>
      </c>
      <c r="U21" s="3"/>
      <c r="V21" s="8">
        <f t="shared" si="9"/>
        <v>4.1339234939685852E-2</v>
      </c>
      <c r="W21" s="3"/>
      <c r="X21" s="7">
        <f t="shared" si="10"/>
        <v>-1088.36840903846</v>
      </c>
      <c r="Y21" s="3"/>
      <c r="Z21" s="8">
        <f t="shared" si="11"/>
        <v>-0.51952038739607898</v>
      </c>
    </row>
    <row r="22" spans="1:26" s="24" customFormat="1" hidden="1" outlineLevel="2" x14ac:dyDescent="0.25">
      <c r="A22" s="27"/>
      <c r="B22" s="12" t="str">
        <f>CONCATENATE("          ", "6112", " - ", "COMPENSATION INSURANCE")</f>
        <v xml:space="preserve">          6112 - COMPENSATION INSURANCE</v>
      </c>
      <c r="C22" s="12"/>
      <c r="D22" s="7">
        <v>77.87</v>
      </c>
      <c r="E22" s="3"/>
      <c r="F22" s="8">
        <f t="shared" si="4"/>
        <v>3.7132230222688477E-3</v>
      </c>
      <c r="G22" s="3"/>
      <c r="H22" s="7">
        <v>506.422913461539</v>
      </c>
      <c r="I22" s="3"/>
      <c r="J22" s="8">
        <f t="shared" si="5"/>
        <v>9.9931510046281161E-3</v>
      </c>
      <c r="K22" s="3"/>
      <c r="L22" s="7">
        <f t="shared" si="6"/>
        <v>-428.55291346153899</v>
      </c>
      <c r="M22" s="3"/>
      <c r="N22" s="8">
        <f t="shared" si="7"/>
        <v>-0.84623523555098001</v>
      </c>
      <c r="O22" s="12"/>
      <c r="P22" s="7">
        <v>77.87</v>
      </c>
      <c r="Q22" s="3"/>
      <c r="R22" s="8">
        <f t="shared" si="8"/>
        <v>3.7132230222688477E-3</v>
      </c>
      <c r="S22" s="3"/>
      <c r="T22" s="7">
        <v>506.422913461539</v>
      </c>
      <c r="U22" s="3"/>
      <c r="V22" s="8">
        <f t="shared" si="9"/>
        <v>9.9931510046281161E-3</v>
      </c>
      <c r="W22" s="3"/>
      <c r="X22" s="7">
        <f t="shared" si="10"/>
        <v>-428.55291346153899</v>
      </c>
      <c r="Y22" s="3"/>
      <c r="Z22" s="8">
        <f t="shared" si="11"/>
        <v>-0.84623523555098001</v>
      </c>
    </row>
    <row r="23" spans="1:26" s="24" customFormat="1" hidden="1" outlineLevel="2" x14ac:dyDescent="0.25">
      <c r="A23" s="27"/>
      <c r="B23" s="12" t="str">
        <f>CONCATENATE("          ", "6113", " - ", "GROUP INSURANCE")</f>
        <v xml:space="preserve">          6113 - GROUP INSURANCE</v>
      </c>
      <c r="C23" s="12"/>
      <c r="D23" s="7">
        <v>1230.45</v>
      </c>
      <c r="E23" s="3"/>
      <c r="F23" s="8">
        <f t="shared" si="4"/>
        <v>5.8673882981259834E-2</v>
      </c>
      <c r="G23" s="3"/>
      <c r="H23" s="7">
        <v>1357.5</v>
      </c>
      <c r="I23" s="3"/>
      <c r="J23" s="8">
        <f t="shared" si="5"/>
        <v>2.6787299958561082E-2</v>
      </c>
      <c r="K23" s="3"/>
      <c r="L23" s="7">
        <f t="shared" si="6"/>
        <v>-127.04999999999995</v>
      </c>
      <c r="M23" s="3"/>
      <c r="N23" s="8">
        <f t="shared" si="7"/>
        <v>-9.3591160220994438E-2</v>
      </c>
      <c r="O23" s="12"/>
      <c r="P23" s="7">
        <v>1230.45</v>
      </c>
      <c r="Q23" s="3"/>
      <c r="R23" s="8">
        <f t="shared" si="8"/>
        <v>5.8673882981259834E-2</v>
      </c>
      <c r="S23" s="3"/>
      <c r="T23" s="7">
        <v>1357.5</v>
      </c>
      <c r="U23" s="3"/>
      <c r="V23" s="8">
        <f t="shared" si="9"/>
        <v>2.6787299958561082E-2</v>
      </c>
      <c r="W23" s="3"/>
      <c r="X23" s="7">
        <f t="shared" si="10"/>
        <v>-127.04999999999995</v>
      </c>
      <c r="Y23" s="3"/>
      <c r="Z23" s="8">
        <f t="shared" si="11"/>
        <v>-9.3591160220994438E-2</v>
      </c>
    </row>
    <row r="24" spans="1:26" s="24" customFormat="1" hidden="1" outlineLevel="2" x14ac:dyDescent="0.25">
      <c r="A24" s="27"/>
      <c r="B24" s="12" t="str">
        <f>CONCATENATE("          ", "6114", " - ", "STATE UNEMPLOYMENT INSURANCE")</f>
        <v xml:space="preserve">          6114 - STATE UNEMPLOYMENT INSURANCE</v>
      </c>
      <c r="C24" s="12"/>
      <c r="D24" s="7">
        <v>34.200000000000003</v>
      </c>
      <c r="E24" s="3"/>
      <c r="F24" s="8">
        <f t="shared" si="4"/>
        <v>1.6308235181917887E-3</v>
      </c>
      <c r="G24" s="3"/>
      <c r="H24" s="7">
        <v>71.17295</v>
      </c>
      <c r="I24" s="3"/>
      <c r="J24" s="8">
        <f t="shared" si="5"/>
        <v>1.4044428438936796E-3</v>
      </c>
      <c r="K24" s="3"/>
      <c r="L24" s="7">
        <f t="shared" si="6"/>
        <v>-36.972949999999997</v>
      </c>
      <c r="M24" s="3"/>
      <c r="N24" s="8">
        <f t="shared" si="7"/>
        <v>-0.51948036438000667</v>
      </c>
      <c r="O24" s="12"/>
      <c r="P24" s="7">
        <v>34.200000000000003</v>
      </c>
      <c r="Q24" s="3"/>
      <c r="R24" s="8">
        <f t="shared" si="8"/>
        <v>1.6308235181917887E-3</v>
      </c>
      <c r="S24" s="3"/>
      <c r="T24" s="7">
        <v>71.17295</v>
      </c>
      <c r="U24" s="3"/>
      <c r="V24" s="8">
        <f t="shared" si="9"/>
        <v>1.4044428438936796E-3</v>
      </c>
      <c r="W24" s="3"/>
      <c r="X24" s="7">
        <f t="shared" si="10"/>
        <v>-36.972949999999997</v>
      </c>
      <c r="Y24" s="3"/>
      <c r="Z24" s="8">
        <f t="shared" si="11"/>
        <v>-0.51948036438000667</v>
      </c>
    </row>
    <row r="25" spans="1:26" s="24" customFormat="1" hidden="1" outlineLevel="2" x14ac:dyDescent="0.25">
      <c r="A25" s="27"/>
      <c r="B25" s="12" t="str">
        <f>CONCATENATE("          ", "6115", " - ", "P.E.R.S.")</f>
        <v xml:space="preserve">          6115 - P.E.R.S.</v>
      </c>
      <c r="C25" s="12"/>
      <c r="D25" s="7">
        <v>939.44</v>
      </c>
      <c r="E25" s="3"/>
      <c r="F25" s="8">
        <f t="shared" si="4"/>
        <v>4.4797100758189885E-2</v>
      </c>
      <c r="G25" s="3"/>
      <c r="H25" s="7">
        <v>945.50219230769198</v>
      </c>
      <c r="I25" s="3"/>
      <c r="J25" s="8">
        <f t="shared" si="5"/>
        <v>1.8657422347567773E-2</v>
      </c>
      <c r="K25" s="3"/>
      <c r="L25" s="7">
        <f t="shared" si="6"/>
        <v>-6.0621923076919302</v>
      </c>
      <c r="M25" s="3"/>
      <c r="N25" s="8">
        <f t="shared" si="7"/>
        <v>-6.4116110539055512E-3</v>
      </c>
      <c r="O25" s="12"/>
      <c r="P25" s="7">
        <v>939.44</v>
      </c>
      <c r="Q25" s="3"/>
      <c r="R25" s="8">
        <f t="shared" si="8"/>
        <v>4.4797100758189885E-2</v>
      </c>
      <c r="S25" s="3"/>
      <c r="T25" s="7">
        <v>945.50219230769198</v>
      </c>
      <c r="U25" s="3"/>
      <c r="V25" s="8">
        <f t="shared" si="9"/>
        <v>1.8657422347567773E-2</v>
      </c>
      <c r="W25" s="3"/>
      <c r="X25" s="7">
        <f t="shared" si="10"/>
        <v>-6.0621923076919302</v>
      </c>
      <c r="Y25" s="3"/>
      <c r="Z25" s="8">
        <f t="shared" si="11"/>
        <v>-6.4116110539055512E-3</v>
      </c>
    </row>
    <row r="26" spans="1:26" s="24" customFormat="1" hidden="1" outlineLevel="2" x14ac:dyDescent="0.25">
      <c r="A26" s="27"/>
      <c r="B26" s="12" t="str">
        <f>CONCATENATE("          ", "6116", " - ", "EDUCATIONAL BENEFITS")</f>
        <v xml:space="preserve">          6116 - EDUCATIONAL BENEFITS</v>
      </c>
      <c r="C26" s="12"/>
      <c r="D26" s="7"/>
      <c r="E26" s="3"/>
      <c r="F26" s="8">
        <f t="shared" si="4"/>
        <v>0</v>
      </c>
      <c r="G26" s="3"/>
      <c r="H26" s="7">
        <v>0</v>
      </c>
      <c r="I26" s="3"/>
      <c r="J26" s="8">
        <f t="shared" si="5"/>
        <v>0</v>
      </c>
      <c r="K26" s="3"/>
      <c r="L26" s="7">
        <f t="shared" si="6"/>
        <v>0</v>
      </c>
      <c r="M26" s="3"/>
      <c r="N26" s="8">
        <f t="shared" si="7"/>
        <v>0</v>
      </c>
      <c r="O26" s="12"/>
      <c r="P26" s="7"/>
      <c r="Q26" s="3"/>
      <c r="R26" s="8">
        <f t="shared" si="8"/>
        <v>0</v>
      </c>
      <c r="S26" s="3"/>
      <c r="T26" s="7">
        <v>0</v>
      </c>
      <c r="U26" s="3"/>
      <c r="V26" s="8">
        <f t="shared" si="9"/>
        <v>0</v>
      </c>
      <c r="W26" s="3"/>
      <c r="X26" s="7">
        <f t="shared" si="10"/>
        <v>0</v>
      </c>
      <c r="Y26" s="3"/>
      <c r="Z26" s="8">
        <f t="shared" si="11"/>
        <v>0</v>
      </c>
    </row>
    <row r="27" spans="1:26" s="24" customFormat="1" hidden="1" outlineLevel="2" x14ac:dyDescent="0.25">
      <c r="A27" s="27"/>
      <c r="B27" s="12" t="str">
        <f>CONCATENATE("          ", "6117", " - ", "RETIREMENT STAFF HOURLY")</f>
        <v xml:space="preserve">          6117 - RETIREMENT STAFF HOURLY</v>
      </c>
      <c r="C27" s="12"/>
      <c r="D27" s="7">
        <v>100</v>
      </c>
      <c r="E27" s="3"/>
      <c r="F27" s="8">
        <f t="shared" si="4"/>
        <v>4.768489819274236E-3</v>
      </c>
      <c r="G27" s="3"/>
      <c r="H27" s="7"/>
      <c r="I27" s="3"/>
      <c r="J27" s="8">
        <f t="shared" si="5"/>
        <v>0</v>
      </c>
      <c r="K27" s="3"/>
      <c r="L27" s="7">
        <f t="shared" si="6"/>
        <v>100</v>
      </c>
      <c r="M27" s="3"/>
      <c r="N27" s="8">
        <f t="shared" si="7"/>
        <v>0</v>
      </c>
      <c r="O27" s="12"/>
      <c r="P27" s="7">
        <v>100</v>
      </c>
      <c r="Q27" s="3"/>
      <c r="R27" s="8">
        <f t="shared" si="8"/>
        <v>4.768489819274236E-3</v>
      </c>
      <c r="S27" s="3"/>
      <c r="T27" s="7"/>
      <c r="U27" s="3"/>
      <c r="V27" s="8">
        <f t="shared" si="9"/>
        <v>0</v>
      </c>
      <c r="W27" s="3"/>
      <c r="X27" s="7">
        <f t="shared" si="10"/>
        <v>100</v>
      </c>
      <c r="Y27" s="3"/>
      <c r="Z27" s="8">
        <f t="shared" si="11"/>
        <v>0</v>
      </c>
    </row>
    <row r="28" spans="1:26" s="24" customFormat="1" hidden="1" outlineLevel="2" x14ac:dyDescent="0.25">
      <c r="A28" s="27"/>
      <c r="B28" s="12" t="str">
        <f>CONCATENATE("          ", "6118", " - ", "VACATION")</f>
        <v xml:space="preserve">          6118 - VACATION</v>
      </c>
      <c r="C28" s="12"/>
      <c r="D28" s="7">
        <v>520.02</v>
      </c>
      <c r="E28" s="3"/>
      <c r="F28" s="8">
        <f t="shared" si="4"/>
        <v>2.4797100758189881E-2</v>
      </c>
      <c r="G28" s="3"/>
      <c r="H28" s="7">
        <v>329.82634615384603</v>
      </c>
      <c r="I28" s="3"/>
      <c r="J28" s="8">
        <f t="shared" si="5"/>
        <v>6.508403144500385E-3</v>
      </c>
      <c r="K28" s="3"/>
      <c r="L28" s="7">
        <f t="shared" si="6"/>
        <v>190.19365384615395</v>
      </c>
      <c r="M28" s="3"/>
      <c r="N28" s="8">
        <f t="shared" si="7"/>
        <v>0.5766478514043234</v>
      </c>
      <c r="O28" s="12"/>
      <c r="P28" s="7">
        <v>520.02</v>
      </c>
      <c r="Q28" s="3"/>
      <c r="R28" s="8">
        <f t="shared" si="8"/>
        <v>2.4797100758189881E-2</v>
      </c>
      <c r="S28" s="3"/>
      <c r="T28" s="7">
        <v>329.82634615384603</v>
      </c>
      <c r="U28" s="3"/>
      <c r="V28" s="8">
        <f t="shared" si="9"/>
        <v>6.508403144500385E-3</v>
      </c>
      <c r="W28" s="3"/>
      <c r="X28" s="7">
        <f t="shared" si="10"/>
        <v>190.19365384615395</v>
      </c>
      <c r="Y28" s="3"/>
      <c r="Z28" s="8">
        <f t="shared" si="11"/>
        <v>0.5766478514043234</v>
      </c>
    </row>
    <row r="29" spans="1:26" s="24" customFormat="1" hidden="1" outlineLevel="2" x14ac:dyDescent="0.25">
      <c r="A29" s="27"/>
      <c r="B29" s="12" t="str">
        <f>CONCATENATE("          ", "6119", " - ", "SICK LEAVE")</f>
        <v xml:space="preserve">          6119 - SICK LEAVE</v>
      </c>
      <c r="C29" s="12"/>
      <c r="D29" s="7">
        <v>299.26</v>
      </c>
      <c r="E29" s="3"/>
      <c r="F29" s="8">
        <f t="shared" si="4"/>
        <v>1.4270182633160077E-2</v>
      </c>
      <c r="G29" s="3"/>
      <c r="H29" s="7">
        <v>711.28423076923093</v>
      </c>
      <c r="I29" s="3"/>
      <c r="J29" s="8">
        <f t="shared" si="5"/>
        <v>1.4035642022401306E-2</v>
      </c>
      <c r="K29" s="3"/>
      <c r="L29" s="7">
        <f t="shared" si="6"/>
        <v>-412.02423076923094</v>
      </c>
      <c r="M29" s="3"/>
      <c r="N29" s="8">
        <f t="shared" si="7"/>
        <v>-0.57926805199046805</v>
      </c>
      <c r="O29" s="12"/>
      <c r="P29" s="7">
        <v>299.26</v>
      </c>
      <c r="Q29" s="3"/>
      <c r="R29" s="8">
        <f t="shared" si="8"/>
        <v>1.4270182633160077E-2</v>
      </c>
      <c r="S29" s="3"/>
      <c r="T29" s="7">
        <v>711.28423076923093</v>
      </c>
      <c r="U29" s="3"/>
      <c r="V29" s="8">
        <f t="shared" si="9"/>
        <v>1.4035642022401306E-2</v>
      </c>
      <c r="W29" s="3"/>
      <c r="X29" s="7">
        <f t="shared" si="10"/>
        <v>-412.02423076923094</v>
      </c>
      <c r="Y29" s="3"/>
      <c r="Z29" s="8">
        <f t="shared" si="11"/>
        <v>-0.57926805199046805</v>
      </c>
    </row>
    <row r="30" spans="1:26" s="24" customFormat="1" hidden="1" outlineLevel="2" x14ac:dyDescent="0.25">
      <c r="A30" s="27"/>
      <c r="B30" s="12" t="str">
        <f>CONCATENATE("          ", "6156", " - ", "EMPLOYEE MEALS")</f>
        <v xml:space="preserve">          6156 - EMPLOYEE MEALS</v>
      </c>
      <c r="C30" s="12"/>
      <c r="D30" s="7"/>
      <c r="E30" s="3"/>
      <c r="F30" s="8">
        <f t="shared" si="4"/>
        <v>0</v>
      </c>
      <c r="G30" s="3"/>
      <c r="H30" s="7">
        <v>350</v>
      </c>
      <c r="I30" s="3"/>
      <c r="J30" s="8">
        <f t="shared" si="5"/>
        <v>6.9064861771612369E-3</v>
      </c>
      <c r="K30" s="3"/>
      <c r="L30" s="7">
        <f t="shared" si="6"/>
        <v>-350</v>
      </c>
      <c r="M30" s="3"/>
      <c r="N30" s="8">
        <f t="shared" si="7"/>
        <v>-1</v>
      </c>
      <c r="O30" s="12"/>
      <c r="P30" s="7"/>
      <c r="Q30" s="3"/>
      <c r="R30" s="8">
        <f t="shared" si="8"/>
        <v>0</v>
      </c>
      <c r="S30" s="3"/>
      <c r="T30" s="7">
        <v>350</v>
      </c>
      <c r="U30" s="3"/>
      <c r="V30" s="8">
        <f t="shared" si="9"/>
        <v>6.9064861771612369E-3</v>
      </c>
      <c r="W30" s="3"/>
      <c r="X30" s="7">
        <f t="shared" si="10"/>
        <v>-350</v>
      </c>
      <c r="Y30" s="3"/>
      <c r="Z30" s="8">
        <f t="shared" si="11"/>
        <v>-1</v>
      </c>
    </row>
    <row r="31" spans="1:26" s="29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15605.18</v>
      </c>
      <c r="E31" s="1"/>
      <c r="F31" s="5">
        <f t="shared" ref="F31:F41" si="12">IF(D$12=0,0,D31/D$12)</f>
        <v>0.7441314195794192</v>
      </c>
      <c r="G31" s="1"/>
      <c r="H31" s="1">
        <f>SUM(OSRRefH22_1x_0)</f>
        <v>26333.100961538461</v>
      </c>
      <c r="I31" s="1"/>
      <c r="J31" s="5">
        <f t="shared" ref="J31:J41" si="13">IF(H$12=0,0,H31/H$12)</f>
        <v>0.51962627940759043</v>
      </c>
      <c r="K31" s="1"/>
      <c r="L31" s="1">
        <f t="shared" ref="L31:L41" si="14">+D31-H31</f>
        <v>-10727.920961538461</v>
      </c>
      <c r="M31" s="1"/>
      <c r="N31" s="5">
        <f t="shared" ref="N31:N41" si="15">IF(H31=0,0,L31/H31)</f>
        <v>-0.40739299853850947</v>
      </c>
      <c r="O31" s="14"/>
      <c r="P31" s="1">
        <f>SUM(OSRRefP22_1x_0)</f>
        <v>15605.18</v>
      </c>
      <c r="Q31" s="1"/>
      <c r="R31" s="5">
        <f t="shared" ref="R31:R41" si="16">IF(P$12=0,0,P31/P$12)</f>
        <v>0.7441314195794192</v>
      </c>
      <c r="S31" s="1"/>
      <c r="T31" s="1">
        <f>SUM(OSRRefT22_1x_0)</f>
        <v>26333.100961538461</v>
      </c>
      <c r="U31" s="1"/>
      <c r="V31" s="5">
        <f t="shared" ref="V31:V41" si="17">IF(T$12=0,0,T31/T$12)</f>
        <v>0.51962627940759043</v>
      </c>
      <c r="W31" s="1"/>
      <c r="X31" s="1">
        <f t="shared" ref="X31:X41" si="18">+P31-T31</f>
        <v>-10727.920961538461</v>
      </c>
      <c r="Y31" s="1"/>
      <c r="Z31" s="5">
        <f t="shared" ref="Z31:Z41" si="19">IF(T31=0,0,X31/T31)</f>
        <v>-0.40739299853850947</v>
      </c>
    </row>
    <row r="32" spans="1:26" s="24" customFormat="1" hidden="1" outlineLevel="2" x14ac:dyDescent="0.25">
      <c r="A32" s="27"/>
      <c r="B32" s="12" t="str">
        <f>CONCATENATE("          ", "6001", " - ", "ADMINISTRATIVE SALARIES")</f>
        <v xml:space="preserve">          6001 - ADMINISTRATIVE SALARIES</v>
      </c>
      <c r="C32" s="12"/>
      <c r="D32" s="7">
        <v>5257.72</v>
      </c>
      <c r="E32" s="3"/>
      <c r="F32" s="8">
        <f t="shared" si="12"/>
        <v>0.25071384292594534</v>
      </c>
      <c r="G32" s="3"/>
      <c r="H32" s="7">
        <v>5024.0384615384601</v>
      </c>
      <c r="I32" s="3"/>
      <c r="J32" s="8">
        <f t="shared" si="13"/>
        <v>9.9138434823262234E-2</v>
      </c>
      <c r="K32" s="3"/>
      <c r="L32" s="7">
        <f t="shared" si="14"/>
        <v>233.68153846154019</v>
      </c>
      <c r="M32" s="3"/>
      <c r="N32" s="8">
        <f t="shared" si="15"/>
        <v>4.651268899521567E-2</v>
      </c>
      <c r="O32" s="12"/>
      <c r="P32" s="7">
        <v>5257.72</v>
      </c>
      <c r="Q32" s="3"/>
      <c r="R32" s="8">
        <f t="shared" si="16"/>
        <v>0.25071384292594534</v>
      </c>
      <c r="S32" s="3"/>
      <c r="T32" s="7">
        <v>5024.0384615384601</v>
      </c>
      <c r="U32" s="3"/>
      <c r="V32" s="8">
        <f t="shared" si="17"/>
        <v>9.9138434823262234E-2</v>
      </c>
      <c r="W32" s="3"/>
      <c r="X32" s="7">
        <f t="shared" si="18"/>
        <v>233.68153846154019</v>
      </c>
      <c r="Y32" s="3"/>
      <c r="Z32" s="8">
        <f t="shared" si="19"/>
        <v>4.651268899521567E-2</v>
      </c>
    </row>
    <row r="33" spans="1:26" s="24" customFormat="1" hidden="1" outlineLevel="2" x14ac:dyDescent="0.25">
      <c r="A33" s="27"/>
      <c r="B33" s="12" t="str">
        <f>CONCATENATE("          ", "6002", " - ", "STAFF SALARIES")</f>
        <v xml:space="preserve">          6002 - STAFF SALARIES</v>
      </c>
      <c r="C33" s="12"/>
      <c r="D33" s="7">
        <v>2054.0700000000002</v>
      </c>
      <c r="E33" s="3"/>
      <c r="F33" s="8">
        <f t="shared" si="12"/>
        <v>9.7948118830766304E-2</v>
      </c>
      <c r="G33" s="3"/>
      <c r="H33" s="7">
        <v>5420.4624999999996</v>
      </c>
      <c r="I33" s="3"/>
      <c r="J33" s="8">
        <f t="shared" si="13"/>
        <v>0.10696099808591668</v>
      </c>
      <c r="K33" s="3"/>
      <c r="L33" s="7">
        <f t="shared" si="14"/>
        <v>-3366.3924999999995</v>
      </c>
      <c r="M33" s="3"/>
      <c r="N33" s="8">
        <f t="shared" si="15"/>
        <v>-0.6210526315789473</v>
      </c>
      <c r="O33" s="12"/>
      <c r="P33" s="7">
        <v>2054.0700000000002</v>
      </c>
      <c r="Q33" s="3"/>
      <c r="R33" s="8">
        <f t="shared" si="16"/>
        <v>9.7948118830766304E-2</v>
      </c>
      <c r="S33" s="3"/>
      <c r="T33" s="7">
        <v>5420.4624999999996</v>
      </c>
      <c r="U33" s="3"/>
      <c r="V33" s="8">
        <f t="shared" si="17"/>
        <v>0.10696099808591668</v>
      </c>
      <c r="W33" s="3"/>
      <c r="X33" s="7">
        <f t="shared" si="18"/>
        <v>-3366.3924999999995</v>
      </c>
      <c r="Y33" s="3"/>
      <c r="Z33" s="8">
        <f t="shared" si="19"/>
        <v>-0.6210526315789473</v>
      </c>
    </row>
    <row r="34" spans="1:26" s="24" customFormat="1" hidden="1" outlineLevel="2" x14ac:dyDescent="0.25">
      <c r="A34" s="27"/>
      <c r="B34" s="12" t="str">
        <f>CONCATENATE("          ", "6003", " - ", "STAFF HOURLY-9 MONTH")</f>
        <v xml:space="preserve">          6003 - STAFF HOURLY-9 MONTH</v>
      </c>
      <c r="C34" s="12"/>
      <c r="D34" s="7"/>
      <c r="E34" s="3"/>
      <c r="F34" s="8">
        <f t="shared" si="12"/>
        <v>0</v>
      </c>
      <c r="G34" s="3"/>
      <c r="H34" s="7">
        <v>0</v>
      </c>
      <c r="I34" s="3"/>
      <c r="J34" s="8">
        <f t="shared" si="13"/>
        <v>0</v>
      </c>
      <c r="K34" s="3"/>
      <c r="L34" s="7">
        <f t="shared" si="14"/>
        <v>0</v>
      </c>
      <c r="M34" s="3"/>
      <c r="N34" s="8">
        <f t="shared" si="15"/>
        <v>0</v>
      </c>
      <c r="O34" s="12"/>
      <c r="P34" s="7"/>
      <c r="Q34" s="3"/>
      <c r="R34" s="8">
        <f t="shared" si="16"/>
        <v>0</v>
      </c>
      <c r="S34" s="3"/>
      <c r="T34" s="7">
        <v>0</v>
      </c>
      <c r="U34" s="3"/>
      <c r="V34" s="8">
        <f t="shared" si="17"/>
        <v>0</v>
      </c>
      <c r="W34" s="3"/>
      <c r="X34" s="7">
        <f t="shared" si="18"/>
        <v>0</v>
      </c>
      <c r="Y34" s="3"/>
      <c r="Z34" s="8">
        <f t="shared" si="19"/>
        <v>0</v>
      </c>
    </row>
    <row r="35" spans="1:26" s="24" customFormat="1" hidden="1" outlineLevel="2" x14ac:dyDescent="0.25">
      <c r="A35" s="27"/>
      <c r="B35" s="12" t="str">
        <f>CONCATENATE("          ", "6004", " - ", "STAFF HOURLY")</f>
        <v xml:space="preserve">          6004 - STAFF HOURLY</v>
      </c>
      <c r="C35" s="12"/>
      <c r="D35" s="7"/>
      <c r="E35" s="3"/>
      <c r="F35" s="8">
        <f t="shared" si="12"/>
        <v>0</v>
      </c>
      <c r="G35" s="3"/>
      <c r="H35" s="7">
        <v>2793.6</v>
      </c>
      <c r="I35" s="3"/>
      <c r="J35" s="8">
        <f t="shared" si="13"/>
        <v>5.5125599384336088E-2</v>
      </c>
      <c r="K35" s="3"/>
      <c r="L35" s="7">
        <f t="shared" si="14"/>
        <v>-2793.6</v>
      </c>
      <c r="M35" s="3"/>
      <c r="N35" s="8">
        <f t="shared" si="15"/>
        <v>-1</v>
      </c>
      <c r="O35" s="12"/>
      <c r="P35" s="7"/>
      <c r="Q35" s="3"/>
      <c r="R35" s="8">
        <f t="shared" si="16"/>
        <v>0</v>
      </c>
      <c r="S35" s="3"/>
      <c r="T35" s="7">
        <v>2793.6</v>
      </c>
      <c r="U35" s="3"/>
      <c r="V35" s="8">
        <f t="shared" si="17"/>
        <v>5.5125599384336088E-2</v>
      </c>
      <c r="W35" s="3"/>
      <c r="X35" s="7">
        <f t="shared" si="18"/>
        <v>-2793.6</v>
      </c>
      <c r="Y35" s="3"/>
      <c r="Z35" s="8">
        <f t="shared" si="19"/>
        <v>-1</v>
      </c>
    </row>
    <row r="36" spans="1:26" s="24" customFormat="1" hidden="1" outlineLevel="2" x14ac:dyDescent="0.25">
      <c r="A36" s="27"/>
      <c r="B36" s="12" t="str">
        <f>CONCATENATE("          ", "6005", " - ", "TEMPORARY WAGES-HOURLY")</f>
        <v xml:space="preserve">          6005 - TEMPORARY WAGES-HOURLY</v>
      </c>
      <c r="C36" s="12"/>
      <c r="D36" s="7">
        <v>6737.39</v>
      </c>
      <c r="E36" s="3"/>
      <c r="F36" s="8">
        <f t="shared" si="12"/>
        <v>0.32127175623480048</v>
      </c>
      <c r="G36" s="3"/>
      <c r="H36" s="7">
        <v>0</v>
      </c>
      <c r="I36" s="3"/>
      <c r="J36" s="8">
        <f t="shared" si="13"/>
        <v>0</v>
      </c>
      <c r="K36" s="3"/>
      <c r="L36" s="7">
        <f t="shared" si="14"/>
        <v>6737.39</v>
      </c>
      <c r="M36" s="3"/>
      <c r="N36" s="8">
        <f t="shared" si="15"/>
        <v>0</v>
      </c>
      <c r="O36" s="12"/>
      <c r="P36" s="7">
        <v>6737.39</v>
      </c>
      <c r="Q36" s="3"/>
      <c r="R36" s="8">
        <f t="shared" si="16"/>
        <v>0.32127175623480048</v>
      </c>
      <c r="S36" s="3"/>
      <c r="T36" s="7">
        <v>0</v>
      </c>
      <c r="U36" s="3"/>
      <c r="V36" s="8">
        <f t="shared" si="17"/>
        <v>0</v>
      </c>
      <c r="W36" s="3"/>
      <c r="X36" s="7">
        <f t="shared" si="18"/>
        <v>6737.39</v>
      </c>
      <c r="Y36" s="3"/>
      <c r="Z36" s="8">
        <f t="shared" si="19"/>
        <v>0</v>
      </c>
    </row>
    <row r="37" spans="1:26" s="24" customFormat="1" hidden="1" outlineLevel="2" x14ac:dyDescent="0.25">
      <c r="A37" s="27"/>
      <c r="B37" s="12" t="str">
        <f>CONCATENATE("          ", "6006", " - ", "TEMPORARY PART TIME")</f>
        <v xml:space="preserve">          6006 - TEMPORARY PART TIME</v>
      </c>
      <c r="C37" s="12"/>
      <c r="D37" s="7"/>
      <c r="E37" s="3"/>
      <c r="F37" s="8">
        <f t="shared" si="12"/>
        <v>0</v>
      </c>
      <c r="G37" s="3"/>
      <c r="H37" s="7">
        <v>0</v>
      </c>
      <c r="I37" s="3"/>
      <c r="J37" s="8">
        <f t="shared" si="13"/>
        <v>0</v>
      </c>
      <c r="K37" s="3"/>
      <c r="L37" s="7">
        <f t="shared" si="14"/>
        <v>0</v>
      </c>
      <c r="M37" s="3"/>
      <c r="N37" s="8">
        <f t="shared" si="15"/>
        <v>0</v>
      </c>
      <c r="O37" s="12"/>
      <c r="P37" s="7"/>
      <c r="Q37" s="3"/>
      <c r="R37" s="8">
        <f t="shared" si="16"/>
        <v>0</v>
      </c>
      <c r="S37" s="3"/>
      <c r="T37" s="7">
        <v>0</v>
      </c>
      <c r="U37" s="3"/>
      <c r="V37" s="8">
        <f t="shared" si="17"/>
        <v>0</v>
      </c>
      <c r="W37" s="3"/>
      <c r="X37" s="7">
        <f t="shared" si="18"/>
        <v>0</v>
      </c>
      <c r="Y37" s="3"/>
      <c r="Z37" s="8">
        <f t="shared" si="19"/>
        <v>0</v>
      </c>
    </row>
    <row r="38" spans="1:26" s="24" customFormat="1" hidden="1" outlineLevel="2" x14ac:dyDescent="0.25">
      <c r="A38" s="27"/>
      <c r="B38" s="12" t="str">
        <f>CONCATENATE("          ", "6007", " - ", "STUDENT HOURLY")</f>
        <v xml:space="preserve">          6007 - STUDENT HOURLY</v>
      </c>
      <c r="C38" s="12"/>
      <c r="D38" s="7">
        <v>1556</v>
      </c>
      <c r="E38" s="3"/>
      <c r="F38" s="8">
        <f t="shared" si="12"/>
        <v>7.4197701587907117E-2</v>
      </c>
      <c r="G38" s="3"/>
      <c r="H38" s="7">
        <v>13095</v>
      </c>
      <c r="I38" s="3"/>
      <c r="J38" s="8">
        <f t="shared" si="13"/>
        <v>0.25840124711407542</v>
      </c>
      <c r="K38" s="3"/>
      <c r="L38" s="7">
        <f t="shared" si="14"/>
        <v>-11539</v>
      </c>
      <c r="M38" s="3"/>
      <c r="N38" s="8">
        <f t="shared" si="15"/>
        <v>-0.88117602138220696</v>
      </c>
      <c r="O38" s="12"/>
      <c r="P38" s="7">
        <v>1556</v>
      </c>
      <c r="Q38" s="3"/>
      <c r="R38" s="8">
        <f t="shared" si="16"/>
        <v>7.4197701587907117E-2</v>
      </c>
      <c r="S38" s="3"/>
      <c r="T38" s="7">
        <v>13095</v>
      </c>
      <c r="U38" s="3"/>
      <c r="V38" s="8">
        <f t="shared" si="17"/>
        <v>0.25840124711407542</v>
      </c>
      <c r="W38" s="3"/>
      <c r="X38" s="7">
        <f t="shared" si="18"/>
        <v>-11539</v>
      </c>
      <c r="Y38" s="3"/>
      <c r="Z38" s="8">
        <f t="shared" si="19"/>
        <v>-0.88117602138220696</v>
      </c>
    </row>
    <row r="39" spans="1:26" s="24" customFormat="1" hidden="1" outlineLevel="2" x14ac:dyDescent="0.25">
      <c r="A39" s="27"/>
      <c r="B39" s="12" t="str">
        <f>CONCATENATE("          ", "6008", " - ", "STUDENT HOURLY-FICA EXEMPT")</f>
        <v xml:space="preserve">          6008 - STUDENT HOURLY-FICA EXEMPT</v>
      </c>
      <c r="C39" s="12"/>
      <c r="D39" s="7"/>
      <c r="E39" s="3"/>
      <c r="F39" s="8">
        <f t="shared" si="12"/>
        <v>0</v>
      </c>
      <c r="G39" s="3"/>
      <c r="H39" s="7">
        <v>0</v>
      </c>
      <c r="I39" s="3"/>
      <c r="J39" s="8">
        <f t="shared" si="13"/>
        <v>0</v>
      </c>
      <c r="K39" s="3"/>
      <c r="L39" s="7">
        <f t="shared" si="14"/>
        <v>0</v>
      </c>
      <c r="M39" s="3"/>
      <c r="N39" s="8">
        <f t="shared" si="15"/>
        <v>0</v>
      </c>
      <c r="O39" s="12"/>
      <c r="P39" s="7"/>
      <c r="Q39" s="3"/>
      <c r="R39" s="8">
        <f t="shared" si="16"/>
        <v>0</v>
      </c>
      <c r="S39" s="3"/>
      <c r="T39" s="7">
        <v>0</v>
      </c>
      <c r="U39" s="3"/>
      <c r="V39" s="8">
        <f t="shared" si="17"/>
        <v>0</v>
      </c>
      <c r="W39" s="3"/>
      <c r="X39" s="7">
        <f t="shared" si="18"/>
        <v>0</v>
      </c>
      <c r="Y39" s="3"/>
      <c r="Z39" s="8">
        <f t="shared" si="19"/>
        <v>0</v>
      </c>
    </row>
    <row r="40" spans="1:26" s="24" customFormat="1" hidden="1" outlineLevel="2" x14ac:dyDescent="0.25">
      <c r="A40" s="27"/>
      <c r="B40" s="12" t="str">
        <f>CONCATENATE("          ", "6009", " - ", "TEMPORARY-SEASONAL")</f>
        <v xml:space="preserve">          6009 - TEMPORARY-SEASONAL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24" customFormat="1" hidden="1" outlineLevel="2" x14ac:dyDescent="0.25">
      <c r="A41" s="27"/>
      <c r="B41" s="12" t="str">
        <f>CONCATENATE("          ", "6010", " - ", "GRATUITY")</f>
        <v xml:space="preserve">          6010 - GRATUITY</v>
      </c>
      <c r="C41" s="12"/>
      <c r="D41" s="7"/>
      <c r="E41" s="3"/>
      <c r="F41" s="8">
        <f t="shared" si="12"/>
        <v>0</v>
      </c>
      <c r="G41" s="3"/>
      <c r="H41" s="7">
        <v>0</v>
      </c>
      <c r="I41" s="3"/>
      <c r="J41" s="8">
        <f t="shared" si="13"/>
        <v>0</v>
      </c>
      <c r="K41" s="3"/>
      <c r="L41" s="7">
        <f t="shared" si="14"/>
        <v>0</v>
      </c>
      <c r="M41" s="3"/>
      <c r="N41" s="8">
        <f t="shared" si="15"/>
        <v>0</v>
      </c>
      <c r="O41" s="12"/>
      <c r="P41" s="7"/>
      <c r="Q41" s="3"/>
      <c r="R41" s="8">
        <f t="shared" si="16"/>
        <v>0</v>
      </c>
      <c r="S41" s="3"/>
      <c r="T41" s="7">
        <v>0</v>
      </c>
      <c r="U41" s="3"/>
      <c r="V41" s="8">
        <f t="shared" si="17"/>
        <v>0</v>
      </c>
      <c r="W41" s="3"/>
      <c r="X41" s="7">
        <f t="shared" si="18"/>
        <v>0</v>
      </c>
      <c r="Y41" s="3"/>
      <c r="Z41" s="8">
        <f t="shared" si="19"/>
        <v>0</v>
      </c>
    </row>
    <row r="42" spans="1:26" s="29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60" si="20">IF(D$12=0,0,D42/D$12)</f>
        <v>0</v>
      </c>
      <c r="G42" s="1"/>
      <c r="H42" s="1">
        <f>SUM(OSRRefH22_2x_0)</f>
        <v>100</v>
      </c>
      <c r="I42" s="1"/>
      <c r="J42" s="5">
        <f t="shared" ref="J42:J60" si="21">IF(H$12=0,0,H42/H$12)</f>
        <v>1.9732817649032106E-3</v>
      </c>
      <c r="K42" s="1"/>
      <c r="L42" s="1">
        <f t="shared" ref="L42:L60" si="22">+D42-H42</f>
        <v>-100</v>
      </c>
      <c r="M42" s="1"/>
      <c r="N42" s="5">
        <f t="shared" ref="N42:N60" si="23">IF(H42=0,0,L42/H42)</f>
        <v>-1</v>
      </c>
      <c r="O42" s="14"/>
      <c r="P42" s="1">
        <f>SUM(OSRRefP22_2x_0)</f>
        <v>0</v>
      </c>
      <c r="Q42" s="1"/>
      <c r="R42" s="5">
        <f t="shared" ref="R42:R60" si="24">IF(P$12=0,0,P42/P$12)</f>
        <v>0</v>
      </c>
      <c r="S42" s="1"/>
      <c r="T42" s="1">
        <f>SUM(OSRRefT22_2x_0)</f>
        <v>100</v>
      </c>
      <c r="U42" s="1"/>
      <c r="V42" s="5">
        <f t="shared" ref="V42:V60" si="25">IF(T$12=0,0,T42/T$12)</f>
        <v>1.9732817649032106E-3</v>
      </c>
      <c r="W42" s="1"/>
      <c r="X42" s="1">
        <f t="shared" ref="X42:X60" si="26">+P42-T42</f>
        <v>-100</v>
      </c>
      <c r="Y42" s="1"/>
      <c r="Z42" s="5">
        <f t="shared" ref="Z42:Z60" si="27">IF(T42=0,0,X42/T42)</f>
        <v>-1</v>
      </c>
    </row>
    <row r="43" spans="1:26" s="24" customFormat="1" hidden="1" outlineLevel="2" x14ac:dyDescent="0.25">
      <c r="A43" s="27"/>
      <c r="B43" s="12" t="str">
        <f>CONCATENATE("          ", "6362", " - ", "ADVERTISING EXPENSE")</f>
        <v xml:space="preserve">          6362 - ADVERTISING EXPENSE</v>
      </c>
      <c r="C43" s="12"/>
      <c r="D43" s="7"/>
      <c r="E43" s="3"/>
      <c r="F43" s="8">
        <f t="shared" si="20"/>
        <v>0</v>
      </c>
      <c r="G43" s="3"/>
      <c r="H43" s="7">
        <v>100</v>
      </c>
      <c r="I43" s="3"/>
      <c r="J43" s="8">
        <f t="shared" si="21"/>
        <v>1.9732817649032106E-3</v>
      </c>
      <c r="K43" s="3"/>
      <c r="L43" s="7">
        <f t="shared" si="22"/>
        <v>-100</v>
      </c>
      <c r="M43" s="3"/>
      <c r="N43" s="8">
        <f t="shared" si="23"/>
        <v>-1</v>
      </c>
      <c r="O43" s="12"/>
      <c r="P43" s="7"/>
      <c r="Q43" s="3"/>
      <c r="R43" s="8">
        <f t="shared" si="24"/>
        <v>0</v>
      </c>
      <c r="S43" s="3"/>
      <c r="T43" s="7">
        <v>100</v>
      </c>
      <c r="U43" s="3"/>
      <c r="V43" s="8">
        <f t="shared" si="25"/>
        <v>1.9732817649032106E-3</v>
      </c>
      <c r="W43" s="3"/>
      <c r="X43" s="7">
        <f t="shared" si="26"/>
        <v>-100</v>
      </c>
      <c r="Y43" s="3"/>
      <c r="Z43" s="8">
        <f t="shared" si="27"/>
        <v>-1</v>
      </c>
    </row>
    <row r="44" spans="1:26" s="29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246.33</v>
      </c>
      <c r="E44" s="1"/>
      <c r="F44" s="5">
        <f t="shared" si="20"/>
        <v>1.1746220971818227E-2</v>
      </c>
      <c r="G44" s="1"/>
      <c r="H44" s="1">
        <f>SUM(OSRRefH22_3x_0)</f>
        <v>1500</v>
      </c>
      <c r="I44" s="1"/>
      <c r="J44" s="5">
        <f t="shared" si="21"/>
        <v>2.9599226473548158E-2</v>
      </c>
      <c r="K44" s="1"/>
      <c r="L44" s="1">
        <f t="shared" si="22"/>
        <v>-1253.67</v>
      </c>
      <c r="M44" s="1"/>
      <c r="N44" s="5">
        <f t="shared" si="23"/>
        <v>-0.83578000000000008</v>
      </c>
      <c r="O44" s="14"/>
      <c r="P44" s="1">
        <f>SUM(OSRRefP22_3x_0)</f>
        <v>246.33</v>
      </c>
      <c r="Q44" s="1"/>
      <c r="R44" s="5">
        <f t="shared" si="24"/>
        <v>1.1746220971818227E-2</v>
      </c>
      <c r="S44" s="1"/>
      <c r="T44" s="1">
        <f>SUM(OSRRefT22_3x_0)</f>
        <v>1500</v>
      </c>
      <c r="U44" s="1"/>
      <c r="V44" s="5">
        <f t="shared" si="25"/>
        <v>2.9599226473548158E-2</v>
      </c>
      <c r="W44" s="1"/>
      <c r="X44" s="1">
        <f t="shared" si="26"/>
        <v>-1253.67</v>
      </c>
      <c r="Y44" s="1"/>
      <c r="Z44" s="5">
        <f t="shared" si="27"/>
        <v>-0.83578000000000008</v>
      </c>
    </row>
    <row r="45" spans="1:26" s="24" customFormat="1" hidden="1" outlineLevel="2" x14ac:dyDescent="0.25">
      <c r="A45" s="27"/>
      <c r="B45" s="12" t="str">
        <f>CONCATENATE("          ", "6381", " - ", "BANK/CREDIT CARD FEES")</f>
        <v xml:space="preserve">          6381 - BANK/CREDIT CARD FEES</v>
      </c>
      <c r="C45" s="12"/>
      <c r="D45" s="7">
        <v>246.33</v>
      </c>
      <c r="E45" s="3"/>
      <c r="F45" s="8">
        <f t="shared" si="20"/>
        <v>1.1746220971818227E-2</v>
      </c>
      <c r="G45" s="3"/>
      <c r="H45" s="7">
        <v>1500</v>
      </c>
      <c r="I45" s="3"/>
      <c r="J45" s="8">
        <f t="shared" si="21"/>
        <v>2.9599226473548158E-2</v>
      </c>
      <c r="K45" s="3"/>
      <c r="L45" s="7">
        <f t="shared" si="22"/>
        <v>-1253.67</v>
      </c>
      <c r="M45" s="3"/>
      <c r="N45" s="8">
        <f t="shared" si="23"/>
        <v>-0.83578000000000008</v>
      </c>
      <c r="O45" s="12"/>
      <c r="P45" s="7">
        <v>246.33</v>
      </c>
      <c r="Q45" s="3"/>
      <c r="R45" s="8">
        <f t="shared" si="24"/>
        <v>1.1746220971818227E-2</v>
      </c>
      <c r="S45" s="3"/>
      <c r="T45" s="7">
        <v>1500</v>
      </c>
      <c r="U45" s="3"/>
      <c r="V45" s="8">
        <f t="shared" si="25"/>
        <v>2.9599226473548158E-2</v>
      </c>
      <c r="W45" s="3"/>
      <c r="X45" s="7">
        <f t="shared" si="26"/>
        <v>-1253.67</v>
      </c>
      <c r="Y45" s="3"/>
      <c r="Z45" s="8">
        <f t="shared" si="27"/>
        <v>-0.83578000000000008</v>
      </c>
    </row>
    <row r="46" spans="1:26" s="29" customFormat="1" outlineLevel="1" collapsed="1" x14ac:dyDescent="0.25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3.9465635298064212E-4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20</v>
      </c>
      <c r="U46" s="1"/>
      <c r="V46" s="5">
        <f t="shared" si="25"/>
        <v>3.9465635298064212E-4</v>
      </c>
      <c r="W46" s="1"/>
      <c r="X46" s="1">
        <f t="shared" si="26"/>
        <v>-20</v>
      </c>
      <c r="Y46" s="1"/>
      <c r="Z46" s="5">
        <f t="shared" si="27"/>
        <v>-1</v>
      </c>
    </row>
    <row r="47" spans="1:26" s="24" customFormat="1" hidden="1" outlineLevel="2" x14ac:dyDescent="0.25">
      <c r="A47" s="27"/>
      <c r="B47" s="12" t="str">
        <f>CONCATENATE("          ", "6277", " - ", "EMPLOYEE APPRECIATION")</f>
        <v xml:space="preserve">          6277 - EMPLOYEE APPRECIATION</v>
      </c>
      <c r="C47" s="12"/>
      <c r="D47" s="7"/>
      <c r="E47" s="3"/>
      <c r="F47" s="8">
        <f t="shared" si="20"/>
        <v>0</v>
      </c>
      <c r="G47" s="3"/>
      <c r="H47" s="7">
        <v>20</v>
      </c>
      <c r="I47" s="3"/>
      <c r="J47" s="8">
        <f t="shared" si="21"/>
        <v>3.9465635298064212E-4</v>
      </c>
      <c r="K47" s="3"/>
      <c r="L47" s="7">
        <f t="shared" si="22"/>
        <v>-20</v>
      </c>
      <c r="M47" s="3"/>
      <c r="N47" s="8">
        <f t="shared" si="23"/>
        <v>-1</v>
      </c>
      <c r="O47" s="12"/>
      <c r="P47" s="7"/>
      <c r="Q47" s="3"/>
      <c r="R47" s="8">
        <f t="shared" si="24"/>
        <v>0</v>
      </c>
      <c r="S47" s="3"/>
      <c r="T47" s="7">
        <v>20</v>
      </c>
      <c r="U47" s="3"/>
      <c r="V47" s="8">
        <f t="shared" si="25"/>
        <v>3.9465635298064212E-4</v>
      </c>
      <c r="W47" s="3"/>
      <c r="X47" s="7">
        <f t="shared" si="26"/>
        <v>-20</v>
      </c>
      <c r="Y47" s="3"/>
      <c r="Z47" s="8">
        <f t="shared" si="27"/>
        <v>-1</v>
      </c>
    </row>
    <row r="48" spans="1:26" s="29" customFormat="1" outlineLevel="1" collapsed="1" x14ac:dyDescent="0.25">
      <c r="A48" s="28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1.9732817649032106E-4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0</v>
      </c>
      <c r="Q48" s="1"/>
      <c r="R48" s="5">
        <f t="shared" si="24"/>
        <v>0</v>
      </c>
      <c r="S48" s="1"/>
      <c r="T48" s="1">
        <f>SUM(OSRRefT22_5x_0)</f>
        <v>10</v>
      </c>
      <c r="U48" s="1"/>
      <c r="V48" s="5">
        <f t="shared" si="25"/>
        <v>1.9732817649032106E-4</v>
      </c>
      <c r="W48" s="1"/>
      <c r="X48" s="1">
        <f t="shared" si="26"/>
        <v>-10</v>
      </c>
      <c r="Y48" s="1"/>
      <c r="Z48" s="5">
        <f t="shared" si="27"/>
        <v>-1</v>
      </c>
    </row>
    <row r="49" spans="1:26" s="24" customFormat="1" hidden="1" outlineLevel="2" x14ac:dyDescent="0.25">
      <c r="A49" s="27"/>
      <c r="B49" s="12" t="str">
        <f>CONCATENATE("          ", "6307", " - ", "POSTAGE")</f>
        <v xml:space="preserve">          6307 - POSTAGE</v>
      </c>
      <c r="C49" s="12"/>
      <c r="D49" s="7"/>
      <c r="E49" s="3"/>
      <c r="F49" s="8">
        <f t="shared" si="20"/>
        <v>0</v>
      </c>
      <c r="G49" s="3"/>
      <c r="H49" s="7">
        <v>10</v>
      </c>
      <c r="I49" s="3"/>
      <c r="J49" s="8">
        <f t="shared" si="21"/>
        <v>1.9732817649032106E-4</v>
      </c>
      <c r="K49" s="3"/>
      <c r="L49" s="7">
        <f t="shared" si="22"/>
        <v>-10</v>
      </c>
      <c r="M49" s="3"/>
      <c r="N49" s="8">
        <f t="shared" si="23"/>
        <v>-1</v>
      </c>
      <c r="O49" s="12"/>
      <c r="P49" s="7"/>
      <c r="Q49" s="3"/>
      <c r="R49" s="8">
        <f t="shared" si="24"/>
        <v>0</v>
      </c>
      <c r="S49" s="3"/>
      <c r="T49" s="7">
        <v>10</v>
      </c>
      <c r="U49" s="3"/>
      <c r="V49" s="8">
        <f t="shared" si="25"/>
        <v>1.9732817649032106E-4</v>
      </c>
      <c r="W49" s="3"/>
      <c r="X49" s="7">
        <f t="shared" si="26"/>
        <v>-10</v>
      </c>
      <c r="Y49" s="3"/>
      <c r="Z49" s="8">
        <f t="shared" si="27"/>
        <v>-1</v>
      </c>
    </row>
    <row r="50" spans="1:26" s="29" customFormat="1" outlineLevel="1" collapsed="1" x14ac:dyDescent="0.25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SUM(OSRRefD22_6x_0)</f>
        <v>0</v>
      </c>
      <c r="E50" s="1"/>
      <c r="F50" s="5">
        <f t="shared" si="20"/>
        <v>0</v>
      </c>
      <c r="G50" s="1"/>
      <c r="H50" s="1">
        <f>SUM(OSRRefH22_6x_0)</f>
        <v>50</v>
      </c>
      <c r="I50" s="1"/>
      <c r="J50" s="5">
        <f t="shared" si="21"/>
        <v>9.8664088245160528E-4</v>
      </c>
      <c r="K50" s="1"/>
      <c r="L50" s="1">
        <f t="shared" si="22"/>
        <v>-50</v>
      </c>
      <c r="M50" s="1"/>
      <c r="N50" s="5">
        <f t="shared" si="23"/>
        <v>-1</v>
      </c>
      <c r="O50" s="14"/>
      <c r="P50" s="1">
        <f>SUM(OSRRefP22_6x_0)</f>
        <v>0</v>
      </c>
      <c r="Q50" s="1"/>
      <c r="R50" s="5">
        <f t="shared" si="24"/>
        <v>0</v>
      </c>
      <c r="S50" s="1"/>
      <c r="T50" s="1">
        <f>SUM(OSRRefT22_6x_0)</f>
        <v>50</v>
      </c>
      <c r="U50" s="1"/>
      <c r="V50" s="5">
        <f t="shared" si="25"/>
        <v>9.8664088245160528E-4</v>
      </c>
      <c r="W50" s="1"/>
      <c r="X50" s="1">
        <f t="shared" si="26"/>
        <v>-50</v>
      </c>
      <c r="Y50" s="1"/>
      <c r="Z50" s="5">
        <f t="shared" si="27"/>
        <v>-1</v>
      </c>
    </row>
    <row r="51" spans="1:26" s="24" customFormat="1" hidden="1" outlineLevel="2" x14ac:dyDescent="0.25">
      <c r="A51" s="27"/>
      <c r="B51" s="12" t="str">
        <f>CONCATENATE("          ", "6279", " - ", "GENERAL EXPENSE")</f>
        <v xml:space="preserve">          6279 - GENERAL EXPENSE</v>
      </c>
      <c r="C51" s="12"/>
      <c r="D51" s="7"/>
      <c r="E51" s="3"/>
      <c r="F51" s="8">
        <f t="shared" si="20"/>
        <v>0</v>
      </c>
      <c r="G51" s="3"/>
      <c r="H51" s="7">
        <v>50</v>
      </c>
      <c r="I51" s="3"/>
      <c r="J51" s="8">
        <f t="shared" si="21"/>
        <v>9.8664088245160528E-4</v>
      </c>
      <c r="K51" s="3"/>
      <c r="L51" s="7">
        <f t="shared" si="22"/>
        <v>-50</v>
      </c>
      <c r="M51" s="3"/>
      <c r="N51" s="8">
        <f t="shared" si="23"/>
        <v>-1</v>
      </c>
      <c r="O51" s="12"/>
      <c r="P51" s="7"/>
      <c r="Q51" s="3"/>
      <c r="R51" s="8">
        <f t="shared" si="24"/>
        <v>0</v>
      </c>
      <c r="S51" s="3"/>
      <c r="T51" s="7">
        <v>50</v>
      </c>
      <c r="U51" s="3"/>
      <c r="V51" s="8">
        <f t="shared" si="25"/>
        <v>9.8664088245160528E-4</v>
      </c>
      <c r="W51" s="3"/>
      <c r="X51" s="7">
        <f t="shared" si="26"/>
        <v>-50</v>
      </c>
      <c r="Y51" s="3"/>
      <c r="Z51" s="8">
        <f t="shared" si="27"/>
        <v>-1</v>
      </c>
    </row>
    <row r="52" spans="1:26" s="29" customFormat="1" outlineLevel="1" collapsed="1" x14ac:dyDescent="0.25">
      <c r="A52" s="28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SUM(OSRRefD22_7x_0)</f>
        <v>29.01</v>
      </c>
      <c r="E52" s="1"/>
      <c r="F52" s="5">
        <f t="shared" si="20"/>
        <v>1.383338896571456E-3</v>
      </c>
      <c r="G52" s="1"/>
      <c r="H52" s="1">
        <f>SUM(OSRRefH22_7x_0)</f>
        <v>33</v>
      </c>
      <c r="I52" s="1"/>
      <c r="J52" s="5">
        <f t="shared" si="21"/>
        <v>6.5118298241805949E-4</v>
      </c>
      <c r="K52" s="1"/>
      <c r="L52" s="1">
        <f t="shared" si="22"/>
        <v>-3.9899999999999984</v>
      </c>
      <c r="M52" s="1"/>
      <c r="N52" s="5">
        <f t="shared" si="23"/>
        <v>-0.12090909090909085</v>
      </c>
      <c r="O52" s="14"/>
      <c r="P52" s="1">
        <f>SUM(OSRRefP22_7x_0)</f>
        <v>29.01</v>
      </c>
      <c r="Q52" s="1"/>
      <c r="R52" s="5">
        <f t="shared" si="24"/>
        <v>1.383338896571456E-3</v>
      </c>
      <c r="S52" s="1"/>
      <c r="T52" s="1">
        <f>SUM(OSRRefT22_7x_0)</f>
        <v>33</v>
      </c>
      <c r="U52" s="1"/>
      <c r="V52" s="5">
        <f t="shared" si="25"/>
        <v>6.5118298241805949E-4</v>
      </c>
      <c r="W52" s="1"/>
      <c r="X52" s="1">
        <f t="shared" si="26"/>
        <v>-3.9899999999999984</v>
      </c>
      <c r="Y52" s="1"/>
      <c r="Z52" s="5">
        <f t="shared" si="27"/>
        <v>-0.12090909090909085</v>
      </c>
    </row>
    <row r="53" spans="1:26" s="24" customFormat="1" hidden="1" outlineLevel="2" x14ac:dyDescent="0.25">
      <c r="A53" s="27"/>
      <c r="B53" s="12" t="str">
        <f>CONCATENATE("          ", "6314", " - ", "LIABILITY INSURANCE")</f>
        <v xml:space="preserve">          6314 - LIABILITY INSURANCE</v>
      </c>
      <c r="C53" s="12"/>
      <c r="D53" s="7">
        <v>29.01</v>
      </c>
      <c r="E53" s="3"/>
      <c r="F53" s="8">
        <f t="shared" si="20"/>
        <v>1.383338896571456E-3</v>
      </c>
      <c r="G53" s="3"/>
      <c r="H53" s="7">
        <v>33</v>
      </c>
      <c r="I53" s="3"/>
      <c r="J53" s="8">
        <f t="shared" si="21"/>
        <v>6.5118298241805949E-4</v>
      </c>
      <c r="K53" s="3"/>
      <c r="L53" s="7">
        <f t="shared" si="22"/>
        <v>-3.9899999999999984</v>
      </c>
      <c r="M53" s="3"/>
      <c r="N53" s="8">
        <f t="shared" si="23"/>
        <v>-0.12090909090909085</v>
      </c>
      <c r="O53" s="12"/>
      <c r="P53" s="7">
        <v>29.01</v>
      </c>
      <c r="Q53" s="3"/>
      <c r="R53" s="8">
        <f t="shared" si="24"/>
        <v>1.383338896571456E-3</v>
      </c>
      <c r="S53" s="3"/>
      <c r="T53" s="7">
        <v>33</v>
      </c>
      <c r="U53" s="3"/>
      <c r="V53" s="8">
        <f t="shared" si="25"/>
        <v>6.5118298241805949E-4</v>
      </c>
      <c r="W53" s="3"/>
      <c r="X53" s="7">
        <f t="shared" si="26"/>
        <v>-3.9899999999999984</v>
      </c>
      <c r="Y53" s="3"/>
      <c r="Z53" s="8">
        <f t="shared" si="27"/>
        <v>-0.12090909090909085</v>
      </c>
    </row>
    <row r="54" spans="1:26" s="29" customFormat="1" outlineLevel="1" collapsed="1" x14ac:dyDescent="0.25">
      <c r="A54" s="28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SUM(OSRRefD22_8x_0)</f>
        <v>800</v>
      </c>
      <c r="E54" s="1"/>
      <c r="F54" s="5">
        <f t="shared" si="20"/>
        <v>3.8147918554193888E-2</v>
      </c>
      <c r="G54" s="1"/>
      <c r="H54" s="1">
        <f>SUM(OSRRefH22_8x_0)</f>
        <v>800</v>
      </c>
      <c r="I54" s="1"/>
      <c r="J54" s="5">
        <f t="shared" si="21"/>
        <v>1.5786254119225684E-2</v>
      </c>
      <c r="K54" s="1"/>
      <c r="L54" s="1">
        <f t="shared" si="22"/>
        <v>0</v>
      </c>
      <c r="M54" s="1"/>
      <c r="N54" s="5">
        <f t="shared" si="23"/>
        <v>0</v>
      </c>
      <c r="O54" s="14"/>
      <c r="P54" s="1">
        <f>SUM(OSRRefP22_8x_0)</f>
        <v>800</v>
      </c>
      <c r="Q54" s="1"/>
      <c r="R54" s="5">
        <f t="shared" si="24"/>
        <v>3.8147918554193888E-2</v>
      </c>
      <c r="S54" s="1"/>
      <c r="T54" s="1">
        <f>SUM(OSRRefT22_8x_0)</f>
        <v>800</v>
      </c>
      <c r="U54" s="1"/>
      <c r="V54" s="5">
        <f t="shared" si="25"/>
        <v>1.5786254119225684E-2</v>
      </c>
      <c r="W54" s="1"/>
      <c r="X54" s="1">
        <f t="shared" si="26"/>
        <v>0</v>
      </c>
      <c r="Y54" s="1"/>
      <c r="Z54" s="5">
        <f t="shared" si="27"/>
        <v>0</v>
      </c>
    </row>
    <row r="55" spans="1:26" s="24" customFormat="1" hidden="1" outlineLevel="2" x14ac:dyDescent="0.25">
      <c r="A55" s="27"/>
      <c r="B55" s="12" t="str">
        <f>CONCATENATE("          ", "6273", " - ", "RENT")</f>
        <v xml:space="preserve">          6273 - RENT</v>
      </c>
      <c r="C55" s="12"/>
      <c r="D55" s="7">
        <v>800</v>
      </c>
      <c r="E55" s="3"/>
      <c r="F55" s="8">
        <f t="shared" si="20"/>
        <v>3.8147918554193888E-2</v>
      </c>
      <c r="G55" s="3"/>
      <c r="H55" s="7">
        <v>800</v>
      </c>
      <c r="I55" s="3"/>
      <c r="J55" s="8">
        <f t="shared" si="21"/>
        <v>1.5786254119225684E-2</v>
      </c>
      <c r="K55" s="3"/>
      <c r="L55" s="7">
        <f t="shared" si="22"/>
        <v>0</v>
      </c>
      <c r="M55" s="3"/>
      <c r="N55" s="8">
        <f t="shared" si="23"/>
        <v>0</v>
      </c>
      <c r="O55" s="12"/>
      <c r="P55" s="7">
        <v>800</v>
      </c>
      <c r="Q55" s="3"/>
      <c r="R55" s="8">
        <f t="shared" si="24"/>
        <v>3.8147918554193888E-2</v>
      </c>
      <c r="S55" s="3"/>
      <c r="T55" s="7">
        <v>800</v>
      </c>
      <c r="U55" s="3"/>
      <c r="V55" s="8">
        <f t="shared" si="25"/>
        <v>1.5786254119225684E-2</v>
      </c>
      <c r="W55" s="3"/>
      <c r="X55" s="7">
        <f t="shared" si="26"/>
        <v>0</v>
      </c>
      <c r="Y55" s="3"/>
      <c r="Z55" s="8">
        <f t="shared" si="27"/>
        <v>0</v>
      </c>
    </row>
    <row r="56" spans="1:26" s="29" customFormat="1" outlineLevel="1" collapsed="1" x14ac:dyDescent="0.25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SUM(OSRRefD22_9x_0)</f>
        <v>0</v>
      </c>
      <c r="E56" s="1"/>
      <c r="F56" s="5">
        <f t="shared" si="20"/>
        <v>0</v>
      </c>
      <c r="G56" s="1"/>
      <c r="H56" s="1">
        <f>SUM(OSRRefH22_9x_0)</f>
        <v>1500</v>
      </c>
      <c r="I56" s="1"/>
      <c r="J56" s="5">
        <f t="shared" si="21"/>
        <v>2.9599226473548158E-2</v>
      </c>
      <c r="K56" s="1"/>
      <c r="L56" s="1">
        <f t="shared" si="22"/>
        <v>-1500</v>
      </c>
      <c r="M56" s="1"/>
      <c r="N56" s="5">
        <f t="shared" si="23"/>
        <v>-1</v>
      </c>
      <c r="O56" s="14"/>
      <c r="P56" s="1">
        <f>SUM(OSRRefP22_9x_0)</f>
        <v>0</v>
      </c>
      <c r="Q56" s="1"/>
      <c r="R56" s="5">
        <f t="shared" si="24"/>
        <v>0</v>
      </c>
      <c r="S56" s="1"/>
      <c r="T56" s="1">
        <f>SUM(OSRRefT22_9x_0)</f>
        <v>1500</v>
      </c>
      <c r="U56" s="1"/>
      <c r="V56" s="5">
        <f t="shared" si="25"/>
        <v>2.9599226473548158E-2</v>
      </c>
      <c r="W56" s="1"/>
      <c r="X56" s="1">
        <f t="shared" si="26"/>
        <v>-1500</v>
      </c>
      <c r="Y56" s="1"/>
      <c r="Z56" s="5">
        <f t="shared" si="27"/>
        <v>-1</v>
      </c>
    </row>
    <row r="57" spans="1:26" s="24" customFormat="1" hidden="1" outlineLevel="2" x14ac:dyDescent="0.25">
      <c r="A57" s="27"/>
      <c r="B57" s="12" t="str">
        <f>CONCATENATE("          ", "6372", " - ", "COMPUTER HARDWARE MAINTENANCE")</f>
        <v xml:space="preserve">          6372 - COMPUTER HARDWARE MAINTENANCE</v>
      </c>
      <c r="C57" s="12"/>
      <c r="D57" s="7"/>
      <c r="E57" s="3"/>
      <c r="F57" s="8">
        <f t="shared" si="20"/>
        <v>0</v>
      </c>
      <c r="G57" s="3"/>
      <c r="H57" s="7">
        <v>1500</v>
      </c>
      <c r="I57" s="3"/>
      <c r="J57" s="8">
        <f t="shared" si="21"/>
        <v>2.9599226473548158E-2</v>
      </c>
      <c r="K57" s="3"/>
      <c r="L57" s="7">
        <f t="shared" si="22"/>
        <v>-1500</v>
      </c>
      <c r="M57" s="3"/>
      <c r="N57" s="8">
        <f t="shared" si="23"/>
        <v>-1</v>
      </c>
      <c r="O57" s="12"/>
      <c r="P57" s="7"/>
      <c r="Q57" s="3"/>
      <c r="R57" s="8">
        <f t="shared" si="24"/>
        <v>0</v>
      </c>
      <c r="S57" s="3"/>
      <c r="T57" s="7">
        <v>1500</v>
      </c>
      <c r="U57" s="3"/>
      <c r="V57" s="8">
        <f t="shared" si="25"/>
        <v>2.9599226473548158E-2</v>
      </c>
      <c r="W57" s="3"/>
      <c r="X57" s="7">
        <f t="shared" si="26"/>
        <v>-1500</v>
      </c>
      <c r="Y57" s="3"/>
      <c r="Z57" s="8">
        <f t="shared" si="27"/>
        <v>-1</v>
      </c>
    </row>
    <row r="58" spans="1:26" s="29" customFormat="1" outlineLevel="1" collapsed="1" x14ac:dyDescent="0.25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SUM(OSRRefD22_10x_0)</f>
        <v>92.59</v>
      </c>
      <c r="E58" s="1"/>
      <c r="F58" s="5">
        <f t="shared" si="20"/>
        <v>4.4151447236660153E-3</v>
      </c>
      <c r="G58" s="1"/>
      <c r="H58" s="1">
        <f>SUM(OSRRefH22_10x_0)</f>
        <v>7000</v>
      </c>
      <c r="I58" s="1"/>
      <c r="J58" s="5">
        <f t="shared" si="21"/>
        <v>0.13812972354322473</v>
      </c>
      <c r="K58" s="1"/>
      <c r="L58" s="1">
        <f t="shared" si="22"/>
        <v>-6907.41</v>
      </c>
      <c r="M58" s="1"/>
      <c r="N58" s="5">
        <f t="shared" si="23"/>
        <v>-0.98677285714285712</v>
      </c>
      <c r="O58" s="14"/>
      <c r="P58" s="1">
        <f>SUM(OSRRefP22_10x_0)</f>
        <v>92.59</v>
      </c>
      <c r="Q58" s="1"/>
      <c r="R58" s="5">
        <f t="shared" si="24"/>
        <v>4.4151447236660153E-3</v>
      </c>
      <c r="S58" s="1"/>
      <c r="T58" s="1">
        <f>SUM(OSRRefT22_10x_0)</f>
        <v>7000</v>
      </c>
      <c r="U58" s="1"/>
      <c r="V58" s="5">
        <f t="shared" si="25"/>
        <v>0.13812972354322473</v>
      </c>
      <c r="W58" s="1"/>
      <c r="X58" s="1">
        <f t="shared" si="26"/>
        <v>-6907.41</v>
      </c>
      <c r="Y58" s="1"/>
      <c r="Z58" s="5">
        <f t="shared" si="27"/>
        <v>-0.98677285714285712</v>
      </c>
    </row>
    <row r="59" spans="1:26" s="24" customFormat="1" hidden="1" outlineLevel="2" x14ac:dyDescent="0.25">
      <c r="A59" s="27"/>
      <c r="B59" s="12" t="str">
        <f>CONCATENATE("          ", "6234", " - ", "EXPENDABLE SUPPLIES &amp; EQUIPMEN")</f>
        <v xml:space="preserve">          6234 - EXPENDABLE SUPPLIES &amp; EQUIPMEN</v>
      </c>
      <c r="C59" s="12"/>
      <c r="D59" s="7"/>
      <c r="E59" s="3"/>
      <c r="F59" s="8">
        <f t="shared" si="20"/>
        <v>0</v>
      </c>
      <c r="G59" s="3"/>
      <c r="H59" s="7">
        <v>7000</v>
      </c>
      <c r="I59" s="3"/>
      <c r="J59" s="8">
        <f t="shared" si="21"/>
        <v>0.13812972354322473</v>
      </c>
      <c r="K59" s="3"/>
      <c r="L59" s="7">
        <f t="shared" si="22"/>
        <v>-7000</v>
      </c>
      <c r="M59" s="3"/>
      <c r="N59" s="8">
        <f t="shared" si="23"/>
        <v>-1</v>
      </c>
      <c r="O59" s="12"/>
      <c r="P59" s="7"/>
      <c r="Q59" s="3"/>
      <c r="R59" s="8">
        <f t="shared" si="24"/>
        <v>0</v>
      </c>
      <c r="S59" s="3"/>
      <c r="T59" s="7">
        <v>7000</v>
      </c>
      <c r="U59" s="3"/>
      <c r="V59" s="8">
        <f t="shared" si="25"/>
        <v>0.13812972354322473</v>
      </c>
      <c r="W59" s="3"/>
      <c r="X59" s="7">
        <f t="shared" si="26"/>
        <v>-7000</v>
      </c>
      <c r="Y59" s="3"/>
      <c r="Z59" s="8">
        <f t="shared" si="27"/>
        <v>-1</v>
      </c>
    </row>
    <row r="60" spans="1:26" s="24" customFormat="1" hidden="1" outlineLevel="2" x14ac:dyDescent="0.25">
      <c r="A60" s="27"/>
      <c r="B60" s="12" t="str">
        <f>CONCATENATE("          ", "6241", " - ", "OFFICE EXPENSE")</f>
        <v xml:space="preserve">          6241 - OFFICE EXPENSE</v>
      </c>
      <c r="C60" s="12"/>
      <c r="D60" s="7">
        <v>92.59</v>
      </c>
      <c r="E60" s="3"/>
      <c r="F60" s="8">
        <f t="shared" si="20"/>
        <v>4.4151447236660153E-3</v>
      </c>
      <c r="G60" s="3"/>
      <c r="H60" s="7"/>
      <c r="I60" s="3"/>
      <c r="J60" s="8">
        <f t="shared" si="21"/>
        <v>0</v>
      </c>
      <c r="K60" s="3"/>
      <c r="L60" s="7">
        <f t="shared" si="22"/>
        <v>92.59</v>
      </c>
      <c r="M60" s="3"/>
      <c r="N60" s="8">
        <f t="shared" si="23"/>
        <v>0</v>
      </c>
      <c r="O60" s="12"/>
      <c r="P60" s="7">
        <v>92.59</v>
      </c>
      <c r="Q60" s="3"/>
      <c r="R60" s="8">
        <f t="shared" si="24"/>
        <v>4.4151447236660153E-3</v>
      </c>
      <c r="S60" s="3"/>
      <c r="T60" s="7"/>
      <c r="U60" s="3"/>
      <c r="V60" s="8">
        <f t="shared" si="25"/>
        <v>0</v>
      </c>
      <c r="W60" s="3"/>
      <c r="X60" s="7">
        <f t="shared" si="26"/>
        <v>92.59</v>
      </c>
      <c r="Y60" s="3"/>
      <c r="Z60" s="8">
        <f t="shared" si="27"/>
        <v>0</v>
      </c>
    </row>
    <row r="61" spans="1:26" s="29" customFormat="1" outlineLevel="1" collapsed="1" x14ac:dyDescent="0.25">
      <c r="A61" s="28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SUM(OSRRefD22_11x_0)</f>
        <v>154.93</v>
      </c>
      <c r="E61" s="1"/>
      <c r="F61" s="5">
        <f t="shared" ref="F61:F62" si="28">IF(D$12=0,0,D61/D$12)</f>
        <v>7.3878212770015737E-3</v>
      </c>
      <c r="G61" s="1"/>
      <c r="H61" s="1">
        <f>SUM(OSRRefH22_11x_0)</f>
        <v>700</v>
      </c>
      <c r="I61" s="1"/>
      <c r="J61" s="5">
        <f t="shared" ref="J61:J62" si="29">IF(H$12=0,0,H61/H$12)</f>
        <v>1.3812972354322474E-2</v>
      </c>
      <c r="K61" s="1"/>
      <c r="L61" s="1">
        <f t="shared" ref="L61:L62" si="30">+D61-H61</f>
        <v>-545.06999999999994</v>
      </c>
      <c r="M61" s="1"/>
      <c r="N61" s="5">
        <f t="shared" ref="N61:N62" si="31">IF(H61=0,0,L61/H61)</f>
        <v>-0.77867142857142846</v>
      </c>
      <c r="O61" s="14"/>
      <c r="P61" s="1">
        <f>SUM(OSRRefP22_11x_0)</f>
        <v>154.93</v>
      </c>
      <c r="Q61" s="1"/>
      <c r="R61" s="5">
        <f t="shared" ref="R61:R62" si="32">IF(P$12=0,0,P61/P$12)</f>
        <v>7.3878212770015737E-3</v>
      </c>
      <c r="S61" s="1"/>
      <c r="T61" s="1">
        <f>SUM(OSRRefT22_11x_0)</f>
        <v>700</v>
      </c>
      <c r="U61" s="1"/>
      <c r="V61" s="5">
        <f t="shared" ref="V61:V62" si="33">IF(T$12=0,0,T61/T$12)</f>
        <v>1.3812972354322474E-2</v>
      </c>
      <c r="W61" s="1"/>
      <c r="X61" s="1">
        <f t="shared" ref="X61:X62" si="34">+P61-T61</f>
        <v>-545.06999999999994</v>
      </c>
      <c r="Y61" s="1"/>
      <c r="Z61" s="5">
        <f t="shared" ref="Z61:Z62" si="35">IF(T61=0,0,X61/T61)</f>
        <v>-0.77867142857142846</v>
      </c>
    </row>
    <row r="62" spans="1:26" s="24" customFormat="1" hidden="1" outlineLevel="2" x14ac:dyDescent="0.25">
      <c r="A62" s="27"/>
      <c r="B62" s="12" t="str">
        <f>CONCATENATE("          ", "6309", " - ", "TELEPHONE")</f>
        <v xml:space="preserve">          6309 - TELEPHONE</v>
      </c>
      <c r="C62" s="12"/>
      <c r="D62" s="7">
        <v>154.93</v>
      </c>
      <c r="E62" s="3"/>
      <c r="F62" s="8">
        <f t="shared" si="28"/>
        <v>7.3878212770015737E-3</v>
      </c>
      <c r="G62" s="3"/>
      <c r="H62" s="7">
        <v>700</v>
      </c>
      <c r="I62" s="3"/>
      <c r="J62" s="8">
        <f t="shared" si="29"/>
        <v>1.3812972354322474E-2</v>
      </c>
      <c r="K62" s="3"/>
      <c r="L62" s="7">
        <f t="shared" si="30"/>
        <v>-545.06999999999994</v>
      </c>
      <c r="M62" s="3"/>
      <c r="N62" s="8">
        <f t="shared" si="31"/>
        <v>-0.77867142857142846</v>
      </c>
      <c r="O62" s="12"/>
      <c r="P62" s="7">
        <v>154.93</v>
      </c>
      <c r="Q62" s="3"/>
      <c r="R62" s="8">
        <f t="shared" si="32"/>
        <v>7.3878212770015737E-3</v>
      </c>
      <c r="S62" s="3"/>
      <c r="T62" s="7">
        <v>700</v>
      </c>
      <c r="U62" s="3"/>
      <c r="V62" s="8">
        <f t="shared" si="33"/>
        <v>1.3812972354322474E-2</v>
      </c>
      <c r="W62" s="3"/>
      <c r="X62" s="7">
        <f t="shared" si="34"/>
        <v>-545.06999999999994</v>
      </c>
      <c r="Y62" s="3"/>
      <c r="Z62" s="8">
        <f t="shared" si="35"/>
        <v>-0.77867142857142846</v>
      </c>
    </row>
    <row r="63" spans="1:26" s="54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2" customFormat="1" collapsed="1" x14ac:dyDescent="0.25">
      <c r="A64" s="10"/>
      <c r="B64" s="26" t="s">
        <v>0</v>
      </c>
      <c r="C64" s="10"/>
      <c r="D64" s="4">
        <f>SUM(OSRRefD25x_0)</f>
        <v>165</v>
      </c>
      <c r="E64" s="4"/>
      <c r="F64" s="11">
        <f t="shared" ref="F64:F65" si="36">IF(D$12=0,0,D64/D$12)</f>
        <v>7.8680082018024889E-3</v>
      </c>
      <c r="G64" s="4"/>
      <c r="H64" s="4">
        <f>SUM(OSRRefH25x_0)</f>
        <v>1500</v>
      </c>
      <c r="I64" s="4"/>
      <c r="J64" s="11">
        <f t="shared" ref="J64:J65" si="37">IF(H$12=0,0,H64/H$12)</f>
        <v>2.9599226473548158E-2</v>
      </c>
      <c r="K64" s="4"/>
      <c r="L64" s="4">
        <f t="shared" ref="L64:L65" si="38">+D64-H64</f>
        <v>-1335</v>
      </c>
      <c r="M64" s="4"/>
      <c r="N64" s="11">
        <f t="shared" ref="N64:N65" si="39">IF(H64=0,0,L64/H64)</f>
        <v>-0.89</v>
      </c>
      <c r="O64" s="10"/>
      <c r="P64" s="4">
        <f>SUM(OSRRefP25x_0)</f>
        <v>165</v>
      </c>
      <c r="Q64" s="4"/>
      <c r="R64" s="11">
        <f t="shared" ref="R64:R65" si="40">IF(P$12=0,0,P64/P$12)</f>
        <v>7.8680082018024889E-3</v>
      </c>
      <c r="S64" s="4"/>
      <c r="T64" s="4">
        <f>SUM(OSRRefT25x_0)</f>
        <v>1500</v>
      </c>
      <c r="U64" s="4"/>
      <c r="V64" s="11">
        <f t="shared" ref="V64:V65" si="41">IF(T$12=0,0,T64/T$12)</f>
        <v>2.9599226473548158E-2</v>
      </c>
      <c r="W64" s="4"/>
      <c r="X64" s="4">
        <f t="shared" ref="X64:X65" si="42">+P64-T64</f>
        <v>-1335</v>
      </c>
      <c r="Y64" s="4"/>
      <c r="Z64" s="11">
        <f t="shared" ref="Z64:Z65" si="43">IF(T64=0,0,X64/T64)</f>
        <v>-0.89</v>
      </c>
    </row>
    <row r="65" spans="1:26" s="24" customFormat="1" hidden="1" outlineLevel="1" x14ac:dyDescent="0.25">
      <c r="A65" s="51"/>
      <c r="B65" s="12" t="str">
        <f>CONCATENATE("          ", "9150", " - ", "MISC. INCOME")</f>
        <v xml:space="preserve">          9150 - MISC. INCOME</v>
      </c>
      <c r="C65" s="12"/>
      <c r="D65" s="3">
        <f>--165</f>
        <v>165</v>
      </c>
      <c r="E65" s="3"/>
      <c r="F65" s="23">
        <f t="shared" si="36"/>
        <v>7.8680082018024889E-3</v>
      </c>
      <c r="G65" s="3"/>
      <c r="H65" s="3">
        <v>1500</v>
      </c>
      <c r="I65" s="3"/>
      <c r="J65" s="23">
        <f t="shared" si="37"/>
        <v>2.9599226473548158E-2</v>
      </c>
      <c r="K65" s="3"/>
      <c r="L65" s="3">
        <f t="shared" si="38"/>
        <v>-1335</v>
      </c>
      <c r="M65" s="3"/>
      <c r="N65" s="23">
        <f t="shared" si="39"/>
        <v>-0.89</v>
      </c>
      <c r="O65" s="12"/>
      <c r="P65" s="3">
        <f>--165</f>
        <v>165</v>
      </c>
      <c r="Q65" s="3"/>
      <c r="R65" s="23">
        <f t="shared" si="40"/>
        <v>7.8680082018024889E-3</v>
      </c>
      <c r="S65" s="3"/>
      <c r="T65" s="3">
        <v>1500</v>
      </c>
      <c r="U65" s="3"/>
      <c r="V65" s="23">
        <f t="shared" si="41"/>
        <v>2.9599226473548158E-2</v>
      </c>
      <c r="W65" s="3"/>
      <c r="X65" s="3">
        <f t="shared" si="42"/>
        <v>-1335</v>
      </c>
      <c r="Y65" s="3"/>
      <c r="Z65" s="23">
        <f t="shared" si="43"/>
        <v>-0.89</v>
      </c>
    </row>
    <row r="66" spans="1:26" x14ac:dyDescent="0.25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2" customFormat="1" x14ac:dyDescent="0.25">
      <c r="A67" s="10"/>
      <c r="B67" s="25" t="s">
        <v>3</v>
      </c>
      <c r="C67" s="25"/>
      <c r="D67" s="21">
        <f>+D17-D19+D64</f>
        <v>0.13999999999941792</v>
      </c>
      <c r="E67" s="13"/>
      <c r="F67" s="20">
        <f>IF(D$12=0,0,D67/D$12)</f>
        <v>6.6758857469561736E-6</v>
      </c>
      <c r="G67" s="13"/>
      <c r="H67" s="21">
        <f>+H17-H19+H64</f>
        <v>7764.2419967307724</v>
      </c>
      <c r="I67" s="13"/>
      <c r="J67" s="20">
        <f>IF(H$12=0,0,H67/H$12)</f>
        <v>0.15321037150444525</v>
      </c>
      <c r="K67" s="15"/>
      <c r="L67" s="21">
        <f>+D67-H67</f>
        <v>-7764.101996730773</v>
      </c>
      <c r="M67" s="15"/>
      <c r="N67" s="20">
        <f>IF(H67=0,0,L67/H67)</f>
        <v>-0.99998196861972377</v>
      </c>
      <c r="O67" s="26"/>
      <c r="P67" s="21">
        <f>+P17-P19+P64</f>
        <v>0.13999999999941792</v>
      </c>
      <c r="Q67" s="13"/>
      <c r="R67" s="20">
        <f>IF(P$12=0,0,P67/P$12)</f>
        <v>6.6758857469561736E-6</v>
      </c>
      <c r="S67" s="13"/>
      <c r="T67" s="21">
        <f>+T17-T19+T64</f>
        <v>7764.2419967307724</v>
      </c>
      <c r="U67" s="13"/>
      <c r="V67" s="20">
        <f>IF(T$12=0,0,T67/T$12)</f>
        <v>0.15321037150444525</v>
      </c>
      <c r="W67" s="15"/>
      <c r="X67" s="21">
        <f>+P67-T67</f>
        <v>-7764.101996730773</v>
      </c>
      <c r="Y67" s="15"/>
      <c r="Z67" s="20">
        <f>IF(T67=0,0,X67/T67)</f>
        <v>-0.99998196861972377</v>
      </c>
    </row>
    <row r="68" spans="1:26" x14ac:dyDescent="0.25">
      <c r="A68" s="9"/>
      <c r="B68" s="10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2" customFormat="1" x14ac:dyDescent="0.25">
      <c r="A69" s="52"/>
      <c r="B69" s="10" t="s">
        <v>14</v>
      </c>
      <c r="C69" s="10"/>
      <c r="D69" s="4">
        <v>10085.93</v>
      </c>
      <c r="E69" s="4"/>
      <c r="F69" s="11">
        <f>IF(D$12=0,0,D69/D$12)</f>
        <v>0.48094654522912594</v>
      </c>
      <c r="G69" s="4"/>
      <c r="H69" s="4">
        <v>24617</v>
      </c>
      <c r="I69" s="4"/>
      <c r="J69" s="11">
        <f>IF(H$12=0,0,H69/H$12)</f>
        <v>0.48576277206622331</v>
      </c>
      <c r="K69" s="4"/>
      <c r="L69" s="4">
        <f>+D69-H69</f>
        <v>-14531.07</v>
      </c>
      <c r="M69" s="4"/>
      <c r="N69" s="11">
        <f>IF(H69=0,0,L69/H69)</f>
        <v>-0.59028598123248166</v>
      </c>
      <c r="O69" s="10"/>
      <c r="P69" s="4">
        <v>10085.93</v>
      </c>
      <c r="Q69" s="4"/>
      <c r="R69" s="11">
        <f>IF(P$12=0,0,P69/P$12)</f>
        <v>0.48094654522912594</v>
      </c>
      <c r="S69" s="4"/>
      <c r="T69" s="4">
        <v>24617</v>
      </c>
      <c r="U69" s="4"/>
      <c r="V69" s="11">
        <f>IF(T$12=0,0,T69/T$12)</f>
        <v>0.48576277206622331</v>
      </c>
      <c r="W69" s="4"/>
      <c r="X69" s="4">
        <f>+P69-T69</f>
        <v>-14531.07</v>
      </c>
      <c r="Y69" s="4"/>
      <c r="Z69" s="11">
        <f>IF(T69=0,0,X69/T69)</f>
        <v>-0.59028598123248166</v>
      </c>
    </row>
    <row r="70" spans="1:26" x14ac:dyDescent="0.25">
      <c r="A70" s="9"/>
      <c r="B70" s="10"/>
      <c r="C70" s="10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10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2" customFormat="1" ht="15.75" thickBot="1" x14ac:dyDescent="0.3">
      <c r="A71" s="10"/>
      <c r="B71" s="25" t="s">
        <v>4</v>
      </c>
      <c r="C71" s="25"/>
      <c r="D71" s="34">
        <f>+D67-D69</f>
        <v>-10085.790000000001</v>
      </c>
      <c r="E71" s="13"/>
      <c r="F71" s="30">
        <f>IF(D$12=0,0,D71/D$12)</f>
        <v>-0.48093986934337901</v>
      </c>
      <c r="G71" s="13"/>
      <c r="H71" s="34">
        <f>+H67-H69</f>
        <v>-16852.758003269228</v>
      </c>
      <c r="I71" s="13"/>
      <c r="J71" s="30">
        <f>IF(H$12=0,0,H71/H$12)</f>
        <v>-0.33255240056177809</v>
      </c>
      <c r="K71" s="15"/>
      <c r="L71" s="34">
        <f>D71-H71</f>
        <v>6766.9680032692268</v>
      </c>
      <c r="M71" s="15"/>
      <c r="N71" s="30">
        <f>IF(H71=0,0,L71/H71)</f>
        <v>-0.40153475187601451</v>
      </c>
      <c r="O71" s="26"/>
      <c r="P71" s="34">
        <f>+P67-P69</f>
        <v>-10085.790000000001</v>
      </c>
      <c r="Q71" s="13"/>
      <c r="R71" s="30">
        <f>IF(P$12=0,0,P71/P$12)</f>
        <v>-0.48093986934337901</v>
      </c>
      <c r="S71" s="13"/>
      <c r="T71" s="34">
        <f>+T67-T69</f>
        <v>-16852.758003269228</v>
      </c>
      <c r="U71" s="13"/>
      <c r="V71" s="30">
        <f>IF(T$12=0,0,T71/T$12)</f>
        <v>-0.33255240056177809</v>
      </c>
      <c r="W71" s="15"/>
      <c r="X71" s="34">
        <f>P71-T71</f>
        <v>6766.9680032692268</v>
      </c>
      <c r="Y71" s="15"/>
      <c r="Z71" s="30">
        <f>IF(T71=0,0,X71/T71)</f>
        <v>-0.40153475187601451</v>
      </c>
    </row>
    <row r="72" spans="1:26" ht="15.75" thickTop="1" x14ac:dyDescent="0.25">
      <c r="A72" s="9"/>
      <c r="B72" s="9"/>
      <c r="C72" s="9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x14ac:dyDescent="0.25">
      <c r="A73" s="9"/>
      <c r="B73" s="9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2" customFormat="1" ht="15.75" thickBot="1" x14ac:dyDescent="0.3">
      <c r="A74" s="10"/>
      <c r="B74" s="25" t="s">
        <v>5</v>
      </c>
      <c r="C74" s="25"/>
      <c r="D74" s="32">
        <f>SUM(D71:D73)</f>
        <v>-10085.790000000001</v>
      </c>
      <c r="E74" s="13"/>
      <c r="F74" s="33">
        <f>IF(D$12=0,0,D74/D$12)</f>
        <v>-0.48093986934337901</v>
      </c>
      <c r="G74" s="13"/>
      <c r="H74" s="32">
        <f>SUM(H71:H73)</f>
        <v>-16852.758003269228</v>
      </c>
      <c r="I74" s="13"/>
      <c r="J74" s="33">
        <f>IF(H$12=0,0,H74/H$12)</f>
        <v>-0.33255240056177809</v>
      </c>
      <c r="K74" s="15"/>
      <c r="L74" s="32">
        <f>+D74-H74</f>
        <v>6766.9680032692268</v>
      </c>
      <c r="M74" s="15"/>
      <c r="N74" s="33">
        <f>IF(H74=0,0,L74/H74)</f>
        <v>-0.40153475187601451</v>
      </c>
      <c r="O74" s="26"/>
      <c r="P74" s="32">
        <f>SUM(P71:P73)</f>
        <v>-10085.790000000001</v>
      </c>
      <c r="Q74" s="13"/>
      <c r="R74" s="33">
        <f>IF(P$12=0,0,P74/P$12)</f>
        <v>-0.48093986934337901</v>
      </c>
      <c r="S74" s="13"/>
      <c r="T74" s="32">
        <f>SUM(T71:T73)</f>
        <v>-16852.758003269228</v>
      </c>
      <c r="U74" s="13"/>
      <c r="V74" s="33">
        <f>IF(T$12=0,0,T74/T$12)</f>
        <v>-0.33255240056177809</v>
      </c>
      <c r="W74" s="15"/>
      <c r="X74" s="32">
        <f>+P74-T74</f>
        <v>6766.9680032692268</v>
      </c>
      <c r="Y74" s="15"/>
      <c r="Z74" s="33">
        <f>IF(T74=0,0,X74/T74)</f>
        <v>-0.40153475187601451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8">
        <v>44104.685650497682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6" t="s">
        <v>314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62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str">
        <f>CONCATENATE("Period ",RIGHT(202101,2),", ",2021)</f>
        <v>Period 01, 2021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4">
        <v>44044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str">
        <f>CONCATENATE("Department ","501", " - ", "ID Card Services")</f>
        <v>Department 501 - ID Card Services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>
        <f>SUM(OSRRefD13x_0)</f>
        <v>20971</v>
      </c>
      <c r="E12" s="4"/>
      <c r="F12" s="11"/>
      <c r="G12" s="4"/>
      <c r="H12" s="4">
        <f>SUM(OSRRefH13x_0)</f>
        <v>50677</v>
      </c>
      <c r="I12" s="4"/>
      <c r="J12" s="11"/>
      <c r="K12" s="4"/>
      <c r="L12" s="4">
        <f t="shared" ref="L12:L13" si="0">+D12-H12</f>
        <v>-29706</v>
      </c>
      <c r="M12" s="4"/>
      <c r="N12" s="11">
        <f t="shared" ref="N12:N13" si="1">IF(H12=0,0,L12/H12)</f>
        <v>-0.58618308108214767</v>
      </c>
      <c r="O12" s="10"/>
      <c r="P12" s="4">
        <f>SUM(OSRRefP13x_0)</f>
        <v>20971</v>
      </c>
      <c r="Q12" s="4"/>
      <c r="R12" s="11"/>
      <c r="S12" s="4"/>
      <c r="T12" s="4">
        <f>SUM(OSRRefT13x_0)</f>
        <v>50677</v>
      </c>
      <c r="U12" s="4"/>
      <c r="V12" s="11"/>
      <c r="W12" s="4"/>
      <c r="X12" s="4">
        <f t="shared" ref="X12:X13" si="2">+P12-T12</f>
        <v>-29706</v>
      </c>
      <c r="Y12" s="4"/>
      <c r="Z12" s="11">
        <f t="shared" ref="Z12:Z13" si="3">IF(T12=0,0,X12/T12)</f>
        <v>-0.58618308108214767</v>
      </c>
    </row>
    <row r="13" spans="1:26" s="24" customFormat="1" hidden="1" outlineLevel="1" x14ac:dyDescent="0.25">
      <c r="A13" s="51"/>
      <c r="B13" s="12" t="str">
        <f>CONCATENATE("          ", "4100", " - ", "NON-TAXABLE SALES")</f>
        <v xml:space="preserve">          4100 - NON-TAXABLE SALES</v>
      </c>
      <c r="C13" s="12"/>
      <c r="D13" s="3">
        <f>--20971</f>
        <v>20971</v>
      </c>
      <c r="E13" s="3"/>
      <c r="F13" s="23"/>
      <c r="G13" s="3"/>
      <c r="H13" s="3">
        <v>50677</v>
      </c>
      <c r="I13" s="3"/>
      <c r="J13" s="23"/>
      <c r="K13" s="3"/>
      <c r="L13" s="3">
        <f t="shared" si="0"/>
        <v>-29706</v>
      </c>
      <c r="M13" s="3"/>
      <c r="N13" s="23">
        <f t="shared" si="1"/>
        <v>-0.58618308108214767</v>
      </c>
      <c r="O13" s="12"/>
      <c r="P13" s="3">
        <f>--20971</f>
        <v>20971</v>
      </c>
      <c r="Q13" s="3"/>
      <c r="R13" s="23"/>
      <c r="S13" s="3"/>
      <c r="T13" s="3">
        <v>50677</v>
      </c>
      <c r="U13" s="3"/>
      <c r="V13" s="23"/>
      <c r="W13" s="3"/>
      <c r="X13" s="3">
        <f t="shared" si="2"/>
        <v>-29706</v>
      </c>
      <c r="Y13" s="3"/>
      <c r="Z13" s="23">
        <f t="shared" si="3"/>
        <v>-0.58618308108214767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x14ac:dyDescent="0.25">
      <c r="A15" s="10"/>
      <c r="B15" s="26" t="s">
        <v>8</v>
      </c>
      <c r="C15" s="10"/>
      <c r="D15" s="4">
        <f>SUM(0)</f>
        <v>0</v>
      </c>
      <c r="E15" s="4"/>
      <c r="F15" s="11">
        <f>IF(D$12=0,0,D15/D$12)</f>
        <v>0</v>
      </c>
      <c r="G15" s="4"/>
      <c r="H15" s="4">
        <f>SUM(0)</f>
        <v>0</v>
      </c>
      <c r="I15" s="4"/>
      <c r="J15" s="11">
        <f>IF(H$12=0,0,H15/H$12)</f>
        <v>0</v>
      </c>
      <c r="K15" s="4"/>
      <c r="L15" s="4">
        <f>+D15-H15</f>
        <v>0</v>
      </c>
      <c r="M15" s="4"/>
      <c r="N15" s="11">
        <f>IF(H15=0,0,L15/H15)</f>
        <v>0</v>
      </c>
      <c r="O15" s="10"/>
      <c r="P15" s="4">
        <f>SUM(0)</f>
        <v>0</v>
      </c>
      <c r="Q15" s="4"/>
      <c r="R15" s="11">
        <f>IF(P$12=0,0,P15/P$12)</f>
        <v>0</v>
      </c>
      <c r="S15" s="4"/>
      <c r="T15" s="4">
        <f>SUM(0)</f>
        <v>0</v>
      </c>
      <c r="U15" s="4"/>
      <c r="V15" s="11">
        <f>IF(T$12=0,0,T15/T$12)</f>
        <v>0</v>
      </c>
      <c r="W15" s="4"/>
      <c r="X15" s="4">
        <f>+P15-T15</f>
        <v>0</v>
      </c>
      <c r="Y15" s="4"/>
      <c r="Z15" s="11">
        <f>IF(T15=0,0,X15/T15)</f>
        <v>0</v>
      </c>
    </row>
    <row r="16" spans="1:26" x14ac:dyDescent="0.25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2" customFormat="1" x14ac:dyDescent="0.25">
      <c r="A17" s="10"/>
      <c r="B17" s="25" t="s">
        <v>6</v>
      </c>
      <c r="C17" s="25"/>
      <c r="D17" s="21">
        <f>D12-D15</f>
        <v>20971</v>
      </c>
      <c r="E17" s="13"/>
      <c r="F17" s="20">
        <f>IF(D$12=0,0,D17/D$12)</f>
        <v>1</v>
      </c>
      <c r="G17" s="13"/>
      <c r="H17" s="21">
        <f>H12-H15</f>
        <v>50677</v>
      </c>
      <c r="I17" s="13"/>
      <c r="J17" s="20">
        <f>IF(H$12=0,0,H17/H$12)</f>
        <v>1</v>
      </c>
      <c r="K17" s="15"/>
      <c r="L17" s="21">
        <f>+D17-H17</f>
        <v>-29706</v>
      </c>
      <c r="M17" s="15"/>
      <c r="N17" s="20">
        <f>IF(H17=0,0,L17/H17)</f>
        <v>-0.58618308108214767</v>
      </c>
      <c r="O17" s="26"/>
      <c r="P17" s="21">
        <f>P12-P15</f>
        <v>20971</v>
      </c>
      <c r="Q17" s="13"/>
      <c r="R17" s="20">
        <f>IF(P$12=0,0,P17/P$12)</f>
        <v>1</v>
      </c>
      <c r="S17" s="13"/>
      <c r="T17" s="21">
        <f>T12-T15</f>
        <v>50677</v>
      </c>
      <c r="U17" s="13"/>
      <c r="V17" s="20">
        <f>IF(T$12=0,0,T17/T$12)</f>
        <v>1</v>
      </c>
      <c r="W17" s="15"/>
      <c r="X17" s="21">
        <f>+P17-T17</f>
        <v>-29706</v>
      </c>
      <c r="Y17" s="15"/>
      <c r="Z17" s="20">
        <f>IF(T17=0,0,X17/T17)</f>
        <v>-0.58618308108214767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6" t="s">
        <v>9</v>
      </c>
      <c r="C19" s="10"/>
      <c r="D19" s="19">
        <f>SUM(OSRRefD22x_0)</f>
        <v>21135.86</v>
      </c>
      <c r="E19" s="19"/>
      <c r="F19" s="31">
        <f t="shared" ref="F19:F30" si="4">IF(D$12=0,0,D19/D$12)</f>
        <v>1.0078613323160555</v>
      </c>
      <c r="G19" s="19"/>
      <c r="H19" s="19">
        <f>SUM(OSRRefH22x_0)</f>
        <v>44412.758003269228</v>
      </c>
      <c r="I19" s="19"/>
      <c r="J19" s="31">
        <f t="shared" ref="J19:J30" si="5">IF(H$12=0,0,H19/H$12)</f>
        <v>0.8763888549691029</v>
      </c>
      <c r="K19" s="4"/>
      <c r="L19" s="19">
        <f t="shared" ref="L19:L30" si="6">+D19-H19</f>
        <v>-23276.898003269227</v>
      </c>
      <c r="M19" s="4"/>
      <c r="N19" s="31">
        <f t="shared" ref="N19:N30" si="7">IF(H19=0,0,L19/H19)</f>
        <v>-0.52410386226308692</v>
      </c>
      <c r="O19" s="10"/>
      <c r="P19" s="19">
        <f>SUM(OSRRefP22x_0)</f>
        <v>21135.86</v>
      </c>
      <c r="Q19" s="19"/>
      <c r="R19" s="31">
        <f t="shared" ref="R19:R30" si="8">IF(P$12=0,0,P19/P$12)</f>
        <v>1.0078613323160555</v>
      </c>
      <c r="S19" s="19"/>
      <c r="T19" s="19">
        <f>SUM(OSRRefT22x_0)</f>
        <v>44412.758003269228</v>
      </c>
      <c r="U19" s="19"/>
      <c r="V19" s="31">
        <f t="shared" ref="V19:V30" si="9">IF(T$12=0,0,T19/T$12)</f>
        <v>0.8763888549691029</v>
      </c>
      <c r="W19" s="4"/>
      <c r="X19" s="19">
        <f t="shared" ref="X19:X30" si="10">+P19-T19</f>
        <v>-23276.898003269227</v>
      </c>
      <c r="Y19" s="4"/>
      <c r="Z19" s="31">
        <f t="shared" ref="Z19:Z30" si="11">IF(T19=0,0,X19/T19)</f>
        <v>-0.52410386226308692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4207.82</v>
      </c>
      <c r="E20" s="1"/>
      <c r="F20" s="5">
        <f t="shared" si="4"/>
        <v>0.20064946831338515</v>
      </c>
      <c r="G20" s="1"/>
      <c r="H20" s="1">
        <f>SUM(OSRRefH22_0x_0)</f>
        <v>6366.6570417307676</v>
      </c>
      <c r="I20" s="1"/>
      <c r="J20" s="5">
        <f t="shared" si="5"/>
        <v>0.12563208243839943</v>
      </c>
      <c r="K20" s="1"/>
      <c r="L20" s="1">
        <f t="shared" si="6"/>
        <v>-2158.8370417307679</v>
      </c>
      <c r="M20" s="1"/>
      <c r="N20" s="5">
        <f t="shared" si="7"/>
        <v>-0.33908486472264743</v>
      </c>
      <c r="O20" s="14"/>
      <c r="P20" s="1">
        <f>SUM(OSRRefP22_0x_0)</f>
        <v>4207.82</v>
      </c>
      <c r="Q20" s="1"/>
      <c r="R20" s="5">
        <f t="shared" si="8"/>
        <v>0.20064946831338515</v>
      </c>
      <c r="S20" s="1"/>
      <c r="T20" s="1">
        <f>SUM(OSRRefT22_0x_0)</f>
        <v>6366.6570417307676</v>
      </c>
      <c r="U20" s="1"/>
      <c r="V20" s="5">
        <f t="shared" si="9"/>
        <v>0.12563208243839943</v>
      </c>
      <c r="W20" s="1"/>
      <c r="X20" s="1">
        <f t="shared" si="10"/>
        <v>-2158.8370417307679</v>
      </c>
      <c r="Y20" s="1"/>
      <c r="Z20" s="5">
        <f t="shared" si="11"/>
        <v>-0.33908486472264743</v>
      </c>
    </row>
    <row r="21" spans="1:26" s="24" customFormat="1" hidden="1" outlineLevel="2" x14ac:dyDescent="0.25">
      <c r="A21" s="27"/>
      <c r="B21" s="12" t="str">
        <f>CONCATENATE("          ", "6111", " - ", "F.I.C.A.")</f>
        <v xml:space="preserve">          6111 - F.I.C.A.</v>
      </c>
      <c r="C21" s="12"/>
      <c r="D21" s="7">
        <v>1006.58</v>
      </c>
      <c r="E21" s="3"/>
      <c r="F21" s="8">
        <f t="shared" si="4"/>
        <v>4.7998664822850604E-2</v>
      </c>
      <c r="G21" s="3"/>
      <c r="H21" s="7">
        <v>2094.9484090384599</v>
      </c>
      <c r="I21" s="3"/>
      <c r="J21" s="8">
        <f t="shared" si="5"/>
        <v>4.1339234939685852E-2</v>
      </c>
      <c r="K21" s="3"/>
      <c r="L21" s="7">
        <f t="shared" si="6"/>
        <v>-1088.36840903846</v>
      </c>
      <c r="M21" s="3"/>
      <c r="N21" s="8">
        <f t="shared" si="7"/>
        <v>-0.51952038739607898</v>
      </c>
      <c r="O21" s="12"/>
      <c r="P21" s="7">
        <v>1006.58</v>
      </c>
      <c r="Q21" s="3"/>
      <c r="R21" s="8">
        <f t="shared" si="8"/>
        <v>4.7998664822850604E-2</v>
      </c>
      <c r="S21" s="3"/>
      <c r="T21" s="7">
        <v>2094.9484090384599</v>
      </c>
      <c r="U21" s="3"/>
      <c r="V21" s="8">
        <f t="shared" si="9"/>
        <v>4.1339234939685852E-2</v>
      </c>
      <c r="W21" s="3"/>
      <c r="X21" s="7">
        <f t="shared" si="10"/>
        <v>-1088.36840903846</v>
      </c>
      <c r="Y21" s="3"/>
      <c r="Z21" s="8">
        <f t="shared" si="11"/>
        <v>-0.51952038739607898</v>
      </c>
    </row>
    <row r="22" spans="1:26" s="24" customFormat="1" hidden="1" outlineLevel="2" x14ac:dyDescent="0.25">
      <c r="A22" s="27"/>
      <c r="B22" s="12" t="str">
        <f>CONCATENATE("          ", "6112", " - ", "COMPENSATION INSURANCE")</f>
        <v xml:space="preserve">          6112 - COMPENSATION INSURANCE</v>
      </c>
      <c r="C22" s="12"/>
      <c r="D22" s="7">
        <v>77.87</v>
      </c>
      <c r="E22" s="3"/>
      <c r="F22" s="8">
        <f t="shared" si="4"/>
        <v>3.7132230222688477E-3</v>
      </c>
      <c r="G22" s="3"/>
      <c r="H22" s="7">
        <v>506.422913461539</v>
      </c>
      <c r="I22" s="3"/>
      <c r="J22" s="8">
        <f t="shared" si="5"/>
        <v>9.9931510046281161E-3</v>
      </c>
      <c r="K22" s="3"/>
      <c r="L22" s="7">
        <f t="shared" si="6"/>
        <v>-428.55291346153899</v>
      </c>
      <c r="M22" s="3"/>
      <c r="N22" s="8">
        <f t="shared" si="7"/>
        <v>-0.84623523555098001</v>
      </c>
      <c r="O22" s="12"/>
      <c r="P22" s="7">
        <v>77.87</v>
      </c>
      <c r="Q22" s="3"/>
      <c r="R22" s="8">
        <f t="shared" si="8"/>
        <v>3.7132230222688477E-3</v>
      </c>
      <c r="S22" s="3"/>
      <c r="T22" s="7">
        <v>506.422913461539</v>
      </c>
      <c r="U22" s="3"/>
      <c r="V22" s="8">
        <f t="shared" si="9"/>
        <v>9.9931510046281161E-3</v>
      </c>
      <c r="W22" s="3"/>
      <c r="X22" s="7">
        <f t="shared" si="10"/>
        <v>-428.55291346153899</v>
      </c>
      <c r="Y22" s="3"/>
      <c r="Z22" s="8">
        <f t="shared" si="11"/>
        <v>-0.84623523555098001</v>
      </c>
    </row>
    <row r="23" spans="1:26" s="24" customFormat="1" hidden="1" outlineLevel="2" x14ac:dyDescent="0.25">
      <c r="A23" s="27"/>
      <c r="B23" s="12" t="str">
        <f>CONCATENATE("          ", "6113", " - ", "GROUP INSURANCE")</f>
        <v xml:space="preserve">          6113 - GROUP INSURANCE</v>
      </c>
      <c r="C23" s="12"/>
      <c r="D23" s="7">
        <v>1230.45</v>
      </c>
      <c r="E23" s="3"/>
      <c r="F23" s="8">
        <f t="shared" si="4"/>
        <v>5.8673882981259834E-2</v>
      </c>
      <c r="G23" s="3"/>
      <c r="H23" s="7">
        <v>1357.5</v>
      </c>
      <c r="I23" s="3"/>
      <c r="J23" s="8">
        <f t="shared" si="5"/>
        <v>2.6787299958561082E-2</v>
      </c>
      <c r="K23" s="3"/>
      <c r="L23" s="7">
        <f t="shared" si="6"/>
        <v>-127.04999999999995</v>
      </c>
      <c r="M23" s="3"/>
      <c r="N23" s="8">
        <f t="shared" si="7"/>
        <v>-9.3591160220994438E-2</v>
      </c>
      <c r="O23" s="12"/>
      <c r="P23" s="7">
        <v>1230.45</v>
      </c>
      <c r="Q23" s="3"/>
      <c r="R23" s="8">
        <f t="shared" si="8"/>
        <v>5.8673882981259834E-2</v>
      </c>
      <c r="S23" s="3"/>
      <c r="T23" s="7">
        <v>1357.5</v>
      </c>
      <c r="U23" s="3"/>
      <c r="V23" s="8">
        <f t="shared" si="9"/>
        <v>2.6787299958561082E-2</v>
      </c>
      <c r="W23" s="3"/>
      <c r="X23" s="7">
        <f t="shared" si="10"/>
        <v>-127.04999999999995</v>
      </c>
      <c r="Y23" s="3"/>
      <c r="Z23" s="8">
        <f t="shared" si="11"/>
        <v>-9.3591160220994438E-2</v>
      </c>
    </row>
    <row r="24" spans="1:26" s="24" customFormat="1" hidden="1" outlineLevel="2" x14ac:dyDescent="0.25">
      <c r="A24" s="27"/>
      <c r="B24" s="12" t="str">
        <f>CONCATENATE("          ", "6114", " - ", "STATE UNEMPLOYMENT INSURANCE")</f>
        <v xml:space="preserve">          6114 - STATE UNEMPLOYMENT INSURANCE</v>
      </c>
      <c r="C24" s="12"/>
      <c r="D24" s="7">
        <v>34.200000000000003</v>
      </c>
      <c r="E24" s="3"/>
      <c r="F24" s="8">
        <f t="shared" si="4"/>
        <v>1.6308235181917887E-3</v>
      </c>
      <c r="G24" s="3"/>
      <c r="H24" s="7">
        <v>71.17295</v>
      </c>
      <c r="I24" s="3"/>
      <c r="J24" s="8">
        <f t="shared" si="5"/>
        <v>1.4044428438936796E-3</v>
      </c>
      <c r="K24" s="3"/>
      <c r="L24" s="7">
        <f t="shared" si="6"/>
        <v>-36.972949999999997</v>
      </c>
      <c r="M24" s="3"/>
      <c r="N24" s="8">
        <f t="shared" si="7"/>
        <v>-0.51948036438000667</v>
      </c>
      <c r="O24" s="12"/>
      <c r="P24" s="7">
        <v>34.200000000000003</v>
      </c>
      <c r="Q24" s="3"/>
      <c r="R24" s="8">
        <f t="shared" si="8"/>
        <v>1.6308235181917887E-3</v>
      </c>
      <c r="S24" s="3"/>
      <c r="T24" s="7">
        <v>71.17295</v>
      </c>
      <c r="U24" s="3"/>
      <c r="V24" s="8">
        <f t="shared" si="9"/>
        <v>1.4044428438936796E-3</v>
      </c>
      <c r="W24" s="3"/>
      <c r="X24" s="7">
        <f t="shared" si="10"/>
        <v>-36.972949999999997</v>
      </c>
      <c r="Y24" s="3"/>
      <c r="Z24" s="8">
        <f t="shared" si="11"/>
        <v>-0.51948036438000667</v>
      </c>
    </row>
    <row r="25" spans="1:26" s="24" customFormat="1" hidden="1" outlineLevel="2" x14ac:dyDescent="0.25">
      <c r="A25" s="27"/>
      <c r="B25" s="12" t="str">
        <f>CONCATENATE("          ", "6115", " - ", "P.E.R.S.")</f>
        <v xml:space="preserve">          6115 - P.E.R.S.</v>
      </c>
      <c r="C25" s="12"/>
      <c r="D25" s="7">
        <v>939.44</v>
      </c>
      <c r="E25" s="3"/>
      <c r="F25" s="8">
        <f t="shared" si="4"/>
        <v>4.4797100758189885E-2</v>
      </c>
      <c r="G25" s="3"/>
      <c r="H25" s="7">
        <v>945.50219230769198</v>
      </c>
      <c r="I25" s="3"/>
      <c r="J25" s="8">
        <f t="shared" si="5"/>
        <v>1.8657422347567773E-2</v>
      </c>
      <c r="K25" s="3"/>
      <c r="L25" s="7">
        <f t="shared" si="6"/>
        <v>-6.0621923076919302</v>
      </c>
      <c r="M25" s="3"/>
      <c r="N25" s="8">
        <f t="shared" si="7"/>
        <v>-6.4116110539055512E-3</v>
      </c>
      <c r="O25" s="12"/>
      <c r="P25" s="7">
        <v>939.44</v>
      </c>
      <c r="Q25" s="3"/>
      <c r="R25" s="8">
        <f t="shared" si="8"/>
        <v>4.4797100758189885E-2</v>
      </c>
      <c r="S25" s="3"/>
      <c r="T25" s="7">
        <v>945.50219230769198</v>
      </c>
      <c r="U25" s="3"/>
      <c r="V25" s="8">
        <f t="shared" si="9"/>
        <v>1.8657422347567773E-2</v>
      </c>
      <c r="W25" s="3"/>
      <c r="X25" s="7">
        <f t="shared" si="10"/>
        <v>-6.0621923076919302</v>
      </c>
      <c r="Y25" s="3"/>
      <c r="Z25" s="8">
        <f t="shared" si="11"/>
        <v>-6.4116110539055512E-3</v>
      </c>
    </row>
    <row r="26" spans="1:26" s="24" customFormat="1" hidden="1" outlineLevel="2" x14ac:dyDescent="0.25">
      <c r="A26" s="27"/>
      <c r="B26" s="12" t="str">
        <f>CONCATENATE("          ", "6116", " - ", "EDUCATIONAL BENEFITS")</f>
        <v xml:space="preserve">          6116 - EDUCATIONAL BENEFITS</v>
      </c>
      <c r="C26" s="12"/>
      <c r="D26" s="7"/>
      <c r="E26" s="3"/>
      <c r="F26" s="8">
        <f t="shared" si="4"/>
        <v>0</v>
      </c>
      <c r="G26" s="3"/>
      <c r="H26" s="7">
        <v>0</v>
      </c>
      <c r="I26" s="3"/>
      <c r="J26" s="8">
        <f t="shared" si="5"/>
        <v>0</v>
      </c>
      <c r="K26" s="3"/>
      <c r="L26" s="7">
        <f t="shared" si="6"/>
        <v>0</v>
      </c>
      <c r="M26" s="3"/>
      <c r="N26" s="8">
        <f t="shared" si="7"/>
        <v>0</v>
      </c>
      <c r="O26" s="12"/>
      <c r="P26" s="7"/>
      <c r="Q26" s="3"/>
      <c r="R26" s="8">
        <f t="shared" si="8"/>
        <v>0</v>
      </c>
      <c r="S26" s="3"/>
      <c r="T26" s="7">
        <v>0</v>
      </c>
      <c r="U26" s="3"/>
      <c r="V26" s="8">
        <f t="shared" si="9"/>
        <v>0</v>
      </c>
      <c r="W26" s="3"/>
      <c r="X26" s="7">
        <f t="shared" si="10"/>
        <v>0</v>
      </c>
      <c r="Y26" s="3"/>
      <c r="Z26" s="8">
        <f t="shared" si="11"/>
        <v>0</v>
      </c>
    </row>
    <row r="27" spans="1:26" s="24" customFormat="1" hidden="1" outlineLevel="2" x14ac:dyDescent="0.25">
      <c r="A27" s="27"/>
      <c r="B27" s="12" t="str">
        <f>CONCATENATE("          ", "6117", " - ", "RETIREMENT STAFF HOURLY")</f>
        <v xml:space="preserve">          6117 - RETIREMENT STAFF HOURLY</v>
      </c>
      <c r="C27" s="12"/>
      <c r="D27" s="7">
        <v>100</v>
      </c>
      <c r="E27" s="3"/>
      <c r="F27" s="8">
        <f t="shared" si="4"/>
        <v>4.768489819274236E-3</v>
      </c>
      <c r="G27" s="3"/>
      <c r="H27" s="7"/>
      <c r="I27" s="3"/>
      <c r="J27" s="8">
        <f t="shared" si="5"/>
        <v>0</v>
      </c>
      <c r="K27" s="3"/>
      <c r="L27" s="7">
        <f t="shared" si="6"/>
        <v>100</v>
      </c>
      <c r="M27" s="3"/>
      <c r="N27" s="8">
        <f t="shared" si="7"/>
        <v>0</v>
      </c>
      <c r="O27" s="12"/>
      <c r="P27" s="7">
        <v>100</v>
      </c>
      <c r="Q27" s="3"/>
      <c r="R27" s="8">
        <f t="shared" si="8"/>
        <v>4.768489819274236E-3</v>
      </c>
      <c r="S27" s="3"/>
      <c r="T27" s="7"/>
      <c r="U27" s="3"/>
      <c r="V27" s="8">
        <f t="shared" si="9"/>
        <v>0</v>
      </c>
      <c r="W27" s="3"/>
      <c r="X27" s="7">
        <f t="shared" si="10"/>
        <v>100</v>
      </c>
      <c r="Y27" s="3"/>
      <c r="Z27" s="8">
        <f t="shared" si="11"/>
        <v>0</v>
      </c>
    </row>
    <row r="28" spans="1:26" s="24" customFormat="1" hidden="1" outlineLevel="2" x14ac:dyDescent="0.25">
      <c r="A28" s="27"/>
      <c r="B28" s="12" t="str">
        <f>CONCATENATE("          ", "6118", " - ", "VACATION")</f>
        <v xml:space="preserve">          6118 - VACATION</v>
      </c>
      <c r="C28" s="12"/>
      <c r="D28" s="7">
        <v>520.02</v>
      </c>
      <c r="E28" s="3"/>
      <c r="F28" s="8">
        <f t="shared" si="4"/>
        <v>2.4797100758189881E-2</v>
      </c>
      <c r="G28" s="3"/>
      <c r="H28" s="7">
        <v>329.82634615384603</v>
      </c>
      <c r="I28" s="3"/>
      <c r="J28" s="8">
        <f t="shared" si="5"/>
        <v>6.508403144500385E-3</v>
      </c>
      <c r="K28" s="3"/>
      <c r="L28" s="7">
        <f t="shared" si="6"/>
        <v>190.19365384615395</v>
      </c>
      <c r="M28" s="3"/>
      <c r="N28" s="8">
        <f t="shared" si="7"/>
        <v>0.5766478514043234</v>
      </c>
      <c r="O28" s="12"/>
      <c r="P28" s="7">
        <v>520.02</v>
      </c>
      <c r="Q28" s="3"/>
      <c r="R28" s="8">
        <f t="shared" si="8"/>
        <v>2.4797100758189881E-2</v>
      </c>
      <c r="S28" s="3"/>
      <c r="T28" s="7">
        <v>329.82634615384603</v>
      </c>
      <c r="U28" s="3"/>
      <c r="V28" s="8">
        <f t="shared" si="9"/>
        <v>6.508403144500385E-3</v>
      </c>
      <c r="W28" s="3"/>
      <c r="X28" s="7">
        <f t="shared" si="10"/>
        <v>190.19365384615395</v>
      </c>
      <c r="Y28" s="3"/>
      <c r="Z28" s="8">
        <f t="shared" si="11"/>
        <v>0.5766478514043234</v>
      </c>
    </row>
    <row r="29" spans="1:26" s="24" customFormat="1" hidden="1" outlineLevel="2" x14ac:dyDescent="0.25">
      <c r="A29" s="27"/>
      <c r="B29" s="12" t="str">
        <f>CONCATENATE("          ", "6119", " - ", "SICK LEAVE")</f>
        <v xml:space="preserve">          6119 - SICK LEAVE</v>
      </c>
      <c r="C29" s="12"/>
      <c r="D29" s="7">
        <v>299.26</v>
      </c>
      <c r="E29" s="3"/>
      <c r="F29" s="8">
        <f t="shared" si="4"/>
        <v>1.4270182633160077E-2</v>
      </c>
      <c r="G29" s="3"/>
      <c r="H29" s="7">
        <v>711.28423076923093</v>
      </c>
      <c r="I29" s="3"/>
      <c r="J29" s="8">
        <f t="shared" si="5"/>
        <v>1.4035642022401306E-2</v>
      </c>
      <c r="K29" s="3"/>
      <c r="L29" s="7">
        <f t="shared" si="6"/>
        <v>-412.02423076923094</v>
      </c>
      <c r="M29" s="3"/>
      <c r="N29" s="8">
        <f t="shared" si="7"/>
        <v>-0.57926805199046805</v>
      </c>
      <c r="O29" s="12"/>
      <c r="P29" s="7">
        <v>299.26</v>
      </c>
      <c r="Q29" s="3"/>
      <c r="R29" s="8">
        <f t="shared" si="8"/>
        <v>1.4270182633160077E-2</v>
      </c>
      <c r="S29" s="3"/>
      <c r="T29" s="7">
        <v>711.28423076923093</v>
      </c>
      <c r="U29" s="3"/>
      <c r="V29" s="8">
        <f t="shared" si="9"/>
        <v>1.4035642022401306E-2</v>
      </c>
      <c r="W29" s="3"/>
      <c r="X29" s="7">
        <f t="shared" si="10"/>
        <v>-412.02423076923094</v>
      </c>
      <c r="Y29" s="3"/>
      <c r="Z29" s="8">
        <f t="shared" si="11"/>
        <v>-0.57926805199046805</v>
      </c>
    </row>
    <row r="30" spans="1:26" s="24" customFormat="1" hidden="1" outlineLevel="2" x14ac:dyDescent="0.25">
      <c r="A30" s="27"/>
      <c r="B30" s="12" t="str">
        <f>CONCATENATE("          ", "6156", " - ", "EMPLOYEE MEALS")</f>
        <v xml:space="preserve">          6156 - EMPLOYEE MEALS</v>
      </c>
      <c r="C30" s="12"/>
      <c r="D30" s="7"/>
      <c r="E30" s="3"/>
      <c r="F30" s="8">
        <f t="shared" si="4"/>
        <v>0</v>
      </c>
      <c r="G30" s="3"/>
      <c r="H30" s="7">
        <v>350</v>
      </c>
      <c r="I30" s="3"/>
      <c r="J30" s="8">
        <f t="shared" si="5"/>
        <v>6.9064861771612369E-3</v>
      </c>
      <c r="K30" s="3"/>
      <c r="L30" s="7">
        <f t="shared" si="6"/>
        <v>-350</v>
      </c>
      <c r="M30" s="3"/>
      <c r="N30" s="8">
        <f t="shared" si="7"/>
        <v>-1</v>
      </c>
      <c r="O30" s="12"/>
      <c r="P30" s="7"/>
      <c r="Q30" s="3"/>
      <c r="R30" s="8">
        <f t="shared" si="8"/>
        <v>0</v>
      </c>
      <c r="S30" s="3"/>
      <c r="T30" s="7">
        <v>350</v>
      </c>
      <c r="U30" s="3"/>
      <c r="V30" s="8">
        <f t="shared" si="9"/>
        <v>6.9064861771612369E-3</v>
      </c>
      <c r="W30" s="3"/>
      <c r="X30" s="7">
        <f t="shared" si="10"/>
        <v>-350</v>
      </c>
      <c r="Y30" s="3"/>
      <c r="Z30" s="8">
        <f t="shared" si="11"/>
        <v>-1</v>
      </c>
    </row>
    <row r="31" spans="1:26" s="29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15605.18</v>
      </c>
      <c r="E31" s="1"/>
      <c r="F31" s="5">
        <f t="shared" ref="F31:F41" si="12">IF(D$12=0,0,D31/D$12)</f>
        <v>0.7441314195794192</v>
      </c>
      <c r="G31" s="1"/>
      <c r="H31" s="1">
        <f>SUM(OSRRefH22_1x_0)</f>
        <v>26333.100961538461</v>
      </c>
      <c r="I31" s="1"/>
      <c r="J31" s="5">
        <f t="shared" ref="J31:J41" si="13">IF(H$12=0,0,H31/H$12)</f>
        <v>0.51962627940759043</v>
      </c>
      <c r="K31" s="1"/>
      <c r="L31" s="1">
        <f t="shared" ref="L31:L41" si="14">+D31-H31</f>
        <v>-10727.920961538461</v>
      </c>
      <c r="M31" s="1"/>
      <c r="N31" s="5">
        <f t="shared" ref="N31:N41" si="15">IF(H31=0,0,L31/H31)</f>
        <v>-0.40739299853850947</v>
      </c>
      <c r="O31" s="14"/>
      <c r="P31" s="1">
        <f>SUM(OSRRefP22_1x_0)</f>
        <v>15605.18</v>
      </c>
      <c r="Q31" s="1"/>
      <c r="R31" s="5">
        <f t="shared" ref="R31:R41" si="16">IF(P$12=0,0,P31/P$12)</f>
        <v>0.7441314195794192</v>
      </c>
      <c r="S31" s="1"/>
      <c r="T31" s="1">
        <f>SUM(OSRRefT22_1x_0)</f>
        <v>26333.100961538461</v>
      </c>
      <c r="U31" s="1"/>
      <c r="V31" s="5">
        <f t="shared" ref="V31:V41" si="17">IF(T$12=0,0,T31/T$12)</f>
        <v>0.51962627940759043</v>
      </c>
      <c r="W31" s="1"/>
      <c r="X31" s="1">
        <f t="shared" ref="X31:X41" si="18">+P31-T31</f>
        <v>-10727.920961538461</v>
      </c>
      <c r="Y31" s="1"/>
      <c r="Z31" s="5">
        <f t="shared" ref="Z31:Z41" si="19">IF(T31=0,0,X31/T31)</f>
        <v>-0.40739299853850947</v>
      </c>
    </row>
    <row r="32" spans="1:26" s="24" customFormat="1" hidden="1" outlineLevel="2" x14ac:dyDescent="0.25">
      <c r="A32" s="27"/>
      <c r="B32" s="12" t="str">
        <f>CONCATENATE("          ", "6001", " - ", "ADMINISTRATIVE SALARIES")</f>
        <v xml:space="preserve">          6001 - ADMINISTRATIVE SALARIES</v>
      </c>
      <c r="C32" s="12"/>
      <c r="D32" s="7">
        <v>5257.72</v>
      </c>
      <c r="E32" s="3"/>
      <c r="F32" s="8">
        <f t="shared" si="12"/>
        <v>0.25071384292594534</v>
      </c>
      <c r="G32" s="3"/>
      <c r="H32" s="7">
        <v>5024.0384615384601</v>
      </c>
      <c r="I32" s="3"/>
      <c r="J32" s="8">
        <f t="shared" si="13"/>
        <v>9.9138434823262234E-2</v>
      </c>
      <c r="K32" s="3"/>
      <c r="L32" s="7">
        <f t="shared" si="14"/>
        <v>233.68153846154019</v>
      </c>
      <c r="M32" s="3"/>
      <c r="N32" s="8">
        <f t="shared" si="15"/>
        <v>4.651268899521567E-2</v>
      </c>
      <c r="O32" s="12"/>
      <c r="P32" s="7">
        <v>5257.72</v>
      </c>
      <c r="Q32" s="3"/>
      <c r="R32" s="8">
        <f t="shared" si="16"/>
        <v>0.25071384292594534</v>
      </c>
      <c r="S32" s="3"/>
      <c r="T32" s="7">
        <v>5024.0384615384601</v>
      </c>
      <c r="U32" s="3"/>
      <c r="V32" s="8">
        <f t="shared" si="17"/>
        <v>9.9138434823262234E-2</v>
      </c>
      <c r="W32" s="3"/>
      <c r="X32" s="7">
        <f t="shared" si="18"/>
        <v>233.68153846154019</v>
      </c>
      <c r="Y32" s="3"/>
      <c r="Z32" s="8">
        <f t="shared" si="19"/>
        <v>4.651268899521567E-2</v>
      </c>
    </row>
    <row r="33" spans="1:26" s="24" customFormat="1" hidden="1" outlineLevel="2" x14ac:dyDescent="0.25">
      <c r="A33" s="27"/>
      <c r="B33" s="12" t="str">
        <f>CONCATENATE("          ", "6002", " - ", "STAFF SALARIES")</f>
        <v xml:space="preserve">          6002 - STAFF SALARIES</v>
      </c>
      <c r="C33" s="12"/>
      <c r="D33" s="7">
        <v>2054.0700000000002</v>
      </c>
      <c r="E33" s="3"/>
      <c r="F33" s="8">
        <f t="shared" si="12"/>
        <v>9.7948118830766304E-2</v>
      </c>
      <c r="G33" s="3"/>
      <c r="H33" s="7">
        <v>5420.4624999999996</v>
      </c>
      <c r="I33" s="3"/>
      <c r="J33" s="8">
        <f t="shared" si="13"/>
        <v>0.10696099808591668</v>
      </c>
      <c r="K33" s="3"/>
      <c r="L33" s="7">
        <f t="shared" si="14"/>
        <v>-3366.3924999999995</v>
      </c>
      <c r="M33" s="3"/>
      <c r="N33" s="8">
        <f t="shared" si="15"/>
        <v>-0.6210526315789473</v>
      </c>
      <c r="O33" s="12"/>
      <c r="P33" s="7">
        <v>2054.0700000000002</v>
      </c>
      <c r="Q33" s="3"/>
      <c r="R33" s="8">
        <f t="shared" si="16"/>
        <v>9.7948118830766304E-2</v>
      </c>
      <c r="S33" s="3"/>
      <c r="T33" s="7">
        <v>5420.4624999999996</v>
      </c>
      <c r="U33" s="3"/>
      <c r="V33" s="8">
        <f t="shared" si="17"/>
        <v>0.10696099808591668</v>
      </c>
      <c r="W33" s="3"/>
      <c r="X33" s="7">
        <f t="shared" si="18"/>
        <v>-3366.3924999999995</v>
      </c>
      <c r="Y33" s="3"/>
      <c r="Z33" s="8">
        <f t="shared" si="19"/>
        <v>-0.6210526315789473</v>
      </c>
    </row>
    <row r="34" spans="1:26" s="24" customFormat="1" hidden="1" outlineLevel="2" x14ac:dyDescent="0.25">
      <c r="A34" s="27"/>
      <c r="B34" s="12" t="str">
        <f>CONCATENATE("          ", "6003", " - ", "STAFF HOURLY-9 MONTH")</f>
        <v xml:space="preserve">          6003 - STAFF HOURLY-9 MONTH</v>
      </c>
      <c r="C34" s="12"/>
      <c r="D34" s="7"/>
      <c r="E34" s="3"/>
      <c r="F34" s="8">
        <f t="shared" si="12"/>
        <v>0</v>
      </c>
      <c r="G34" s="3"/>
      <c r="H34" s="7">
        <v>0</v>
      </c>
      <c r="I34" s="3"/>
      <c r="J34" s="8">
        <f t="shared" si="13"/>
        <v>0</v>
      </c>
      <c r="K34" s="3"/>
      <c r="L34" s="7">
        <f t="shared" si="14"/>
        <v>0</v>
      </c>
      <c r="M34" s="3"/>
      <c r="N34" s="8">
        <f t="shared" si="15"/>
        <v>0</v>
      </c>
      <c r="O34" s="12"/>
      <c r="P34" s="7"/>
      <c r="Q34" s="3"/>
      <c r="R34" s="8">
        <f t="shared" si="16"/>
        <v>0</v>
      </c>
      <c r="S34" s="3"/>
      <c r="T34" s="7">
        <v>0</v>
      </c>
      <c r="U34" s="3"/>
      <c r="V34" s="8">
        <f t="shared" si="17"/>
        <v>0</v>
      </c>
      <c r="W34" s="3"/>
      <c r="X34" s="7">
        <f t="shared" si="18"/>
        <v>0</v>
      </c>
      <c r="Y34" s="3"/>
      <c r="Z34" s="8">
        <f t="shared" si="19"/>
        <v>0</v>
      </c>
    </row>
    <row r="35" spans="1:26" s="24" customFormat="1" hidden="1" outlineLevel="2" x14ac:dyDescent="0.25">
      <c r="A35" s="27"/>
      <c r="B35" s="12" t="str">
        <f>CONCATENATE("          ", "6004", " - ", "STAFF HOURLY")</f>
        <v xml:space="preserve">          6004 - STAFF HOURLY</v>
      </c>
      <c r="C35" s="12"/>
      <c r="D35" s="7"/>
      <c r="E35" s="3"/>
      <c r="F35" s="8">
        <f t="shared" si="12"/>
        <v>0</v>
      </c>
      <c r="G35" s="3"/>
      <c r="H35" s="7">
        <v>2793.6</v>
      </c>
      <c r="I35" s="3"/>
      <c r="J35" s="8">
        <f t="shared" si="13"/>
        <v>5.5125599384336088E-2</v>
      </c>
      <c r="K35" s="3"/>
      <c r="L35" s="7">
        <f t="shared" si="14"/>
        <v>-2793.6</v>
      </c>
      <c r="M35" s="3"/>
      <c r="N35" s="8">
        <f t="shared" si="15"/>
        <v>-1</v>
      </c>
      <c r="O35" s="12"/>
      <c r="P35" s="7"/>
      <c r="Q35" s="3"/>
      <c r="R35" s="8">
        <f t="shared" si="16"/>
        <v>0</v>
      </c>
      <c r="S35" s="3"/>
      <c r="T35" s="7">
        <v>2793.6</v>
      </c>
      <c r="U35" s="3"/>
      <c r="V35" s="8">
        <f t="shared" si="17"/>
        <v>5.5125599384336088E-2</v>
      </c>
      <c r="W35" s="3"/>
      <c r="X35" s="7">
        <f t="shared" si="18"/>
        <v>-2793.6</v>
      </c>
      <c r="Y35" s="3"/>
      <c r="Z35" s="8">
        <f t="shared" si="19"/>
        <v>-1</v>
      </c>
    </row>
    <row r="36" spans="1:26" s="24" customFormat="1" hidden="1" outlineLevel="2" x14ac:dyDescent="0.25">
      <c r="A36" s="27"/>
      <c r="B36" s="12" t="str">
        <f>CONCATENATE("          ", "6005", " - ", "TEMPORARY WAGES-HOURLY")</f>
        <v xml:space="preserve">          6005 - TEMPORARY WAGES-HOURLY</v>
      </c>
      <c r="C36" s="12"/>
      <c r="D36" s="7">
        <v>6737.39</v>
      </c>
      <c r="E36" s="3"/>
      <c r="F36" s="8">
        <f t="shared" si="12"/>
        <v>0.32127175623480048</v>
      </c>
      <c r="G36" s="3"/>
      <c r="H36" s="7">
        <v>0</v>
      </c>
      <c r="I36" s="3"/>
      <c r="J36" s="8">
        <f t="shared" si="13"/>
        <v>0</v>
      </c>
      <c r="K36" s="3"/>
      <c r="L36" s="7">
        <f t="shared" si="14"/>
        <v>6737.39</v>
      </c>
      <c r="M36" s="3"/>
      <c r="N36" s="8">
        <f t="shared" si="15"/>
        <v>0</v>
      </c>
      <c r="O36" s="12"/>
      <c r="P36" s="7">
        <v>6737.39</v>
      </c>
      <c r="Q36" s="3"/>
      <c r="R36" s="8">
        <f t="shared" si="16"/>
        <v>0.32127175623480048</v>
      </c>
      <c r="S36" s="3"/>
      <c r="T36" s="7">
        <v>0</v>
      </c>
      <c r="U36" s="3"/>
      <c r="V36" s="8">
        <f t="shared" si="17"/>
        <v>0</v>
      </c>
      <c r="W36" s="3"/>
      <c r="X36" s="7">
        <f t="shared" si="18"/>
        <v>6737.39</v>
      </c>
      <c r="Y36" s="3"/>
      <c r="Z36" s="8">
        <f t="shared" si="19"/>
        <v>0</v>
      </c>
    </row>
    <row r="37" spans="1:26" s="24" customFormat="1" hidden="1" outlineLevel="2" x14ac:dyDescent="0.25">
      <c r="A37" s="27"/>
      <c r="B37" s="12" t="str">
        <f>CONCATENATE("          ", "6006", " - ", "TEMPORARY PART TIME")</f>
        <v xml:space="preserve">          6006 - TEMPORARY PART TIME</v>
      </c>
      <c r="C37" s="12"/>
      <c r="D37" s="7"/>
      <c r="E37" s="3"/>
      <c r="F37" s="8">
        <f t="shared" si="12"/>
        <v>0</v>
      </c>
      <c r="G37" s="3"/>
      <c r="H37" s="7">
        <v>0</v>
      </c>
      <c r="I37" s="3"/>
      <c r="J37" s="8">
        <f t="shared" si="13"/>
        <v>0</v>
      </c>
      <c r="K37" s="3"/>
      <c r="L37" s="7">
        <f t="shared" si="14"/>
        <v>0</v>
      </c>
      <c r="M37" s="3"/>
      <c r="N37" s="8">
        <f t="shared" si="15"/>
        <v>0</v>
      </c>
      <c r="O37" s="12"/>
      <c r="P37" s="7"/>
      <c r="Q37" s="3"/>
      <c r="R37" s="8">
        <f t="shared" si="16"/>
        <v>0</v>
      </c>
      <c r="S37" s="3"/>
      <c r="T37" s="7">
        <v>0</v>
      </c>
      <c r="U37" s="3"/>
      <c r="V37" s="8">
        <f t="shared" si="17"/>
        <v>0</v>
      </c>
      <c r="W37" s="3"/>
      <c r="X37" s="7">
        <f t="shared" si="18"/>
        <v>0</v>
      </c>
      <c r="Y37" s="3"/>
      <c r="Z37" s="8">
        <f t="shared" si="19"/>
        <v>0</v>
      </c>
    </row>
    <row r="38" spans="1:26" s="24" customFormat="1" hidden="1" outlineLevel="2" x14ac:dyDescent="0.25">
      <c r="A38" s="27"/>
      <c r="B38" s="12" t="str">
        <f>CONCATENATE("          ", "6007", " - ", "STUDENT HOURLY")</f>
        <v xml:space="preserve">          6007 - STUDENT HOURLY</v>
      </c>
      <c r="C38" s="12"/>
      <c r="D38" s="7">
        <v>1556</v>
      </c>
      <c r="E38" s="3"/>
      <c r="F38" s="8">
        <f t="shared" si="12"/>
        <v>7.4197701587907117E-2</v>
      </c>
      <c r="G38" s="3"/>
      <c r="H38" s="7">
        <v>13095</v>
      </c>
      <c r="I38" s="3"/>
      <c r="J38" s="8">
        <f t="shared" si="13"/>
        <v>0.25840124711407542</v>
      </c>
      <c r="K38" s="3"/>
      <c r="L38" s="7">
        <f t="shared" si="14"/>
        <v>-11539</v>
      </c>
      <c r="M38" s="3"/>
      <c r="N38" s="8">
        <f t="shared" si="15"/>
        <v>-0.88117602138220696</v>
      </c>
      <c r="O38" s="12"/>
      <c r="P38" s="7">
        <v>1556</v>
      </c>
      <c r="Q38" s="3"/>
      <c r="R38" s="8">
        <f t="shared" si="16"/>
        <v>7.4197701587907117E-2</v>
      </c>
      <c r="S38" s="3"/>
      <c r="T38" s="7">
        <v>13095</v>
      </c>
      <c r="U38" s="3"/>
      <c r="V38" s="8">
        <f t="shared" si="17"/>
        <v>0.25840124711407542</v>
      </c>
      <c r="W38" s="3"/>
      <c r="X38" s="7">
        <f t="shared" si="18"/>
        <v>-11539</v>
      </c>
      <c r="Y38" s="3"/>
      <c r="Z38" s="8">
        <f t="shared" si="19"/>
        <v>-0.88117602138220696</v>
      </c>
    </row>
    <row r="39" spans="1:26" s="24" customFormat="1" hidden="1" outlineLevel="2" x14ac:dyDescent="0.25">
      <c r="A39" s="27"/>
      <c r="B39" s="12" t="str">
        <f>CONCATENATE("          ", "6008", " - ", "STUDENT HOURLY-FICA EXEMPT")</f>
        <v xml:space="preserve">          6008 - STUDENT HOURLY-FICA EXEMPT</v>
      </c>
      <c r="C39" s="12"/>
      <c r="D39" s="7"/>
      <c r="E39" s="3"/>
      <c r="F39" s="8">
        <f t="shared" si="12"/>
        <v>0</v>
      </c>
      <c r="G39" s="3"/>
      <c r="H39" s="7">
        <v>0</v>
      </c>
      <c r="I39" s="3"/>
      <c r="J39" s="8">
        <f t="shared" si="13"/>
        <v>0</v>
      </c>
      <c r="K39" s="3"/>
      <c r="L39" s="7">
        <f t="shared" si="14"/>
        <v>0</v>
      </c>
      <c r="M39" s="3"/>
      <c r="N39" s="8">
        <f t="shared" si="15"/>
        <v>0</v>
      </c>
      <c r="O39" s="12"/>
      <c r="P39" s="7"/>
      <c r="Q39" s="3"/>
      <c r="R39" s="8">
        <f t="shared" si="16"/>
        <v>0</v>
      </c>
      <c r="S39" s="3"/>
      <c r="T39" s="7">
        <v>0</v>
      </c>
      <c r="U39" s="3"/>
      <c r="V39" s="8">
        <f t="shared" si="17"/>
        <v>0</v>
      </c>
      <c r="W39" s="3"/>
      <c r="X39" s="7">
        <f t="shared" si="18"/>
        <v>0</v>
      </c>
      <c r="Y39" s="3"/>
      <c r="Z39" s="8">
        <f t="shared" si="19"/>
        <v>0</v>
      </c>
    </row>
    <row r="40" spans="1:26" s="24" customFormat="1" hidden="1" outlineLevel="2" x14ac:dyDescent="0.25">
      <c r="A40" s="27"/>
      <c r="B40" s="12" t="str">
        <f>CONCATENATE("          ", "6009", " - ", "TEMPORARY-SEASONAL")</f>
        <v xml:space="preserve">          6009 - TEMPORARY-SEASONAL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24" customFormat="1" hidden="1" outlineLevel="2" x14ac:dyDescent="0.25">
      <c r="A41" s="27"/>
      <c r="B41" s="12" t="str">
        <f>CONCATENATE("          ", "6010", " - ", "GRATUITY")</f>
        <v xml:space="preserve">          6010 - GRATUITY</v>
      </c>
      <c r="C41" s="12"/>
      <c r="D41" s="7"/>
      <c r="E41" s="3"/>
      <c r="F41" s="8">
        <f t="shared" si="12"/>
        <v>0</v>
      </c>
      <c r="G41" s="3"/>
      <c r="H41" s="7">
        <v>0</v>
      </c>
      <c r="I41" s="3"/>
      <c r="J41" s="8">
        <f t="shared" si="13"/>
        <v>0</v>
      </c>
      <c r="K41" s="3"/>
      <c r="L41" s="7">
        <f t="shared" si="14"/>
        <v>0</v>
      </c>
      <c r="M41" s="3"/>
      <c r="N41" s="8">
        <f t="shared" si="15"/>
        <v>0</v>
      </c>
      <c r="O41" s="12"/>
      <c r="P41" s="7"/>
      <c r="Q41" s="3"/>
      <c r="R41" s="8">
        <f t="shared" si="16"/>
        <v>0</v>
      </c>
      <c r="S41" s="3"/>
      <c r="T41" s="7">
        <v>0</v>
      </c>
      <c r="U41" s="3"/>
      <c r="V41" s="8">
        <f t="shared" si="17"/>
        <v>0</v>
      </c>
      <c r="W41" s="3"/>
      <c r="X41" s="7">
        <f t="shared" si="18"/>
        <v>0</v>
      </c>
      <c r="Y41" s="3"/>
      <c r="Z41" s="8">
        <f t="shared" si="19"/>
        <v>0</v>
      </c>
    </row>
    <row r="42" spans="1:26" s="29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60" si="20">IF(D$12=0,0,D42/D$12)</f>
        <v>0</v>
      </c>
      <c r="G42" s="1"/>
      <c r="H42" s="1">
        <f>SUM(OSRRefH22_2x_0)</f>
        <v>100</v>
      </c>
      <c r="I42" s="1"/>
      <c r="J42" s="5">
        <f t="shared" ref="J42:J60" si="21">IF(H$12=0,0,H42/H$12)</f>
        <v>1.9732817649032106E-3</v>
      </c>
      <c r="K42" s="1"/>
      <c r="L42" s="1">
        <f t="shared" ref="L42:L60" si="22">+D42-H42</f>
        <v>-100</v>
      </c>
      <c r="M42" s="1"/>
      <c r="N42" s="5">
        <f t="shared" ref="N42:N60" si="23">IF(H42=0,0,L42/H42)</f>
        <v>-1</v>
      </c>
      <c r="O42" s="14"/>
      <c r="P42" s="1">
        <f>SUM(OSRRefP22_2x_0)</f>
        <v>0</v>
      </c>
      <c r="Q42" s="1"/>
      <c r="R42" s="5">
        <f t="shared" ref="R42:R60" si="24">IF(P$12=0,0,P42/P$12)</f>
        <v>0</v>
      </c>
      <c r="S42" s="1"/>
      <c r="T42" s="1">
        <f>SUM(OSRRefT22_2x_0)</f>
        <v>100</v>
      </c>
      <c r="U42" s="1"/>
      <c r="V42" s="5">
        <f t="shared" ref="V42:V60" si="25">IF(T$12=0,0,T42/T$12)</f>
        <v>1.9732817649032106E-3</v>
      </c>
      <c r="W42" s="1"/>
      <c r="X42" s="1">
        <f t="shared" ref="X42:X60" si="26">+P42-T42</f>
        <v>-100</v>
      </c>
      <c r="Y42" s="1"/>
      <c r="Z42" s="5">
        <f t="shared" ref="Z42:Z60" si="27">IF(T42=0,0,X42/T42)</f>
        <v>-1</v>
      </c>
    </row>
    <row r="43" spans="1:26" s="24" customFormat="1" hidden="1" outlineLevel="2" x14ac:dyDescent="0.25">
      <c r="A43" s="27"/>
      <c r="B43" s="12" t="str">
        <f>CONCATENATE("          ", "6362", " - ", "ADVERTISING EXPENSE")</f>
        <v xml:space="preserve">          6362 - ADVERTISING EXPENSE</v>
      </c>
      <c r="C43" s="12"/>
      <c r="D43" s="7"/>
      <c r="E43" s="3"/>
      <c r="F43" s="8">
        <f t="shared" si="20"/>
        <v>0</v>
      </c>
      <c r="G43" s="3"/>
      <c r="H43" s="7">
        <v>100</v>
      </c>
      <c r="I43" s="3"/>
      <c r="J43" s="8">
        <f t="shared" si="21"/>
        <v>1.9732817649032106E-3</v>
      </c>
      <c r="K43" s="3"/>
      <c r="L43" s="7">
        <f t="shared" si="22"/>
        <v>-100</v>
      </c>
      <c r="M43" s="3"/>
      <c r="N43" s="8">
        <f t="shared" si="23"/>
        <v>-1</v>
      </c>
      <c r="O43" s="12"/>
      <c r="P43" s="7"/>
      <c r="Q43" s="3"/>
      <c r="R43" s="8">
        <f t="shared" si="24"/>
        <v>0</v>
      </c>
      <c r="S43" s="3"/>
      <c r="T43" s="7">
        <v>100</v>
      </c>
      <c r="U43" s="3"/>
      <c r="V43" s="8">
        <f t="shared" si="25"/>
        <v>1.9732817649032106E-3</v>
      </c>
      <c r="W43" s="3"/>
      <c r="X43" s="7">
        <f t="shared" si="26"/>
        <v>-100</v>
      </c>
      <c r="Y43" s="3"/>
      <c r="Z43" s="8">
        <f t="shared" si="27"/>
        <v>-1</v>
      </c>
    </row>
    <row r="44" spans="1:26" s="29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246.33</v>
      </c>
      <c r="E44" s="1"/>
      <c r="F44" s="5">
        <f t="shared" si="20"/>
        <v>1.1746220971818227E-2</v>
      </c>
      <c r="G44" s="1"/>
      <c r="H44" s="1">
        <f>SUM(OSRRefH22_3x_0)</f>
        <v>1500</v>
      </c>
      <c r="I44" s="1"/>
      <c r="J44" s="5">
        <f t="shared" si="21"/>
        <v>2.9599226473548158E-2</v>
      </c>
      <c r="K44" s="1"/>
      <c r="L44" s="1">
        <f t="shared" si="22"/>
        <v>-1253.67</v>
      </c>
      <c r="M44" s="1"/>
      <c r="N44" s="5">
        <f t="shared" si="23"/>
        <v>-0.83578000000000008</v>
      </c>
      <c r="O44" s="14"/>
      <c r="P44" s="1">
        <f>SUM(OSRRefP22_3x_0)</f>
        <v>246.33</v>
      </c>
      <c r="Q44" s="1"/>
      <c r="R44" s="5">
        <f t="shared" si="24"/>
        <v>1.1746220971818227E-2</v>
      </c>
      <c r="S44" s="1"/>
      <c r="T44" s="1">
        <f>SUM(OSRRefT22_3x_0)</f>
        <v>1500</v>
      </c>
      <c r="U44" s="1"/>
      <c r="V44" s="5">
        <f t="shared" si="25"/>
        <v>2.9599226473548158E-2</v>
      </c>
      <c r="W44" s="1"/>
      <c r="X44" s="1">
        <f t="shared" si="26"/>
        <v>-1253.67</v>
      </c>
      <c r="Y44" s="1"/>
      <c r="Z44" s="5">
        <f t="shared" si="27"/>
        <v>-0.83578000000000008</v>
      </c>
    </row>
    <row r="45" spans="1:26" s="24" customFormat="1" hidden="1" outlineLevel="2" x14ac:dyDescent="0.25">
      <c r="A45" s="27"/>
      <c r="B45" s="12" t="str">
        <f>CONCATENATE("          ", "6381", " - ", "BANK/CREDIT CARD FEES")</f>
        <v xml:space="preserve">          6381 - BANK/CREDIT CARD FEES</v>
      </c>
      <c r="C45" s="12"/>
      <c r="D45" s="7">
        <v>246.33</v>
      </c>
      <c r="E45" s="3"/>
      <c r="F45" s="8">
        <f t="shared" si="20"/>
        <v>1.1746220971818227E-2</v>
      </c>
      <c r="G45" s="3"/>
      <c r="H45" s="7">
        <v>1500</v>
      </c>
      <c r="I45" s="3"/>
      <c r="J45" s="8">
        <f t="shared" si="21"/>
        <v>2.9599226473548158E-2</v>
      </c>
      <c r="K45" s="3"/>
      <c r="L45" s="7">
        <f t="shared" si="22"/>
        <v>-1253.67</v>
      </c>
      <c r="M45" s="3"/>
      <c r="N45" s="8">
        <f t="shared" si="23"/>
        <v>-0.83578000000000008</v>
      </c>
      <c r="O45" s="12"/>
      <c r="P45" s="7">
        <v>246.33</v>
      </c>
      <c r="Q45" s="3"/>
      <c r="R45" s="8">
        <f t="shared" si="24"/>
        <v>1.1746220971818227E-2</v>
      </c>
      <c r="S45" s="3"/>
      <c r="T45" s="7">
        <v>1500</v>
      </c>
      <c r="U45" s="3"/>
      <c r="V45" s="8">
        <f t="shared" si="25"/>
        <v>2.9599226473548158E-2</v>
      </c>
      <c r="W45" s="3"/>
      <c r="X45" s="7">
        <f t="shared" si="26"/>
        <v>-1253.67</v>
      </c>
      <c r="Y45" s="3"/>
      <c r="Z45" s="8">
        <f t="shared" si="27"/>
        <v>-0.83578000000000008</v>
      </c>
    </row>
    <row r="46" spans="1:26" s="29" customFormat="1" outlineLevel="1" collapsed="1" x14ac:dyDescent="0.25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3.9465635298064212E-4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20</v>
      </c>
      <c r="U46" s="1"/>
      <c r="V46" s="5">
        <f t="shared" si="25"/>
        <v>3.9465635298064212E-4</v>
      </c>
      <c r="W46" s="1"/>
      <c r="X46" s="1">
        <f t="shared" si="26"/>
        <v>-20</v>
      </c>
      <c r="Y46" s="1"/>
      <c r="Z46" s="5">
        <f t="shared" si="27"/>
        <v>-1</v>
      </c>
    </row>
    <row r="47" spans="1:26" s="24" customFormat="1" hidden="1" outlineLevel="2" x14ac:dyDescent="0.25">
      <c r="A47" s="27"/>
      <c r="B47" s="12" t="str">
        <f>CONCATENATE("          ", "6277", " - ", "EMPLOYEE APPRECIATION")</f>
        <v xml:space="preserve">          6277 - EMPLOYEE APPRECIATION</v>
      </c>
      <c r="C47" s="12"/>
      <c r="D47" s="7"/>
      <c r="E47" s="3"/>
      <c r="F47" s="8">
        <f t="shared" si="20"/>
        <v>0</v>
      </c>
      <c r="G47" s="3"/>
      <c r="H47" s="7">
        <v>20</v>
      </c>
      <c r="I47" s="3"/>
      <c r="J47" s="8">
        <f t="shared" si="21"/>
        <v>3.9465635298064212E-4</v>
      </c>
      <c r="K47" s="3"/>
      <c r="L47" s="7">
        <f t="shared" si="22"/>
        <v>-20</v>
      </c>
      <c r="M47" s="3"/>
      <c r="N47" s="8">
        <f t="shared" si="23"/>
        <v>-1</v>
      </c>
      <c r="O47" s="12"/>
      <c r="P47" s="7"/>
      <c r="Q47" s="3"/>
      <c r="R47" s="8">
        <f t="shared" si="24"/>
        <v>0</v>
      </c>
      <c r="S47" s="3"/>
      <c r="T47" s="7">
        <v>20</v>
      </c>
      <c r="U47" s="3"/>
      <c r="V47" s="8">
        <f t="shared" si="25"/>
        <v>3.9465635298064212E-4</v>
      </c>
      <c r="W47" s="3"/>
      <c r="X47" s="7">
        <f t="shared" si="26"/>
        <v>-20</v>
      </c>
      <c r="Y47" s="3"/>
      <c r="Z47" s="8">
        <f t="shared" si="27"/>
        <v>-1</v>
      </c>
    </row>
    <row r="48" spans="1:26" s="29" customFormat="1" outlineLevel="1" collapsed="1" x14ac:dyDescent="0.25">
      <c r="A48" s="28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1.9732817649032106E-4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0</v>
      </c>
      <c r="Q48" s="1"/>
      <c r="R48" s="5">
        <f t="shared" si="24"/>
        <v>0</v>
      </c>
      <c r="S48" s="1"/>
      <c r="T48" s="1">
        <f>SUM(OSRRefT22_5x_0)</f>
        <v>10</v>
      </c>
      <c r="U48" s="1"/>
      <c r="V48" s="5">
        <f t="shared" si="25"/>
        <v>1.9732817649032106E-4</v>
      </c>
      <c r="W48" s="1"/>
      <c r="X48" s="1">
        <f t="shared" si="26"/>
        <v>-10</v>
      </c>
      <c r="Y48" s="1"/>
      <c r="Z48" s="5">
        <f t="shared" si="27"/>
        <v>-1</v>
      </c>
    </row>
    <row r="49" spans="1:26" s="24" customFormat="1" hidden="1" outlineLevel="2" x14ac:dyDescent="0.25">
      <c r="A49" s="27"/>
      <c r="B49" s="12" t="str">
        <f>CONCATENATE("          ", "6307", " - ", "POSTAGE")</f>
        <v xml:space="preserve">          6307 - POSTAGE</v>
      </c>
      <c r="C49" s="12"/>
      <c r="D49" s="7"/>
      <c r="E49" s="3"/>
      <c r="F49" s="8">
        <f t="shared" si="20"/>
        <v>0</v>
      </c>
      <c r="G49" s="3"/>
      <c r="H49" s="7">
        <v>10</v>
      </c>
      <c r="I49" s="3"/>
      <c r="J49" s="8">
        <f t="shared" si="21"/>
        <v>1.9732817649032106E-4</v>
      </c>
      <c r="K49" s="3"/>
      <c r="L49" s="7">
        <f t="shared" si="22"/>
        <v>-10</v>
      </c>
      <c r="M49" s="3"/>
      <c r="N49" s="8">
        <f t="shared" si="23"/>
        <v>-1</v>
      </c>
      <c r="O49" s="12"/>
      <c r="P49" s="7"/>
      <c r="Q49" s="3"/>
      <c r="R49" s="8">
        <f t="shared" si="24"/>
        <v>0</v>
      </c>
      <c r="S49" s="3"/>
      <c r="T49" s="7">
        <v>10</v>
      </c>
      <c r="U49" s="3"/>
      <c r="V49" s="8">
        <f t="shared" si="25"/>
        <v>1.9732817649032106E-4</v>
      </c>
      <c r="W49" s="3"/>
      <c r="X49" s="7">
        <f t="shared" si="26"/>
        <v>-10</v>
      </c>
      <c r="Y49" s="3"/>
      <c r="Z49" s="8">
        <f t="shared" si="27"/>
        <v>-1</v>
      </c>
    </row>
    <row r="50" spans="1:26" s="29" customFormat="1" outlineLevel="1" collapsed="1" x14ac:dyDescent="0.25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SUM(OSRRefD22_6x_0)</f>
        <v>0</v>
      </c>
      <c r="E50" s="1"/>
      <c r="F50" s="5">
        <f t="shared" si="20"/>
        <v>0</v>
      </c>
      <c r="G50" s="1"/>
      <c r="H50" s="1">
        <f>SUM(OSRRefH22_6x_0)</f>
        <v>50</v>
      </c>
      <c r="I50" s="1"/>
      <c r="J50" s="5">
        <f t="shared" si="21"/>
        <v>9.8664088245160528E-4</v>
      </c>
      <c r="K50" s="1"/>
      <c r="L50" s="1">
        <f t="shared" si="22"/>
        <v>-50</v>
      </c>
      <c r="M50" s="1"/>
      <c r="N50" s="5">
        <f t="shared" si="23"/>
        <v>-1</v>
      </c>
      <c r="O50" s="14"/>
      <c r="P50" s="1">
        <f>SUM(OSRRefP22_6x_0)</f>
        <v>0</v>
      </c>
      <c r="Q50" s="1"/>
      <c r="R50" s="5">
        <f t="shared" si="24"/>
        <v>0</v>
      </c>
      <c r="S50" s="1"/>
      <c r="T50" s="1">
        <f>SUM(OSRRefT22_6x_0)</f>
        <v>50</v>
      </c>
      <c r="U50" s="1"/>
      <c r="V50" s="5">
        <f t="shared" si="25"/>
        <v>9.8664088245160528E-4</v>
      </c>
      <c r="W50" s="1"/>
      <c r="X50" s="1">
        <f t="shared" si="26"/>
        <v>-50</v>
      </c>
      <c r="Y50" s="1"/>
      <c r="Z50" s="5">
        <f t="shared" si="27"/>
        <v>-1</v>
      </c>
    </row>
    <row r="51" spans="1:26" s="24" customFormat="1" hidden="1" outlineLevel="2" x14ac:dyDescent="0.25">
      <c r="A51" s="27"/>
      <c r="B51" s="12" t="str">
        <f>CONCATENATE("          ", "6279", " - ", "GENERAL EXPENSE")</f>
        <v xml:space="preserve">          6279 - GENERAL EXPENSE</v>
      </c>
      <c r="C51" s="12"/>
      <c r="D51" s="7"/>
      <c r="E51" s="3"/>
      <c r="F51" s="8">
        <f t="shared" si="20"/>
        <v>0</v>
      </c>
      <c r="G51" s="3"/>
      <c r="H51" s="7">
        <v>50</v>
      </c>
      <c r="I51" s="3"/>
      <c r="J51" s="8">
        <f t="shared" si="21"/>
        <v>9.8664088245160528E-4</v>
      </c>
      <c r="K51" s="3"/>
      <c r="L51" s="7">
        <f t="shared" si="22"/>
        <v>-50</v>
      </c>
      <c r="M51" s="3"/>
      <c r="N51" s="8">
        <f t="shared" si="23"/>
        <v>-1</v>
      </c>
      <c r="O51" s="12"/>
      <c r="P51" s="7"/>
      <c r="Q51" s="3"/>
      <c r="R51" s="8">
        <f t="shared" si="24"/>
        <v>0</v>
      </c>
      <c r="S51" s="3"/>
      <c r="T51" s="7">
        <v>50</v>
      </c>
      <c r="U51" s="3"/>
      <c r="V51" s="8">
        <f t="shared" si="25"/>
        <v>9.8664088245160528E-4</v>
      </c>
      <c r="W51" s="3"/>
      <c r="X51" s="7">
        <f t="shared" si="26"/>
        <v>-50</v>
      </c>
      <c r="Y51" s="3"/>
      <c r="Z51" s="8">
        <f t="shared" si="27"/>
        <v>-1</v>
      </c>
    </row>
    <row r="52" spans="1:26" s="29" customFormat="1" outlineLevel="1" collapsed="1" x14ac:dyDescent="0.25">
      <c r="A52" s="28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SUM(OSRRefD22_7x_0)</f>
        <v>29.01</v>
      </c>
      <c r="E52" s="1"/>
      <c r="F52" s="5">
        <f t="shared" si="20"/>
        <v>1.383338896571456E-3</v>
      </c>
      <c r="G52" s="1"/>
      <c r="H52" s="1">
        <f>SUM(OSRRefH22_7x_0)</f>
        <v>33</v>
      </c>
      <c r="I52" s="1"/>
      <c r="J52" s="5">
        <f t="shared" si="21"/>
        <v>6.5118298241805949E-4</v>
      </c>
      <c r="K52" s="1"/>
      <c r="L52" s="1">
        <f t="shared" si="22"/>
        <v>-3.9899999999999984</v>
      </c>
      <c r="M52" s="1"/>
      <c r="N52" s="5">
        <f t="shared" si="23"/>
        <v>-0.12090909090909085</v>
      </c>
      <c r="O52" s="14"/>
      <c r="P52" s="1">
        <f>SUM(OSRRefP22_7x_0)</f>
        <v>29.01</v>
      </c>
      <c r="Q52" s="1"/>
      <c r="R52" s="5">
        <f t="shared" si="24"/>
        <v>1.383338896571456E-3</v>
      </c>
      <c r="S52" s="1"/>
      <c r="T52" s="1">
        <f>SUM(OSRRefT22_7x_0)</f>
        <v>33</v>
      </c>
      <c r="U52" s="1"/>
      <c r="V52" s="5">
        <f t="shared" si="25"/>
        <v>6.5118298241805949E-4</v>
      </c>
      <c r="W52" s="1"/>
      <c r="X52" s="1">
        <f t="shared" si="26"/>
        <v>-3.9899999999999984</v>
      </c>
      <c r="Y52" s="1"/>
      <c r="Z52" s="5">
        <f t="shared" si="27"/>
        <v>-0.12090909090909085</v>
      </c>
    </row>
    <row r="53" spans="1:26" s="24" customFormat="1" hidden="1" outlineLevel="2" x14ac:dyDescent="0.25">
      <c r="A53" s="27"/>
      <c r="B53" s="12" t="str">
        <f>CONCATENATE("          ", "6314", " - ", "LIABILITY INSURANCE")</f>
        <v xml:space="preserve">          6314 - LIABILITY INSURANCE</v>
      </c>
      <c r="C53" s="12"/>
      <c r="D53" s="7">
        <v>29.01</v>
      </c>
      <c r="E53" s="3"/>
      <c r="F53" s="8">
        <f t="shared" si="20"/>
        <v>1.383338896571456E-3</v>
      </c>
      <c r="G53" s="3"/>
      <c r="H53" s="7">
        <v>33</v>
      </c>
      <c r="I53" s="3"/>
      <c r="J53" s="8">
        <f t="shared" si="21"/>
        <v>6.5118298241805949E-4</v>
      </c>
      <c r="K53" s="3"/>
      <c r="L53" s="7">
        <f t="shared" si="22"/>
        <v>-3.9899999999999984</v>
      </c>
      <c r="M53" s="3"/>
      <c r="N53" s="8">
        <f t="shared" si="23"/>
        <v>-0.12090909090909085</v>
      </c>
      <c r="O53" s="12"/>
      <c r="P53" s="7">
        <v>29.01</v>
      </c>
      <c r="Q53" s="3"/>
      <c r="R53" s="8">
        <f t="shared" si="24"/>
        <v>1.383338896571456E-3</v>
      </c>
      <c r="S53" s="3"/>
      <c r="T53" s="7">
        <v>33</v>
      </c>
      <c r="U53" s="3"/>
      <c r="V53" s="8">
        <f t="shared" si="25"/>
        <v>6.5118298241805949E-4</v>
      </c>
      <c r="W53" s="3"/>
      <c r="X53" s="7">
        <f t="shared" si="26"/>
        <v>-3.9899999999999984</v>
      </c>
      <c r="Y53" s="3"/>
      <c r="Z53" s="8">
        <f t="shared" si="27"/>
        <v>-0.12090909090909085</v>
      </c>
    </row>
    <row r="54" spans="1:26" s="29" customFormat="1" outlineLevel="1" collapsed="1" x14ac:dyDescent="0.25">
      <c r="A54" s="28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SUM(OSRRefD22_8x_0)</f>
        <v>800</v>
      </c>
      <c r="E54" s="1"/>
      <c r="F54" s="5">
        <f t="shared" si="20"/>
        <v>3.8147918554193888E-2</v>
      </c>
      <c r="G54" s="1"/>
      <c r="H54" s="1">
        <f>SUM(OSRRefH22_8x_0)</f>
        <v>800</v>
      </c>
      <c r="I54" s="1"/>
      <c r="J54" s="5">
        <f t="shared" si="21"/>
        <v>1.5786254119225684E-2</v>
      </c>
      <c r="K54" s="1"/>
      <c r="L54" s="1">
        <f t="shared" si="22"/>
        <v>0</v>
      </c>
      <c r="M54" s="1"/>
      <c r="N54" s="5">
        <f t="shared" si="23"/>
        <v>0</v>
      </c>
      <c r="O54" s="14"/>
      <c r="P54" s="1">
        <f>SUM(OSRRefP22_8x_0)</f>
        <v>800</v>
      </c>
      <c r="Q54" s="1"/>
      <c r="R54" s="5">
        <f t="shared" si="24"/>
        <v>3.8147918554193888E-2</v>
      </c>
      <c r="S54" s="1"/>
      <c r="T54" s="1">
        <f>SUM(OSRRefT22_8x_0)</f>
        <v>800</v>
      </c>
      <c r="U54" s="1"/>
      <c r="V54" s="5">
        <f t="shared" si="25"/>
        <v>1.5786254119225684E-2</v>
      </c>
      <c r="W54" s="1"/>
      <c r="X54" s="1">
        <f t="shared" si="26"/>
        <v>0</v>
      </c>
      <c r="Y54" s="1"/>
      <c r="Z54" s="5">
        <f t="shared" si="27"/>
        <v>0</v>
      </c>
    </row>
    <row r="55" spans="1:26" s="24" customFormat="1" hidden="1" outlineLevel="2" x14ac:dyDescent="0.25">
      <c r="A55" s="27"/>
      <c r="B55" s="12" t="str">
        <f>CONCATENATE("          ", "6273", " - ", "RENT")</f>
        <v xml:space="preserve">          6273 - RENT</v>
      </c>
      <c r="C55" s="12"/>
      <c r="D55" s="7">
        <v>800</v>
      </c>
      <c r="E55" s="3"/>
      <c r="F55" s="8">
        <f t="shared" si="20"/>
        <v>3.8147918554193888E-2</v>
      </c>
      <c r="G55" s="3"/>
      <c r="H55" s="7">
        <v>800</v>
      </c>
      <c r="I55" s="3"/>
      <c r="J55" s="8">
        <f t="shared" si="21"/>
        <v>1.5786254119225684E-2</v>
      </c>
      <c r="K55" s="3"/>
      <c r="L55" s="7">
        <f t="shared" si="22"/>
        <v>0</v>
      </c>
      <c r="M55" s="3"/>
      <c r="N55" s="8">
        <f t="shared" si="23"/>
        <v>0</v>
      </c>
      <c r="O55" s="12"/>
      <c r="P55" s="7">
        <v>800</v>
      </c>
      <c r="Q55" s="3"/>
      <c r="R55" s="8">
        <f t="shared" si="24"/>
        <v>3.8147918554193888E-2</v>
      </c>
      <c r="S55" s="3"/>
      <c r="T55" s="7">
        <v>800</v>
      </c>
      <c r="U55" s="3"/>
      <c r="V55" s="8">
        <f t="shared" si="25"/>
        <v>1.5786254119225684E-2</v>
      </c>
      <c r="W55" s="3"/>
      <c r="X55" s="7">
        <f t="shared" si="26"/>
        <v>0</v>
      </c>
      <c r="Y55" s="3"/>
      <c r="Z55" s="8">
        <f t="shared" si="27"/>
        <v>0</v>
      </c>
    </row>
    <row r="56" spans="1:26" s="29" customFormat="1" outlineLevel="1" collapsed="1" x14ac:dyDescent="0.25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SUM(OSRRefD22_9x_0)</f>
        <v>0</v>
      </c>
      <c r="E56" s="1"/>
      <c r="F56" s="5">
        <f t="shared" si="20"/>
        <v>0</v>
      </c>
      <c r="G56" s="1"/>
      <c r="H56" s="1">
        <f>SUM(OSRRefH22_9x_0)</f>
        <v>1500</v>
      </c>
      <c r="I56" s="1"/>
      <c r="J56" s="5">
        <f t="shared" si="21"/>
        <v>2.9599226473548158E-2</v>
      </c>
      <c r="K56" s="1"/>
      <c r="L56" s="1">
        <f t="shared" si="22"/>
        <v>-1500</v>
      </c>
      <c r="M56" s="1"/>
      <c r="N56" s="5">
        <f t="shared" si="23"/>
        <v>-1</v>
      </c>
      <c r="O56" s="14"/>
      <c r="P56" s="1">
        <f>SUM(OSRRefP22_9x_0)</f>
        <v>0</v>
      </c>
      <c r="Q56" s="1"/>
      <c r="R56" s="5">
        <f t="shared" si="24"/>
        <v>0</v>
      </c>
      <c r="S56" s="1"/>
      <c r="T56" s="1">
        <f>SUM(OSRRefT22_9x_0)</f>
        <v>1500</v>
      </c>
      <c r="U56" s="1"/>
      <c r="V56" s="5">
        <f t="shared" si="25"/>
        <v>2.9599226473548158E-2</v>
      </c>
      <c r="W56" s="1"/>
      <c r="X56" s="1">
        <f t="shared" si="26"/>
        <v>-1500</v>
      </c>
      <c r="Y56" s="1"/>
      <c r="Z56" s="5">
        <f t="shared" si="27"/>
        <v>-1</v>
      </c>
    </row>
    <row r="57" spans="1:26" s="24" customFormat="1" hidden="1" outlineLevel="2" x14ac:dyDescent="0.25">
      <c r="A57" s="27"/>
      <c r="B57" s="12" t="str">
        <f>CONCATENATE("          ", "6372", " - ", "COMPUTER HARDWARE MAINTENANCE")</f>
        <v xml:space="preserve">          6372 - COMPUTER HARDWARE MAINTENANCE</v>
      </c>
      <c r="C57" s="12"/>
      <c r="D57" s="7"/>
      <c r="E57" s="3"/>
      <c r="F57" s="8">
        <f t="shared" si="20"/>
        <v>0</v>
      </c>
      <c r="G57" s="3"/>
      <c r="H57" s="7">
        <v>1500</v>
      </c>
      <c r="I57" s="3"/>
      <c r="J57" s="8">
        <f t="shared" si="21"/>
        <v>2.9599226473548158E-2</v>
      </c>
      <c r="K57" s="3"/>
      <c r="L57" s="7">
        <f t="shared" si="22"/>
        <v>-1500</v>
      </c>
      <c r="M57" s="3"/>
      <c r="N57" s="8">
        <f t="shared" si="23"/>
        <v>-1</v>
      </c>
      <c r="O57" s="12"/>
      <c r="P57" s="7"/>
      <c r="Q57" s="3"/>
      <c r="R57" s="8">
        <f t="shared" si="24"/>
        <v>0</v>
      </c>
      <c r="S57" s="3"/>
      <c r="T57" s="7">
        <v>1500</v>
      </c>
      <c r="U57" s="3"/>
      <c r="V57" s="8">
        <f t="shared" si="25"/>
        <v>2.9599226473548158E-2</v>
      </c>
      <c r="W57" s="3"/>
      <c r="X57" s="7">
        <f t="shared" si="26"/>
        <v>-1500</v>
      </c>
      <c r="Y57" s="3"/>
      <c r="Z57" s="8">
        <f t="shared" si="27"/>
        <v>-1</v>
      </c>
    </row>
    <row r="58" spans="1:26" s="29" customFormat="1" outlineLevel="1" collapsed="1" x14ac:dyDescent="0.25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SUM(OSRRefD22_10x_0)</f>
        <v>92.59</v>
      </c>
      <c r="E58" s="1"/>
      <c r="F58" s="5">
        <f t="shared" si="20"/>
        <v>4.4151447236660153E-3</v>
      </c>
      <c r="G58" s="1"/>
      <c r="H58" s="1">
        <f>SUM(OSRRefH22_10x_0)</f>
        <v>7000</v>
      </c>
      <c r="I58" s="1"/>
      <c r="J58" s="5">
        <f t="shared" si="21"/>
        <v>0.13812972354322473</v>
      </c>
      <c r="K58" s="1"/>
      <c r="L58" s="1">
        <f t="shared" si="22"/>
        <v>-6907.41</v>
      </c>
      <c r="M58" s="1"/>
      <c r="N58" s="5">
        <f t="shared" si="23"/>
        <v>-0.98677285714285712</v>
      </c>
      <c r="O58" s="14"/>
      <c r="P58" s="1">
        <f>SUM(OSRRefP22_10x_0)</f>
        <v>92.59</v>
      </c>
      <c r="Q58" s="1"/>
      <c r="R58" s="5">
        <f t="shared" si="24"/>
        <v>4.4151447236660153E-3</v>
      </c>
      <c r="S58" s="1"/>
      <c r="T58" s="1">
        <f>SUM(OSRRefT22_10x_0)</f>
        <v>7000</v>
      </c>
      <c r="U58" s="1"/>
      <c r="V58" s="5">
        <f t="shared" si="25"/>
        <v>0.13812972354322473</v>
      </c>
      <c r="W58" s="1"/>
      <c r="X58" s="1">
        <f t="shared" si="26"/>
        <v>-6907.41</v>
      </c>
      <c r="Y58" s="1"/>
      <c r="Z58" s="5">
        <f t="shared" si="27"/>
        <v>-0.98677285714285712</v>
      </c>
    </row>
    <row r="59" spans="1:26" s="24" customFormat="1" hidden="1" outlineLevel="2" x14ac:dyDescent="0.25">
      <c r="A59" s="27"/>
      <c r="B59" s="12" t="str">
        <f>CONCATENATE("          ", "6234", " - ", "EXPENDABLE SUPPLIES &amp; EQUIPMEN")</f>
        <v xml:space="preserve">          6234 - EXPENDABLE SUPPLIES &amp; EQUIPMEN</v>
      </c>
      <c r="C59" s="12"/>
      <c r="D59" s="7"/>
      <c r="E59" s="3"/>
      <c r="F59" s="8">
        <f t="shared" si="20"/>
        <v>0</v>
      </c>
      <c r="G59" s="3"/>
      <c r="H59" s="7">
        <v>7000</v>
      </c>
      <c r="I59" s="3"/>
      <c r="J59" s="8">
        <f t="shared" si="21"/>
        <v>0.13812972354322473</v>
      </c>
      <c r="K59" s="3"/>
      <c r="L59" s="7">
        <f t="shared" si="22"/>
        <v>-7000</v>
      </c>
      <c r="M59" s="3"/>
      <c r="N59" s="8">
        <f t="shared" si="23"/>
        <v>-1</v>
      </c>
      <c r="O59" s="12"/>
      <c r="P59" s="7"/>
      <c r="Q59" s="3"/>
      <c r="R59" s="8">
        <f t="shared" si="24"/>
        <v>0</v>
      </c>
      <c r="S59" s="3"/>
      <c r="T59" s="7">
        <v>7000</v>
      </c>
      <c r="U59" s="3"/>
      <c r="V59" s="8">
        <f t="shared" si="25"/>
        <v>0.13812972354322473</v>
      </c>
      <c r="W59" s="3"/>
      <c r="X59" s="7">
        <f t="shared" si="26"/>
        <v>-7000</v>
      </c>
      <c r="Y59" s="3"/>
      <c r="Z59" s="8">
        <f t="shared" si="27"/>
        <v>-1</v>
      </c>
    </row>
    <row r="60" spans="1:26" s="24" customFormat="1" hidden="1" outlineLevel="2" x14ac:dyDescent="0.25">
      <c r="A60" s="27"/>
      <c r="B60" s="12" t="str">
        <f>CONCATENATE("          ", "6241", " - ", "OFFICE EXPENSE")</f>
        <v xml:space="preserve">          6241 - OFFICE EXPENSE</v>
      </c>
      <c r="C60" s="12"/>
      <c r="D60" s="7">
        <v>92.59</v>
      </c>
      <c r="E60" s="3"/>
      <c r="F60" s="8">
        <f t="shared" si="20"/>
        <v>4.4151447236660153E-3</v>
      </c>
      <c r="G60" s="3"/>
      <c r="H60" s="7"/>
      <c r="I60" s="3"/>
      <c r="J60" s="8">
        <f t="shared" si="21"/>
        <v>0</v>
      </c>
      <c r="K60" s="3"/>
      <c r="L60" s="7">
        <f t="shared" si="22"/>
        <v>92.59</v>
      </c>
      <c r="M60" s="3"/>
      <c r="N60" s="8">
        <f t="shared" si="23"/>
        <v>0</v>
      </c>
      <c r="O60" s="12"/>
      <c r="P60" s="7">
        <v>92.59</v>
      </c>
      <c r="Q60" s="3"/>
      <c r="R60" s="8">
        <f t="shared" si="24"/>
        <v>4.4151447236660153E-3</v>
      </c>
      <c r="S60" s="3"/>
      <c r="T60" s="7"/>
      <c r="U60" s="3"/>
      <c r="V60" s="8">
        <f t="shared" si="25"/>
        <v>0</v>
      </c>
      <c r="W60" s="3"/>
      <c r="X60" s="7">
        <f t="shared" si="26"/>
        <v>92.59</v>
      </c>
      <c r="Y60" s="3"/>
      <c r="Z60" s="8">
        <f t="shared" si="27"/>
        <v>0</v>
      </c>
    </row>
    <row r="61" spans="1:26" s="29" customFormat="1" outlineLevel="1" collapsed="1" x14ac:dyDescent="0.25">
      <c r="A61" s="28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SUM(OSRRefD22_11x_0)</f>
        <v>154.93</v>
      </c>
      <c r="E61" s="1"/>
      <c r="F61" s="5">
        <f t="shared" ref="F61:F62" si="28">IF(D$12=0,0,D61/D$12)</f>
        <v>7.3878212770015737E-3</v>
      </c>
      <c r="G61" s="1"/>
      <c r="H61" s="1">
        <f>SUM(OSRRefH22_11x_0)</f>
        <v>700</v>
      </c>
      <c r="I61" s="1"/>
      <c r="J61" s="5">
        <f t="shared" ref="J61:J62" si="29">IF(H$12=0,0,H61/H$12)</f>
        <v>1.3812972354322474E-2</v>
      </c>
      <c r="K61" s="1"/>
      <c r="L61" s="1">
        <f t="shared" ref="L61:L62" si="30">+D61-H61</f>
        <v>-545.06999999999994</v>
      </c>
      <c r="M61" s="1"/>
      <c r="N61" s="5">
        <f t="shared" ref="N61:N62" si="31">IF(H61=0,0,L61/H61)</f>
        <v>-0.77867142857142846</v>
      </c>
      <c r="O61" s="14"/>
      <c r="P61" s="1">
        <f>SUM(OSRRefP22_11x_0)</f>
        <v>154.93</v>
      </c>
      <c r="Q61" s="1"/>
      <c r="R61" s="5">
        <f t="shared" ref="R61:R62" si="32">IF(P$12=0,0,P61/P$12)</f>
        <v>7.3878212770015737E-3</v>
      </c>
      <c r="S61" s="1"/>
      <c r="T61" s="1">
        <f>SUM(OSRRefT22_11x_0)</f>
        <v>700</v>
      </c>
      <c r="U61" s="1"/>
      <c r="V61" s="5">
        <f t="shared" ref="V61:V62" si="33">IF(T$12=0,0,T61/T$12)</f>
        <v>1.3812972354322474E-2</v>
      </c>
      <c r="W61" s="1"/>
      <c r="X61" s="1">
        <f t="shared" ref="X61:X62" si="34">+P61-T61</f>
        <v>-545.06999999999994</v>
      </c>
      <c r="Y61" s="1"/>
      <c r="Z61" s="5">
        <f t="shared" ref="Z61:Z62" si="35">IF(T61=0,0,X61/T61)</f>
        <v>-0.77867142857142846</v>
      </c>
    </row>
    <row r="62" spans="1:26" s="24" customFormat="1" hidden="1" outlineLevel="2" x14ac:dyDescent="0.25">
      <c r="A62" s="27"/>
      <c r="B62" s="12" t="str">
        <f>CONCATENATE("          ", "6309", " - ", "TELEPHONE")</f>
        <v xml:space="preserve">          6309 - TELEPHONE</v>
      </c>
      <c r="C62" s="12"/>
      <c r="D62" s="7">
        <v>154.93</v>
      </c>
      <c r="E62" s="3"/>
      <c r="F62" s="8">
        <f t="shared" si="28"/>
        <v>7.3878212770015737E-3</v>
      </c>
      <c r="G62" s="3"/>
      <c r="H62" s="7">
        <v>700</v>
      </c>
      <c r="I62" s="3"/>
      <c r="J62" s="8">
        <f t="shared" si="29"/>
        <v>1.3812972354322474E-2</v>
      </c>
      <c r="K62" s="3"/>
      <c r="L62" s="7">
        <f t="shared" si="30"/>
        <v>-545.06999999999994</v>
      </c>
      <c r="M62" s="3"/>
      <c r="N62" s="8">
        <f t="shared" si="31"/>
        <v>-0.77867142857142846</v>
      </c>
      <c r="O62" s="12"/>
      <c r="P62" s="7">
        <v>154.93</v>
      </c>
      <c r="Q62" s="3"/>
      <c r="R62" s="8">
        <f t="shared" si="32"/>
        <v>7.3878212770015737E-3</v>
      </c>
      <c r="S62" s="3"/>
      <c r="T62" s="7">
        <v>700</v>
      </c>
      <c r="U62" s="3"/>
      <c r="V62" s="8">
        <f t="shared" si="33"/>
        <v>1.3812972354322474E-2</v>
      </c>
      <c r="W62" s="3"/>
      <c r="X62" s="7">
        <f t="shared" si="34"/>
        <v>-545.06999999999994</v>
      </c>
      <c r="Y62" s="3"/>
      <c r="Z62" s="8">
        <f t="shared" si="35"/>
        <v>-0.77867142857142846</v>
      </c>
    </row>
    <row r="63" spans="1:26" s="54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2" customFormat="1" collapsed="1" x14ac:dyDescent="0.25">
      <c r="A64" s="10"/>
      <c r="B64" s="26" t="s">
        <v>0</v>
      </c>
      <c r="C64" s="10"/>
      <c r="D64" s="4">
        <f>SUM(OSRRefD25x_0)</f>
        <v>165</v>
      </c>
      <c r="E64" s="4"/>
      <c r="F64" s="11">
        <f t="shared" ref="F64:F65" si="36">IF(D$12=0,0,D64/D$12)</f>
        <v>7.8680082018024889E-3</v>
      </c>
      <c r="G64" s="4"/>
      <c r="H64" s="4">
        <f>SUM(OSRRefH25x_0)</f>
        <v>1500</v>
      </c>
      <c r="I64" s="4"/>
      <c r="J64" s="11">
        <f t="shared" ref="J64:J65" si="37">IF(H$12=0,0,H64/H$12)</f>
        <v>2.9599226473548158E-2</v>
      </c>
      <c r="K64" s="4"/>
      <c r="L64" s="4">
        <f t="shared" ref="L64:L65" si="38">+D64-H64</f>
        <v>-1335</v>
      </c>
      <c r="M64" s="4"/>
      <c r="N64" s="11">
        <f t="shared" ref="N64:N65" si="39">IF(H64=0,0,L64/H64)</f>
        <v>-0.89</v>
      </c>
      <c r="O64" s="10"/>
      <c r="P64" s="4">
        <f>SUM(OSRRefP25x_0)</f>
        <v>165</v>
      </c>
      <c r="Q64" s="4"/>
      <c r="R64" s="11">
        <f t="shared" ref="R64:R65" si="40">IF(P$12=0,0,P64/P$12)</f>
        <v>7.8680082018024889E-3</v>
      </c>
      <c r="S64" s="4"/>
      <c r="T64" s="4">
        <f>SUM(OSRRefT25x_0)</f>
        <v>1500</v>
      </c>
      <c r="U64" s="4"/>
      <c r="V64" s="11">
        <f t="shared" ref="V64:V65" si="41">IF(T$12=0,0,T64/T$12)</f>
        <v>2.9599226473548158E-2</v>
      </c>
      <c r="W64" s="4"/>
      <c r="X64" s="4">
        <f t="shared" ref="X64:X65" si="42">+P64-T64</f>
        <v>-1335</v>
      </c>
      <c r="Y64" s="4"/>
      <c r="Z64" s="11">
        <f t="shared" ref="Z64:Z65" si="43">IF(T64=0,0,X64/T64)</f>
        <v>-0.89</v>
      </c>
    </row>
    <row r="65" spans="1:26" s="24" customFormat="1" hidden="1" outlineLevel="1" x14ac:dyDescent="0.25">
      <c r="A65" s="51"/>
      <c r="B65" s="12" t="str">
        <f>CONCATENATE("          ", "9150", " - ", "MISC. INCOME")</f>
        <v xml:space="preserve">          9150 - MISC. INCOME</v>
      </c>
      <c r="C65" s="12"/>
      <c r="D65" s="3">
        <f>--165</f>
        <v>165</v>
      </c>
      <c r="E65" s="3"/>
      <c r="F65" s="23">
        <f t="shared" si="36"/>
        <v>7.8680082018024889E-3</v>
      </c>
      <c r="G65" s="3"/>
      <c r="H65" s="3">
        <v>1500</v>
      </c>
      <c r="I65" s="3"/>
      <c r="J65" s="23">
        <f t="shared" si="37"/>
        <v>2.9599226473548158E-2</v>
      </c>
      <c r="K65" s="3"/>
      <c r="L65" s="3">
        <f t="shared" si="38"/>
        <v>-1335</v>
      </c>
      <c r="M65" s="3"/>
      <c r="N65" s="23">
        <f t="shared" si="39"/>
        <v>-0.89</v>
      </c>
      <c r="O65" s="12"/>
      <c r="P65" s="3">
        <f>--165</f>
        <v>165</v>
      </c>
      <c r="Q65" s="3"/>
      <c r="R65" s="23">
        <f t="shared" si="40"/>
        <v>7.8680082018024889E-3</v>
      </c>
      <c r="S65" s="3"/>
      <c r="T65" s="3">
        <v>1500</v>
      </c>
      <c r="U65" s="3"/>
      <c r="V65" s="23">
        <f t="shared" si="41"/>
        <v>2.9599226473548158E-2</v>
      </c>
      <c r="W65" s="3"/>
      <c r="X65" s="3">
        <f t="shared" si="42"/>
        <v>-1335</v>
      </c>
      <c r="Y65" s="3"/>
      <c r="Z65" s="23">
        <f t="shared" si="43"/>
        <v>-0.89</v>
      </c>
    </row>
    <row r="66" spans="1:26" x14ac:dyDescent="0.25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2" customFormat="1" x14ac:dyDescent="0.25">
      <c r="A67" s="10"/>
      <c r="B67" s="25" t="s">
        <v>3</v>
      </c>
      <c r="C67" s="25"/>
      <c r="D67" s="21">
        <f>+D17-D19+D64</f>
        <v>0.13999999999941792</v>
      </c>
      <c r="E67" s="13"/>
      <c r="F67" s="20">
        <f>IF(D$12=0,0,D67/D$12)</f>
        <v>6.6758857469561736E-6</v>
      </c>
      <c r="G67" s="13"/>
      <c r="H67" s="21">
        <f>+H17-H19+H64</f>
        <v>7764.2419967307724</v>
      </c>
      <c r="I67" s="13"/>
      <c r="J67" s="20">
        <f>IF(H$12=0,0,H67/H$12)</f>
        <v>0.15321037150444525</v>
      </c>
      <c r="K67" s="15"/>
      <c r="L67" s="21">
        <f>+D67-H67</f>
        <v>-7764.101996730773</v>
      </c>
      <c r="M67" s="15"/>
      <c r="N67" s="20">
        <f>IF(H67=0,0,L67/H67)</f>
        <v>-0.99998196861972377</v>
      </c>
      <c r="O67" s="26"/>
      <c r="P67" s="21">
        <f>+P17-P19+P64</f>
        <v>0.13999999999941792</v>
      </c>
      <c r="Q67" s="13"/>
      <c r="R67" s="20">
        <f>IF(P$12=0,0,P67/P$12)</f>
        <v>6.6758857469561736E-6</v>
      </c>
      <c r="S67" s="13"/>
      <c r="T67" s="21">
        <f>+T17-T19+T64</f>
        <v>7764.2419967307724</v>
      </c>
      <c r="U67" s="13"/>
      <c r="V67" s="20">
        <f>IF(T$12=0,0,T67/T$12)</f>
        <v>0.15321037150444525</v>
      </c>
      <c r="W67" s="15"/>
      <c r="X67" s="21">
        <f>+P67-T67</f>
        <v>-7764.101996730773</v>
      </c>
      <c r="Y67" s="15"/>
      <c r="Z67" s="20">
        <f>IF(T67=0,0,X67/T67)</f>
        <v>-0.99998196861972377</v>
      </c>
    </row>
    <row r="68" spans="1:26" x14ac:dyDescent="0.25">
      <c r="A68" s="9"/>
      <c r="B68" s="10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2" customFormat="1" x14ac:dyDescent="0.25">
      <c r="A69" s="52"/>
      <c r="B69" s="10" t="s">
        <v>14</v>
      </c>
      <c r="C69" s="10"/>
      <c r="D69" s="4">
        <v>10085.93</v>
      </c>
      <c r="E69" s="4"/>
      <c r="F69" s="11">
        <f>IF(D$12=0,0,D69/D$12)</f>
        <v>0.48094654522912594</v>
      </c>
      <c r="G69" s="4"/>
      <c r="H69" s="4">
        <v>24617</v>
      </c>
      <c r="I69" s="4"/>
      <c r="J69" s="11">
        <f>IF(H$12=0,0,H69/H$12)</f>
        <v>0.48576277206622331</v>
      </c>
      <c r="K69" s="4"/>
      <c r="L69" s="4">
        <f>+D69-H69</f>
        <v>-14531.07</v>
      </c>
      <c r="M69" s="4"/>
      <c r="N69" s="11">
        <f>IF(H69=0,0,L69/H69)</f>
        <v>-0.59028598123248166</v>
      </c>
      <c r="O69" s="10"/>
      <c r="P69" s="4">
        <v>10085.93</v>
      </c>
      <c r="Q69" s="4"/>
      <c r="R69" s="11">
        <f>IF(P$12=0,0,P69/P$12)</f>
        <v>0.48094654522912594</v>
      </c>
      <c r="S69" s="4"/>
      <c r="T69" s="4">
        <v>24617</v>
      </c>
      <c r="U69" s="4"/>
      <c r="V69" s="11">
        <f>IF(T$12=0,0,T69/T$12)</f>
        <v>0.48576277206622331</v>
      </c>
      <c r="W69" s="4"/>
      <c r="X69" s="4">
        <f>+P69-T69</f>
        <v>-14531.07</v>
      </c>
      <c r="Y69" s="4"/>
      <c r="Z69" s="11">
        <f>IF(T69=0,0,X69/T69)</f>
        <v>-0.59028598123248166</v>
      </c>
    </row>
    <row r="70" spans="1:26" x14ac:dyDescent="0.25">
      <c r="A70" s="9"/>
      <c r="B70" s="10"/>
      <c r="C70" s="10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10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2" customFormat="1" ht="15.75" thickBot="1" x14ac:dyDescent="0.3">
      <c r="A71" s="10"/>
      <c r="B71" s="25" t="s">
        <v>4</v>
      </c>
      <c r="C71" s="25"/>
      <c r="D71" s="34">
        <f>+D67-D69</f>
        <v>-10085.790000000001</v>
      </c>
      <c r="E71" s="13"/>
      <c r="F71" s="30">
        <f>IF(D$12=0,0,D71/D$12)</f>
        <v>-0.48093986934337901</v>
      </c>
      <c r="G71" s="13"/>
      <c r="H71" s="34">
        <f>+H67-H69</f>
        <v>-16852.758003269228</v>
      </c>
      <c r="I71" s="13"/>
      <c r="J71" s="30">
        <f>IF(H$12=0,0,H71/H$12)</f>
        <v>-0.33255240056177809</v>
      </c>
      <c r="K71" s="15"/>
      <c r="L71" s="34">
        <f>D71-H71</f>
        <v>6766.9680032692268</v>
      </c>
      <c r="M71" s="15"/>
      <c r="N71" s="30">
        <f>IF(H71=0,0,L71/H71)</f>
        <v>-0.40153475187601451</v>
      </c>
      <c r="O71" s="26"/>
      <c r="P71" s="34">
        <f>+P67-P69</f>
        <v>-10085.790000000001</v>
      </c>
      <c r="Q71" s="13"/>
      <c r="R71" s="30">
        <f>IF(P$12=0,0,P71/P$12)</f>
        <v>-0.48093986934337901</v>
      </c>
      <c r="S71" s="13"/>
      <c r="T71" s="34">
        <f>+T67-T69</f>
        <v>-16852.758003269228</v>
      </c>
      <c r="U71" s="13"/>
      <c r="V71" s="30">
        <f>IF(T$12=0,0,T71/T$12)</f>
        <v>-0.33255240056177809</v>
      </c>
      <c r="W71" s="15"/>
      <c r="X71" s="34">
        <f>P71-T71</f>
        <v>6766.9680032692268</v>
      </c>
      <c r="Y71" s="15"/>
      <c r="Z71" s="30">
        <f>IF(T71=0,0,X71/T71)</f>
        <v>-0.40153475187601451</v>
      </c>
    </row>
    <row r="72" spans="1:26" ht="15.75" thickTop="1" x14ac:dyDescent="0.25">
      <c r="A72" s="9"/>
      <c r="B72" s="9"/>
      <c r="C72" s="9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x14ac:dyDescent="0.25">
      <c r="A73" s="9"/>
      <c r="B73" s="9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2" customFormat="1" ht="15.75" thickBot="1" x14ac:dyDescent="0.3">
      <c r="A74" s="10"/>
      <c r="B74" s="25" t="s">
        <v>5</v>
      </c>
      <c r="C74" s="25"/>
      <c r="D74" s="32">
        <f>SUM(D71:D73)</f>
        <v>-10085.790000000001</v>
      </c>
      <c r="E74" s="13"/>
      <c r="F74" s="33">
        <f>IF(D$12=0,0,D74/D$12)</f>
        <v>-0.48093986934337901</v>
      </c>
      <c r="G74" s="13"/>
      <c r="H74" s="32">
        <f>SUM(H71:H73)</f>
        <v>-16852.758003269228</v>
      </c>
      <c r="I74" s="13"/>
      <c r="J74" s="33">
        <f>IF(H$12=0,0,H74/H$12)</f>
        <v>-0.33255240056177809</v>
      </c>
      <c r="K74" s="15"/>
      <c r="L74" s="32">
        <f>+D74-H74</f>
        <v>6766.9680032692268</v>
      </c>
      <c r="M74" s="15"/>
      <c r="N74" s="33">
        <f>IF(H74=0,0,L74/H74)</f>
        <v>-0.40153475187601451</v>
      </c>
      <c r="O74" s="26"/>
      <c r="P74" s="32">
        <f>SUM(P71:P73)</f>
        <v>-10085.790000000001</v>
      </c>
      <c r="Q74" s="13"/>
      <c r="R74" s="33">
        <f>IF(P$12=0,0,P74/P$12)</f>
        <v>-0.48093986934337901</v>
      </c>
      <c r="S74" s="13"/>
      <c r="T74" s="32">
        <f>SUM(T71:T73)</f>
        <v>-16852.758003269228</v>
      </c>
      <c r="U74" s="13"/>
      <c r="V74" s="33">
        <f>IF(T$12=0,0,T74/T$12)</f>
        <v>-0.33255240056177809</v>
      </c>
      <c r="W74" s="15"/>
      <c r="X74" s="32">
        <f>+P74-T74</f>
        <v>6766.9680032692268</v>
      </c>
      <c r="Y74" s="15"/>
      <c r="Z74" s="33">
        <f>IF(T74=0,0,X74/T74)</f>
        <v>-0.40153475187601451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8">
        <v>44104.68658040509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6" t="s">
        <v>314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62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3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3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2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3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2"/>
      <c r="B6" s="46"/>
      <c r="C6" s="46"/>
      <c r="D6" s="22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55"/>
      <c r="C10" s="10"/>
      <c r="D10" s="42" t="s">
        <v>10</v>
      </c>
      <c r="E10" s="35"/>
      <c r="F10" s="40" t="s">
        <v>15</v>
      </c>
      <c r="G10" s="35"/>
      <c r="H10" s="47" t="s">
        <v>11</v>
      </c>
      <c r="I10" s="35"/>
      <c r="J10" s="50" t="s">
        <v>16</v>
      </c>
      <c r="K10" s="10"/>
      <c r="L10" s="42" t="s">
        <v>12</v>
      </c>
      <c r="M10" s="10"/>
      <c r="N10" s="40" t="s">
        <v>17</v>
      </c>
      <c r="O10" s="10"/>
      <c r="P10" s="57" t="s">
        <v>10</v>
      </c>
      <c r="Q10" s="35"/>
      <c r="R10" s="40" t="s">
        <v>15</v>
      </c>
      <c r="S10" s="35"/>
      <c r="T10" s="47" t="s">
        <v>11</v>
      </c>
      <c r="U10" s="35"/>
      <c r="V10" s="50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9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2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25">
      <c r="A13" s="51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3"/>
      <c r="G13" s="3"/>
      <c r="H13" s="3" t="e">
        <f ca="1">_xll.OneStop.ReportPlayer.OSRFunctions.OSRGet("GL_F_Trans","Value1")</f>
        <v>#NAME?</v>
      </c>
      <c r="I13" s="3"/>
      <c r="J13" s="23"/>
      <c r="K13" s="3"/>
      <c r="L13" s="3" t="e">
        <f t="shared" ca="1" si="0"/>
        <v>#NAME?</v>
      </c>
      <c r="M13" s="3"/>
      <c r="N13" s="23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3"/>
      <c r="S13" s="3"/>
      <c r="T13" s="3" t="e">
        <f ca="1">_xll.OneStop.ReportPlayer.OSRFunctions.OSRGet("GL_F_Trans","Value1")</f>
        <v>#NAME?</v>
      </c>
      <c r="U13" s="3"/>
      <c r="V13" s="23"/>
      <c r="W13" s="3"/>
      <c r="X13" s="3" t="e">
        <f t="shared" ca="1" si="2"/>
        <v>#NAME?</v>
      </c>
      <c r="Y13" s="3"/>
      <c r="Z13" s="23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2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3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3" t="e">
        <f t="shared" ca="1" si="5"/>
        <v>#NAME?</v>
      </c>
      <c r="K16" s="3"/>
      <c r="L16" s="3" t="e">
        <f t="shared" ca="1" si="6"/>
        <v>#NAME?</v>
      </c>
      <c r="M16" s="3"/>
      <c r="N16" s="23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3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3" t="e">
        <f t="shared" ca="1" si="9"/>
        <v>#NAME?</v>
      </c>
      <c r="W16" s="3"/>
      <c r="X16" s="3" t="e">
        <f t="shared" ca="1" si="10"/>
        <v>#NAME?</v>
      </c>
      <c r="Y16" s="3"/>
      <c r="Z16" s="23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2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1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1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1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1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t="shared" ca="1" si="12"/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t="shared" ca="1" si="13"/>
        <v>#NAME?</v>
      </c>
      <c r="K22" s="3"/>
      <c r="L22" s="7" t="e">
        <f t="shared" ca="1" si="14"/>
        <v>#NAME?</v>
      </c>
      <c r="M22" s="3"/>
      <c r="N22" s="8" t="e">
        <f t="shared" ca="1" si="15"/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t="shared" ca="1" si="16"/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t="shared" ca="1" si="17"/>
        <v>#NAME?</v>
      </c>
      <c r="W22" s="3"/>
      <c r="X22" s="7" t="e">
        <f t="shared" ca="1" si="18"/>
        <v>#NAME?</v>
      </c>
      <c r="Y22" s="3"/>
      <c r="Z22" s="8" t="e">
        <f t="shared" ca="1" si="19"/>
        <v>#NAME?</v>
      </c>
    </row>
    <row r="23" spans="1:26" s="54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3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23" t="e">
        <f t="shared" ca="1" si="21"/>
        <v>#NAME?</v>
      </c>
      <c r="K25" s="3"/>
      <c r="L25" s="3" t="e">
        <f t="shared" ca="1" si="22"/>
        <v>#NAME?</v>
      </c>
      <c r="M25" s="3"/>
      <c r="N25" s="23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3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23" t="e">
        <f t="shared" ca="1" si="25"/>
        <v>#NAME?</v>
      </c>
      <c r="W25" s="3"/>
      <c r="X25" s="3" t="e">
        <f t="shared" ca="1" si="26"/>
        <v>#NAME?</v>
      </c>
      <c r="Y25" s="3"/>
      <c r="Z25" s="23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2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2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2" customFormat="1" ht="15.75" thickBot="1" x14ac:dyDescent="0.3">
      <c r="A36" s="10"/>
      <c r="B36" s="25" t="s">
        <v>5</v>
      </c>
      <c r="C36" s="25"/>
      <c r="D36" s="32" t="e">
        <f ca="1">SUM(D31:D35)</f>
        <v>#NAME?</v>
      </c>
      <c r="E36" s="13"/>
      <c r="F36" s="33" t="e">
        <f ca="1">IF(D$12=0,0,D36/D$12)</f>
        <v>#NAME?</v>
      </c>
      <c r="G36" s="13"/>
      <c r="H36" s="32" t="e">
        <f ca="1">SUM(H31:H35)</f>
        <v>#NAME?</v>
      </c>
      <c r="I36" s="13"/>
      <c r="J36" s="33" t="e">
        <f ca="1">IF(H$12=0,0,H36/H$12)</f>
        <v>#NAME?</v>
      </c>
      <c r="K36" s="15"/>
      <c r="L36" s="32" t="e">
        <f ca="1">+D36-H36</f>
        <v>#NAME?</v>
      </c>
      <c r="M36" s="15"/>
      <c r="N36" s="33" t="e">
        <f ca="1">IF(H36=0,0,L36/H36)</f>
        <v>#NAME?</v>
      </c>
      <c r="O36" s="26"/>
      <c r="P36" s="32" t="e">
        <f ca="1">SUM(P31:P35)</f>
        <v>#NAME?</v>
      </c>
      <c r="Q36" s="13"/>
      <c r="R36" s="33" t="e">
        <f ca="1">IF(P$12=0,0,P36/P$12)</f>
        <v>#NAME?</v>
      </c>
      <c r="S36" s="13"/>
      <c r="T36" s="32" t="e">
        <f ca="1">SUM(T31:T35)</f>
        <v>#NAME?</v>
      </c>
      <c r="U36" s="13"/>
      <c r="V36" s="33" t="e">
        <f ca="1">IF(T$12=0,0,T36/T$12)</f>
        <v>#NAME?</v>
      </c>
      <c r="W36" s="15"/>
      <c r="X36" s="32" t="e">
        <f ca="1">+P36-T36</f>
        <v>#NAME?</v>
      </c>
      <c r="Y36" s="15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3520</vt:i4>
      </vt:variant>
    </vt:vector>
  </HeadingPairs>
  <TitlesOfParts>
    <vt:vector size="3618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318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'324'!OSRRefD13x_0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'414'!OSRRefD13x_0</vt:lpstr>
      <vt:lpstr>'415'!OSRRefD13x_0</vt:lpstr>
      <vt:lpstr>'418'!OSRRefD13x_0</vt:lpstr>
      <vt:lpstr>'433'!OSRRefD13x_0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'322'!OSRRefD16x_0</vt:lpstr>
      <vt:lpstr>'324'!OSRRefD16x_0</vt:lpstr>
      <vt:lpstr>'326'!OSRRefD16x_0</vt:lpstr>
      <vt:lpstr>'327'!OSRRefD16x_0</vt:lpstr>
      <vt:lpstr>'330'!OSRRefD16x_0</vt:lpstr>
      <vt:lpstr>'331'!OSRRefD16x_0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'433'!OSRRefD16x_0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'322'!OSRRefD22_10x_0</vt:lpstr>
      <vt:lpstr>'325'!OSRRefD22_10x_0</vt:lpstr>
      <vt:lpstr>'326'!OSRRefD22_10x_0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'414'!OSRRefD22_10x_0</vt:lpstr>
      <vt:lpstr>'415'!OSRRefD22_10x_0</vt:lpstr>
      <vt:lpstr>'418'!OSRRefD22_10x_0</vt:lpstr>
      <vt:lpstr>'433'!OSRRefD22_10x_0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'317'!OSRRefD22_11x_0</vt:lpstr>
      <vt:lpstr>'322'!OSRRefD22_11x_0</vt:lpstr>
      <vt:lpstr>'325'!OSRRefD22_11x_0</vt:lpstr>
      <vt:lpstr>'326'!OSRRefD22_11x_0</vt:lpstr>
      <vt:lpstr>'331'!OSRRefD22_11x_0</vt:lpstr>
      <vt:lpstr>'405'!OSRRefD22_11x_0</vt:lpstr>
      <vt:lpstr>'411'!OSRRefD22_11x_0</vt:lpstr>
      <vt:lpstr>'412'!OSRRefD22_11x_0</vt:lpstr>
      <vt:lpstr>'414'!OSRRefD22_11x_0</vt:lpstr>
      <vt:lpstr>'415'!OSRRefD22_11x_0</vt:lpstr>
      <vt:lpstr>'433'!OSRRefD22_11x_0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'325'!OSRRefD22_12x_0</vt:lpstr>
      <vt:lpstr>'326'!OSRRefD22_12x_0</vt:lpstr>
      <vt:lpstr>'331'!OSRRefD22_12x_0</vt:lpstr>
      <vt:lpstr>'405'!OSRRefD22_12x_0</vt:lpstr>
      <vt:lpstr>'412'!OSRRefD22_12x_0</vt:lpstr>
      <vt:lpstr>'414'!OSRRefD22_12x_0</vt:lpstr>
      <vt:lpstr>'415'!OSRRefD22_12x_0</vt:lpstr>
      <vt:lpstr>'433'!OSRRefD22_12x_0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'405'!OSRRefD22_13x_0</vt:lpstr>
      <vt:lpstr>'412'!OSRRefD22_13x_0</vt:lpstr>
      <vt:lpstr>'415'!OSRRefD22_13x_0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'326'!OSRRefD22_14x_0</vt:lpstr>
      <vt:lpstr>'331'!OSRRefD22_14x_0</vt:lpstr>
      <vt:lpstr>'405'!OSRRefD22_14x_0</vt:lpstr>
      <vt:lpstr>'415'!OSRRefD22_14x_0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'326'!OSRRefD22_15x_0</vt:lpstr>
      <vt:lpstr>'331'!OSRRefD22_15x_0</vt:lpstr>
      <vt:lpstr>'415'!OSRRefD22_15x_0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 &amp; 491'!OSRRefD22_16x_0</vt:lpstr>
      <vt:lpstr>'315'!OSRRefD22_16x_0</vt:lpstr>
      <vt:lpstr>'326'!OSRRefD22_16x_0</vt:lpstr>
      <vt:lpstr>'331'!OSRRefD22_16x_0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'326'!OSRRefD22_17x_0</vt:lpstr>
      <vt:lpstr>'331'!OSRRefD22_17x_0</vt:lpstr>
      <vt:lpstr>'491'!OSRRefD22_17x_0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'331'!OSRRefD22_21x_0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'331'!OSRRefD22_22x_0</vt:lpstr>
      <vt:lpstr>'Div 3'!OSRRefD22_22x_0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'414'!OSRRefD22_9x_0</vt:lpstr>
      <vt:lpstr>'415'!OSRRefD22_9x_0</vt:lpstr>
      <vt:lpstr>'418'!OSRRefD22_9x_0</vt:lpstr>
      <vt:lpstr>'433'!OSRRefD22_9x_0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'204'!OSRRefD25x_0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'324'!OSRRefH13x_0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'414'!OSRRefH13x_0</vt:lpstr>
      <vt:lpstr>'415'!OSRRefH13x_0</vt:lpstr>
      <vt:lpstr>'418'!OSRRefH13x_0</vt:lpstr>
      <vt:lpstr>'433'!OSRRefH13x_0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'322'!OSRRefH16x_0</vt:lpstr>
      <vt:lpstr>'324'!OSRRefH16x_0</vt:lpstr>
      <vt:lpstr>'326'!OSRRefH16x_0</vt:lpstr>
      <vt:lpstr>'327'!OSRRefH16x_0</vt:lpstr>
      <vt:lpstr>'330'!OSRRefH16x_0</vt:lpstr>
      <vt:lpstr>'331'!OSRRefH16x_0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'433'!OSRRefH16x_0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'322'!OSRRefH22_10x_0</vt:lpstr>
      <vt:lpstr>'325'!OSRRefH22_10x_0</vt:lpstr>
      <vt:lpstr>'326'!OSRRefH22_10x_0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'414'!OSRRefH22_10x_0</vt:lpstr>
      <vt:lpstr>'415'!OSRRefH22_10x_0</vt:lpstr>
      <vt:lpstr>'418'!OSRRefH22_10x_0</vt:lpstr>
      <vt:lpstr>'433'!OSRRefH22_10x_0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'317'!OSRRefH22_11x_0</vt:lpstr>
      <vt:lpstr>'322'!OSRRefH22_11x_0</vt:lpstr>
      <vt:lpstr>'325'!OSRRefH22_11x_0</vt:lpstr>
      <vt:lpstr>'326'!OSRRefH22_11x_0</vt:lpstr>
      <vt:lpstr>'331'!OSRRefH22_11x_0</vt:lpstr>
      <vt:lpstr>'405'!OSRRefH22_11x_0</vt:lpstr>
      <vt:lpstr>'411'!OSRRefH22_11x_0</vt:lpstr>
      <vt:lpstr>'412'!OSRRefH22_11x_0</vt:lpstr>
      <vt:lpstr>'414'!OSRRefH22_11x_0</vt:lpstr>
      <vt:lpstr>'415'!OSRRefH22_11x_0</vt:lpstr>
      <vt:lpstr>'433'!OSRRefH22_11x_0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'325'!OSRRefH22_12x_0</vt:lpstr>
      <vt:lpstr>'326'!OSRRefH22_12x_0</vt:lpstr>
      <vt:lpstr>'331'!OSRRefH22_12x_0</vt:lpstr>
      <vt:lpstr>'405'!OSRRefH22_12x_0</vt:lpstr>
      <vt:lpstr>'412'!OSRRefH22_12x_0</vt:lpstr>
      <vt:lpstr>'414'!OSRRefH22_12x_0</vt:lpstr>
      <vt:lpstr>'415'!OSRRefH22_12x_0</vt:lpstr>
      <vt:lpstr>'433'!OSRRefH22_12x_0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'405'!OSRRefH22_13x_0</vt:lpstr>
      <vt:lpstr>'412'!OSRRefH22_13x_0</vt:lpstr>
      <vt:lpstr>'415'!OSRRefH22_13x_0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'326'!OSRRefH22_14x_0</vt:lpstr>
      <vt:lpstr>'331'!OSRRefH22_14x_0</vt:lpstr>
      <vt:lpstr>'405'!OSRRefH22_14x_0</vt:lpstr>
      <vt:lpstr>'415'!OSRRefH22_14x_0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'326'!OSRRefH22_15x_0</vt:lpstr>
      <vt:lpstr>'331'!OSRRefH22_15x_0</vt:lpstr>
      <vt:lpstr>'415'!OSRRefH22_15x_0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 &amp; 491'!OSRRefH22_16x_0</vt:lpstr>
      <vt:lpstr>'315'!OSRRefH22_16x_0</vt:lpstr>
      <vt:lpstr>'326'!OSRRefH22_16x_0</vt:lpstr>
      <vt:lpstr>'331'!OSRRefH22_16x_0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'326'!OSRRefH22_17x_0</vt:lpstr>
      <vt:lpstr>'331'!OSRRefH22_17x_0</vt:lpstr>
      <vt:lpstr>'491'!OSRRefH22_17x_0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'331'!OSRRefH22_21x_0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'331'!OSRRefH22_22x_0</vt:lpstr>
      <vt:lpstr>'Div 3'!OSRRefH22_22x_0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'414'!OSRRefH22_9x_0</vt:lpstr>
      <vt:lpstr>'415'!OSRRefH22_9x_0</vt:lpstr>
      <vt:lpstr>'418'!OSRRefH22_9x_0</vt:lpstr>
      <vt:lpstr>'433'!OSRRefH22_9x_0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'204'!OSRRefH25x_0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'324'!OSRRefP13x_0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'414'!OSRRefP13x_0</vt:lpstr>
      <vt:lpstr>'415'!OSRRefP13x_0</vt:lpstr>
      <vt:lpstr>'418'!OSRRefP13x_0</vt:lpstr>
      <vt:lpstr>'433'!OSRRefP13x_0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'322'!OSRRefP16x_0</vt:lpstr>
      <vt:lpstr>'324'!OSRRefP16x_0</vt:lpstr>
      <vt:lpstr>'326'!OSRRefP16x_0</vt:lpstr>
      <vt:lpstr>'327'!OSRRefP16x_0</vt:lpstr>
      <vt:lpstr>'330'!OSRRefP16x_0</vt:lpstr>
      <vt:lpstr>'331'!OSRRefP16x_0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'433'!OSRRefP16x_0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'322'!OSRRefP22_10x_0</vt:lpstr>
      <vt:lpstr>'325'!OSRRefP22_10x_0</vt:lpstr>
      <vt:lpstr>'326'!OSRRefP22_10x_0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'414'!OSRRefP22_10x_0</vt:lpstr>
      <vt:lpstr>'415'!OSRRefP22_10x_0</vt:lpstr>
      <vt:lpstr>'418'!OSRRefP22_10x_0</vt:lpstr>
      <vt:lpstr>'433'!OSRRefP22_10x_0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'317'!OSRRefP22_11x_0</vt:lpstr>
      <vt:lpstr>'322'!OSRRefP22_11x_0</vt:lpstr>
      <vt:lpstr>'325'!OSRRefP22_11x_0</vt:lpstr>
      <vt:lpstr>'326'!OSRRefP22_11x_0</vt:lpstr>
      <vt:lpstr>'331'!OSRRefP22_11x_0</vt:lpstr>
      <vt:lpstr>'405'!OSRRefP22_11x_0</vt:lpstr>
      <vt:lpstr>'411'!OSRRefP22_11x_0</vt:lpstr>
      <vt:lpstr>'412'!OSRRefP22_11x_0</vt:lpstr>
      <vt:lpstr>'414'!OSRRefP22_11x_0</vt:lpstr>
      <vt:lpstr>'415'!OSRRefP22_11x_0</vt:lpstr>
      <vt:lpstr>'433'!OSRRefP22_11x_0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'325'!OSRRefP22_12x_0</vt:lpstr>
      <vt:lpstr>'326'!OSRRefP22_12x_0</vt:lpstr>
      <vt:lpstr>'331'!OSRRefP22_12x_0</vt:lpstr>
      <vt:lpstr>'405'!OSRRefP22_12x_0</vt:lpstr>
      <vt:lpstr>'412'!OSRRefP22_12x_0</vt:lpstr>
      <vt:lpstr>'414'!OSRRefP22_12x_0</vt:lpstr>
      <vt:lpstr>'415'!OSRRefP22_12x_0</vt:lpstr>
      <vt:lpstr>'433'!OSRRefP22_12x_0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'405'!OSRRefP22_13x_0</vt:lpstr>
      <vt:lpstr>'412'!OSRRefP22_13x_0</vt:lpstr>
      <vt:lpstr>'415'!OSRRefP22_13x_0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'326'!OSRRefP22_14x_0</vt:lpstr>
      <vt:lpstr>'331'!OSRRefP22_14x_0</vt:lpstr>
      <vt:lpstr>'405'!OSRRefP22_14x_0</vt:lpstr>
      <vt:lpstr>'415'!OSRRefP22_14x_0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'326'!OSRRefP22_15x_0</vt:lpstr>
      <vt:lpstr>'331'!OSRRefP22_15x_0</vt:lpstr>
      <vt:lpstr>'415'!OSRRefP22_15x_0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 &amp; 491'!OSRRefP22_16x_0</vt:lpstr>
      <vt:lpstr>'315'!OSRRefP22_16x_0</vt:lpstr>
      <vt:lpstr>'326'!OSRRefP22_16x_0</vt:lpstr>
      <vt:lpstr>'331'!OSRRefP22_16x_0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'326'!OSRRefP22_17x_0</vt:lpstr>
      <vt:lpstr>'331'!OSRRefP22_17x_0</vt:lpstr>
      <vt:lpstr>'491'!OSRRefP22_17x_0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'331'!OSRRefP22_21x_0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'331'!OSRRefP22_22x_0</vt:lpstr>
      <vt:lpstr>'Div 3'!OSRRefP22_22x_0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'414'!OSRRefP22_9x_0</vt:lpstr>
      <vt:lpstr>'415'!OSRRefP22_9x_0</vt:lpstr>
      <vt:lpstr>'418'!OSRRefP22_9x_0</vt:lpstr>
      <vt:lpstr>'433'!OSRRefP22_9x_0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'204'!OSRRefP25x_0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'324'!OSRRefT13x_0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'414'!OSRRefT13x_0</vt:lpstr>
      <vt:lpstr>'415'!OSRRefT13x_0</vt:lpstr>
      <vt:lpstr>'418'!OSRRefT13x_0</vt:lpstr>
      <vt:lpstr>'433'!OSRRefT13x_0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'322'!OSRRefT16x_0</vt:lpstr>
      <vt:lpstr>'324'!OSRRefT16x_0</vt:lpstr>
      <vt:lpstr>'326'!OSRRefT16x_0</vt:lpstr>
      <vt:lpstr>'327'!OSRRefT16x_0</vt:lpstr>
      <vt:lpstr>'330'!OSRRefT16x_0</vt:lpstr>
      <vt:lpstr>'331'!OSRRefT16x_0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'433'!OSRRefT16x_0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'322'!OSRRefT22_10x_0</vt:lpstr>
      <vt:lpstr>'325'!OSRRefT22_10x_0</vt:lpstr>
      <vt:lpstr>'326'!OSRRefT22_10x_0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'414'!OSRRefT22_10x_0</vt:lpstr>
      <vt:lpstr>'415'!OSRRefT22_10x_0</vt:lpstr>
      <vt:lpstr>'418'!OSRRefT22_10x_0</vt:lpstr>
      <vt:lpstr>'433'!OSRRefT22_10x_0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'317'!OSRRefT22_11x_0</vt:lpstr>
      <vt:lpstr>'322'!OSRRefT22_11x_0</vt:lpstr>
      <vt:lpstr>'325'!OSRRefT22_11x_0</vt:lpstr>
      <vt:lpstr>'326'!OSRRefT22_11x_0</vt:lpstr>
      <vt:lpstr>'331'!OSRRefT22_11x_0</vt:lpstr>
      <vt:lpstr>'405'!OSRRefT22_11x_0</vt:lpstr>
      <vt:lpstr>'411'!OSRRefT22_11x_0</vt:lpstr>
      <vt:lpstr>'412'!OSRRefT22_11x_0</vt:lpstr>
      <vt:lpstr>'414'!OSRRefT22_11x_0</vt:lpstr>
      <vt:lpstr>'415'!OSRRefT22_11x_0</vt:lpstr>
      <vt:lpstr>'433'!OSRRefT22_11x_0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'325'!OSRRefT22_12x_0</vt:lpstr>
      <vt:lpstr>'326'!OSRRefT22_12x_0</vt:lpstr>
      <vt:lpstr>'331'!OSRRefT22_12x_0</vt:lpstr>
      <vt:lpstr>'405'!OSRRefT22_12x_0</vt:lpstr>
      <vt:lpstr>'412'!OSRRefT22_12x_0</vt:lpstr>
      <vt:lpstr>'414'!OSRRefT22_12x_0</vt:lpstr>
      <vt:lpstr>'415'!OSRRefT22_12x_0</vt:lpstr>
      <vt:lpstr>'433'!OSRRefT22_12x_0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'405'!OSRRefT22_13x_0</vt:lpstr>
      <vt:lpstr>'412'!OSRRefT22_13x_0</vt:lpstr>
      <vt:lpstr>'415'!OSRRefT22_13x_0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'326'!OSRRefT22_14x_0</vt:lpstr>
      <vt:lpstr>'331'!OSRRefT22_14x_0</vt:lpstr>
      <vt:lpstr>'405'!OSRRefT22_14x_0</vt:lpstr>
      <vt:lpstr>'415'!OSRRefT22_14x_0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'326'!OSRRefT22_15x_0</vt:lpstr>
      <vt:lpstr>'331'!OSRRefT22_15x_0</vt:lpstr>
      <vt:lpstr>'415'!OSRRefT22_15x_0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 &amp; 491'!OSRRefT22_16x_0</vt:lpstr>
      <vt:lpstr>'315'!OSRRefT22_16x_0</vt:lpstr>
      <vt:lpstr>'326'!OSRRefT22_16x_0</vt:lpstr>
      <vt:lpstr>'331'!OSRRefT22_16x_0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'326'!OSRRefT22_17x_0</vt:lpstr>
      <vt:lpstr>'331'!OSRRefT22_17x_0</vt:lpstr>
      <vt:lpstr>'491'!OSRRefT22_17x_0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'331'!OSRRefT22_21x_0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'331'!OSRRefT22_22x_0</vt:lpstr>
      <vt:lpstr>'Div 3'!OSRRefT22_22x_0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'414'!OSRRefT22_9x_0</vt:lpstr>
      <vt:lpstr>'415'!OSRRefT22_9x_0</vt:lpstr>
      <vt:lpstr>'418'!OSRRefT22_9x_0</vt:lpstr>
      <vt:lpstr>'433'!OSRRefT22_9x_0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'204'!OSRRefT25x_0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'318'!Print_Area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'318'!Print_Titles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2020-09-30T23:45:26Z</dcterms:modified>
</cp:coreProperties>
</file>